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queryTables/queryTable1.xml" ContentType="application/vnd.openxmlformats-officedocument.spreadsheetml.queryTable+xml"/>
  <Override PartName="/xl/tables/table23.xml" ContentType="application/vnd.openxmlformats-officedocument.spreadsheetml.table+xml"/>
  <Override PartName="/xl/queryTables/queryTable2.xml" ContentType="application/vnd.openxmlformats-officedocument.spreadsheetml.queryTable+xml"/>
  <Override PartName="/xl/tables/table24.xml" ContentType="application/vnd.openxmlformats-officedocument.spreadsheetml.table+xml"/>
  <Override PartName="/xl/queryTables/queryTable3.xml" ContentType="application/vnd.openxmlformats-officedocument.spreadsheetml.query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queryTables/queryTable4.xml" ContentType="application/vnd.openxmlformats-officedocument.spreadsheetml.queryTable+xml"/>
  <Override PartName="/xl/tables/table27.xml" ContentType="application/vnd.openxmlformats-officedocument.spreadsheetml.table+xml"/>
  <Override PartName="/xl/queryTables/queryTable5.xml" ContentType="application/vnd.openxmlformats-officedocument.spreadsheetml.queryTable+xml"/>
  <Override PartName="/xl/tables/table28.xml" ContentType="application/vnd.openxmlformats-officedocument.spreadsheetml.table+xml"/>
  <Override PartName="/xl/queryTables/queryTable6.xml" ContentType="application/vnd.openxmlformats-officedocument.spreadsheetml.queryTable+xml"/>
  <Override PartName="/xl/tables/table29.xml" ContentType="application/vnd.openxmlformats-officedocument.spreadsheetml.table+xml"/>
  <Override PartName="/xl/queryTables/queryTable7.xml" ContentType="application/vnd.openxmlformats-officedocument.spreadsheetml.queryTable+xml"/>
  <Override PartName="/xl/tables/table30.xml" ContentType="application/vnd.openxmlformats-officedocument.spreadsheetml.table+xml"/>
  <Override PartName="/xl/queryTables/queryTable8.xml" ContentType="application/vnd.openxmlformats-officedocument.spreadsheetml.queryTable+xml"/>
  <Override PartName="/xl/tables/table31.xml" ContentType="application/vnd.openxmlformats-officedocument.spreadsheetml.table+xml"/>
  <Override PartName="/xl/queryTables/queryTable9.xml" ContentType="application/vnd.openxmlformats-officedocument.spreadsheetml.queryTable+xml"/>
  <Override PartName="/xl/tables/table32.xml" ContentType="application/vnd.openxmlformats-officedocument.spreadsheetml.table+xml"/>
  <Override PartName="/xl/queryTables/queryTable10.xml" ContentType="application/vnd.openxmlformats-officedocument.spreadsheetml.queryTable+xml"/>
  <Override PartName="/xl/tables/table33.xml" ContentType="application/vnd.openxmlformats-officedocument.spreadsheetml.table+xml"/>
  <Override PartName="/xl/queryTables/queryTable11.xml" ContentType="application/vnd.openxmlformats-officedocument.spreadsheetml.query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queryTables/queryTable12.xml" ContentType="application/vnd.openxmlformats-officedocument.spreadsheetml.query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omments3.xml" ContentType="application/vnd.openxmlformats-officedocument.spreadsheetml.comments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9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queryTables/queryTable13.xml" ContentType="application/vnd.openxmlformats-officedocument.spreadsheetml.query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csema\Documents\RAM CAS\MEJORA CONTINUA\CONTROL DE BUFFERS\BASE\"/>
    </mc:Choice>
  </mc:AlternateContent>
  <bookViews>
    <workbookView xWindow="5985" yWindow="232800" windowWidth="5820" windowHeight="2925"/>
  </bookViews>
  <sheets>
    <sheet name="Bodega" sheetId="2" r:id="rId1"/>
    <sheet name="TRANSITODETALLADO" sheetId="72" state="hidden" r:id="rId2"/>
    <sheet name="REPORTETRANSITO" sheetId="73" state="hidden" r:id="rId3"/>
    <sheet name="Mal_Atendidos_Frecuencia" sheetId="70" state="hidden" r:id="rId4"/>
    <sheet name="Mal_Atendidos_Suministro" sheetId="71" state="hidden" r:id="rId5"/>
    <sheet name="Transferencias_Transito" sheetId="69" state="hidden" r:id="rId6"/>
    <sheet name="Duplicados" sheetId="68" state="hidden" r:id="rId7"/>
    <sheet name="Redondeo_Pedido_Minimo" sheetId="67" state="hidden" r:id="rId8"/>
    <sheet name="Directorios" sheetId="63" state="hidden" r:id="rId9"/>
    <sheet name="AYUDA" sheetId="62" state="hidden" r:id="rId10"/>
    <sheet name="Form" sheetId="45" state="hidden" r:id="rId11"/>
    <sheet name="NoBorrar" sheetId="6" state="hidden" r:id="rId12"/>
    <sheet name="Empresa" sheetId="16" state="hidden" r:id="rId13"/>
    <sheet name="Parametros" sheetId="27" state="hidden" r:id="rId14"/>
    <sheet name="EMPRESAACTIVA" sheetId="58" state="hidden" r:id="rId15"/>
    <sheet name="ARCHIVOSCB" sheetId="29" state="hidden" r:id="rId16"/>
    <sheet name="ARCHIVOSBODEGAS" sheetId="38" state="hidden" r:id="rId17"/>
    <sheet name="PROVEEDORES" sheetId="37" state="hidden" r:id="rId18"/>
    <sheet name="PERFILES" sheetId="52" state="hidden" r:id="rId19"/>
    <sheet name="BodegasPermitidas" sheetId="44" state="hidden" r:id="rId20"/>
    <sheet name="ProveedoresPermitidos" sheetId="49" state="hidden" r:id="rId21"/>
    <sheet name="PerfilesPermitidos" sheetId="51" state="hidden" r:id="rId22"/>
    <sheet name="DatosCodigo" sheetId="24" state="hidden" r:id="rId23"/>
    <sheet name="InvFisico" sheetId="48" state="hidden" r:id="rId24"/>
    <sheet name="Transferencias" sheetId="14" state="hidden" r:id="rId25"/>
    <sheet name="Comprometido" sheetId="13" state="hidden" r:id="rId26"/>
    <sheet name="Backorders" sheetId="17" state="hidden" r:id="rId27"/>
    <sheet name="ROI" sheetId="28" state="hidden" r:id="rId28"/>
    <sheet name="VEL_EFECTIVO" sheetId="30" state="hidden" r:id="rId29"/>
    <sheet name="UltCambioBuffer" sheetId="32" state="hidden" r:id="rId30"/>
    <sheet name="NivSer" sheetId="18" state="hidden" r:id="rId31"/>
    <sheet name="Causas" sheetId="35" state="hidden" r:id="rId32"/>
    <sheet name="Consumo" sheetId="55" state="hidden" r:id="rId33"/>
    <sheet name="Horizonte" sheetId="36" state="hidden" r:id="rId34"/>
    <sheet name="EstacionalidadDatos" sheetId="54" state="hidden" r:id="rId35"/>
    <sheet name="EstacionalidadCalc" sheetId="34" state="hidden" r:id="rId36"/>
    <sheet name="Buffer_Fecha" sheetId="25" state="hidden" r:id="rId37"/>
    <sheet name="DiccionarioAgrota" sheetId="22" state="hidden" r:id="rId38"/>
    <sheet name="GráficoDin" sheetId="20" state="hidden" r:id="rId39"/>
    <sheet name="BuffHist" sheetId="19" state="hidden" r:id="rId40"/>
    <sheet name="ConsHist" sheetId="66" state="hidden" r:id="rId41"/>
    <sheet name="InvFisicoPrueba" sheetId="43" state="hidden" r:id="rId42"/>
    <sheet name="Clue" sheetId="46" state="hidden" r:id="rId43"/>
    <sheet name="CriteriosFiltros" sheetId="50" state="hidden" r:id="rId44"/>
    <sheet name="UltFechaBuffer" sheetId="21" state="hidden" r:id="rId45"/>
    <sheet name="MatrizEstPerf" sheetId="53" state="hidden" r:id="rId46"/>
    <sheet name="RecupBuffHist" sheetId="56" state="hidden" r:id="rId47"/>
    <sheet name="Inventario" sheetId="57" state="hidden" r:id="rId48"/>
    <sheet name="ROIManual" sheetId="59" state="hidden" r:id="rId49"/>
    <sheet name="Rentabilidad" sheetId="60" state="hidden" r:id="rId50"/>
    <sheet name="USER" sheetId="61" state="hidden" r:id="rId51"/>
  </sheets>
  <functionGroups builtInGroupCount="18"/>
  <externalReferences>
    <externalReference r:id="rId52"/>
  </externalReferences>
  <definedNames>
    <definedName name="_cboCampos_Range" localSheetId="0" hidden="1">{18,233.25,FALSE,3,86.25,123}</definedName>
    <definedName name="_cboSeleccion_Range" localSheetId="0" hidden="1">{19.5,330.75,TRUE,3,51,450}</definedName>
    <definedName name="_cmdAccionesEstacionalidad_Range" localSheetId="0" hidden="1">{18.75,215.25,TRUE,3,51,19.5}</definedName>
    <definedName name="_cmdAnadeRegistro_Range" localSheetId="0" hidden="1">{18.75,61.5,TRUE,3,69.75,15}</definedName>
    <definedName name="_cmdAscendente_Range" localSheetId="0" hidden="1">{18.75,36.75,TRUE,3,87,13.5}</definedName>
    <definedName name="_cmdAyuda_Range" localSheetId="0" hidden="1">{18.75,336.75,TRUE,3,51,19.5}</definedName>
    <definedName name="_cmdBorraRegistro_Range" localSheetId="0" hidden="1">{18.75,75.75,TRUE,3,69.75,15}</definedName>
    <definedName name="_cmdBufferHoy_Range" localSheetId="0" hidden="1">{18.75,105,TRUE,3,69.75,22.5}</definedName>
    <definedName name="_cmdBuscaCodigo_Range" localSheetId="0" hidden="1">{19.5,433.5,TRUE,3,70.5,56.25}</definedName>
    <definedName name="_cmdBuscarTexto_Range" localSheetId="0" hidden="1">{15,341.25,TRUE,3,71.25,15}</definedName>
    <definedName name="_cmdCambiaBuffer_Range" localSheetId="0" hidden="1">{18.75,234,TRUE,3,51,17.25}</definedName>
    <definedName name="_cmdCeldasBlanco_Range" localSheetId="0" hidden="1">{18.75,145.5,TRUE,3,87,18.75}</definedName>
    <definedName name="_cmdCeldasVisibles_Range" localSheetId="0" hidden="1">{18.75,126.75,TRUE,3,87,18.75}</definedName>
    <definedName name="_cmdConsumo_Range" localSheetId="0" hidden="1">{18.75,282.75,TRUE,3,51,20.25}</definedName>
    <definedName name="_cmdControl_Range" localSheetId="0" hidden="1">{18.75,133.5,TRUE,3,51,23.25}</definedName>
    <definedName name="_cmdDesc_Range" localSheetId="0" hidden="1">{19.5,336.75,TRUE,3,52.5,26.25}</definedName>
    <definedName name="_cmdDescendente_Range" localSheetId="0" hidden="1">{18.75,49.5,TRUE,3,87,13.5}</definedName>
    <definedName name="_cmdDesprotege_Range" localSheetId="0" hidden="1">{18.75,75.75,TRUE,3,69.75,15}</definedName>
    <definedName name="_cmdDuplicados_Range" localSheetId="0" hidden="1">{18.75,102,TRUE,3,87,18.75}</definedName>
    <definedName name="_cmdEliminaColumnaHorizonte_Range" localSheetId="0" hidden="1">{18.75,90.75,TRUE,3,69.75,15}</definedName>
    <definedName name="_cmdFiltraCodigo_Range" localSheetId="0" hidden="1">{19.5,488.25,TRUE,3,70.5,51}</definedName>
    <definedName name="_cmdFiltraConsolidado_Range" localSheetId="0" hidden="1">{19.5,534,TRUE,3,70.5,73.5}</definedName>
    <definedName name="_cmdFiltraErrores_Range" localSheetId="0" hidden="1">{18.75,215.25,TRUE,3,69.75,18}</definedName>
    <definedName name="_cmdFiltraItems_Range" localSheetId="0" hidden="1">{19.5,342,TRUE,3,52.5,26.25}</definedName>
    <definedName name="_cmdFiltrar_Range" localSheetId="0" hidden="1">{19.5,2.25,TRUE,3,66,22.5}</definedName>
    <definedName name="_cmdGraficoDinamico_Range" localSheetId="0" hidden="1">{18.75,267.75,TRUE,3,51,18}</definedName>
    <definedName name="_cmdHOY_Range" localSheetId="0" hidden="1">{18.75,149.25,TRUE,3,69.75,22.5}</definedName>
    <definedName name="_cmdIrFinHorizonte_Range" localSheetId="0" hidden="1">{18.75,190.5,TRUE,3,69.75,23.25}</definedName>
    <definedName name="_cmdIrInicioHorizonte_Range" localSheetId="0" hidden="1">{18.75,170.25,TRUE,3,69.75,22.5}</definedName>
    <definedName name="_cmdIrPrimerCampo_Range" localSheetId="0" hidden="1">{18.75,127.5,TRUE,3,69.75,22.5}</definedName>
    <definedName name="_cmdMalAtendidos_Range" localSheetId="0" hidden="1">{18.75,181.5,TRUE,3,87,20.25}</definedName>
    <definedName name="_cmdOcultaColumna_Range" localSheetId="0" hidden="1">{18.75,41.25,TRUE,3,69.75,20.25}</definedName>
    <definedName name="_cmdOrdenaColores_Range" localSheetId="0" hidden="1">{18.75,81.75,TRUE,3,87,20.25}</definedName>
    <definedName name="_cmdOrdenamientoMultiple_Range" localSheetId="0" hidden="1">{18.75,63,TRUE,3,87,20.25}</definedName>
    <definedName name="_cmdPosponer_Range" localSheetId="0" hidden="1">{18.75,249,TRUE,3,51,18}</definedName>
    <definedName name="_cmdQuitaFiltros_Range" localSheetId="0" hidden="1">{18.75,18,TRUE,3,87,18.75}</definedName>
    <definedName name="_cmdRefrescaFormulas_Range" localSheetId="0" hidden="1">{18.75,177.75,TRUE,3,51,20.25}</definedName>
    <definedName name="_cmdRefrescarDatos_Range" localSheetId="38" hidden="1">{15.75,842.25,TRUE,2,0.75,57}</definedName>
    <definedName name="_cmdRefrescaTodo_Range" localSheetId="0" hidden="1">{18.75,156.75,TRUE,3,51,20.25}</definedName>
    <definedName name="_cmdTransitoDetallado_Range" localSheetId="0" hidden="1">{18.75,196.5,TRUE,3,51,20.25}</definedName>
    <definedName name="_cmdVistas_Range" localSheetId="0" hidden="1">{18.75,18,TRUE,3,69.75,23.25}</definedName>
    <definedName name="_cmdVolver_Range" localSheetId="9" hidden="1">{22.5,1.5,TRUE,2,0.75,35.25}</definedName>
    <definedName name="_cmdVolver_Range" localSheetId="6" hidden="1">{15,905.25,TRUE,2,0.75,62.25}</definedName>
    <definedName name="_cmdVolver_Range" localSheetId="38" hidden="1">{15,782.25,TRUE,2,0,62.25}</definedName>
    <definedName name="_xlnm._FilterDatabase" localSheetId="0" hidden="1">Bodega!$A$2:$DH$289</definedName>
    <definedName name="_xlnm._FilterDatabase" localSheetId="39" hidden="1">BuffHist!$B$1:$E$60</definedName>
    <definedName name="_tgl_Tipo_Grafico_Range" localSheetId="0" hidden="1">{11.25,193.5,TRUE,2,1.5,30}</definedName>
    <definedName name="_txtBusqueda_Range" localSheetId="0" hidden="1">{18,233.25,TRUE,3,69.75,123}</definedName>
    <definedName name="_txtDiasGrafico_Range" localSheetId="0" hidden="1">{18.75,288,TRUE,3,51,34.5}</definedName>
    <definedName name="_xlnm.Extract" localSheetId="39">BuffHist!$K$2:$M$2</definedName>
    <definedName name="BODEG" comment="Extrae el nombre de la Bodega en la que se encuentra el archivo actual.">NoBorrar!$A$16</definedName>
    <definedName name="BODEGA" comment="Es el nombre compuesto de la Empresa y la bodega actual.">NoBorrar!$O$1</definedName>
    <definedName name="Bodega_Seleccionada">GráficoDin!$AP$3</definedName>
    <definedName name="BodegasPermitidas" comment="Rango que sirve para que el Combobox de BODEGA se alimente." localSheetId="34">Tabla_Bodegas_Permitidas[BODEGA]</definedName>
    <definedName name="BodegasPermitidas" comment="Rango que sirve para que el Combobox de BODEGA se alimente." localSheetId="4">Tabla_Bodegas_Permitidas[BODEGA]</definedName>
    <definedName name="BodegasPermitidas" comment="Rango que sirve para que el Combobox de BODEGA se alimente.">Tabla_Bodegas_Permitidas[BODEGA]</definedName>
    <definedName name="CAMPO_CODIGO" comment="Se utiliza para prevenir los duplicados al poner la validación en ese campo. " localSheetId="34">CONTROL[CODIGO]</definedName>
    <definedName name="Campos" localSheetId="4">OFFSET(Bodega!$A$2,0,0,1,COLUMN(Mal_Atendidos_Suministro!PRIMER_CAMPO)-COLUMN(Bodega!$A$2))</definedName>
    <definedName name="Campos">OFFSET(Bodega!$A$2,0,0,1,COLUMN(PRIMER_CAMPO)-COLUMN(Bodega!$A$2))</definedName>
    <definedName name="COD_EMPRESA">NoBorrar!$A$19</definedName>
    <definedName name="Codigo_Seleccionado">GráficoDin!$AP$4</definedName>
    <definedName name="COLUMNAPRIMERCAMPO" comment="El número de columna en el que se encuentra el primer campo del horizonte donde se guardan los saldos de inventario.">NoBorrar!$A$50</definedName>
    <definedName name="ConAccionEstacional">GráficoDin!$O$16</definedName>
    <definedName name="ConBackorder">GráficoDin!$L$17</definedName>
    <definedName name="ConBodega">GráficoDin!$K$2</definedName>
    <definedName name="ConBufferActual">GráficoDin!$L$8</definedName>
    <definedName name="ConBufferAntesEstacion">GráficoDin!$O$14</definedName>
    <definedName name="ConBufferCalcCB">GráficoDin!$L$34</definedName>
    <definedName name="ConBufferCalcUsuario">GráficoDin!$M$34</definedName>
    <definedName name="ConBufferEstacional">GráficoDin!$O$13</definedName>
    <definedName name="ConBufferMax">GráficoDin!$O$10</definedName>
    <definedName name="ConBufferMin">GráficoDin!$O$9</definedName>
    <definedName name="ConCalendarioEstacional">GráficoDin!$O$15</definedName>
    <definedName name="ConCoberturaBuffer">GráficoDin!$O$8</definedName>
    <definedName name="ConCoberturaInvProy">GráficoDin!$O$18</definedName>
    <definedName name="ConCoberturaPedidMin">GráficoDin!$O$19</definedName>
    <definedName name="ConCodigo">GráficoDin!$L$2</definedName>
    <definedName name="ConColorFisico">GráficoDin!$AP$1</definedName>
    <definedName name="ConColorProyectado">GráficoDin!$AP$2</definedName>
    <definedName name="ConComportamiento">GráficoDin!$L$32</definedName>
    <definedName name="ConComprometido">GráficoDin!$L$16</definedName>
    <definedName name="ConConsumoAnualProyectado">GráficoDin!$L$40</definedName>
    <definedName name="ConConsumoAnualProyectadoUsuario">GráficoDin!$M$40</definedName>
    <definedName name="ConConsumoCalculado">GráficoDin!$G$35</definedName>
    <definedName name="ConConsumoPromedio">GráficoDin!$L$39</definedName>
    <definedName name="ConConsumoSemanalUsuario">GráficoDin!$M$39</definedName>
    <definedName name="ConConsumoUsuario" localSheetId="4">GráficoDin!#REF!</definedName>
    <definedName name="ConConsumoUsuario">GráficoDin!#REF!</definedName>
    <definedName name="ConCTV">GráficoDin!$L$5</definedName>
    <definedName name="ConCTVUsuario">GráficoDin!$M$5</definedName>
    <definedName name="ConDescripcion">GráficoDin!$M$2</definedName>
    <definedName name="ConEmbarcado">GráficoDin!$L$15</definedName>
    <definedName name="ConEstatus">GráficoDin!$L$3</definedName>
    <definedName name="ConEtapaEstacional">GráficoDin!$O$17</definedName>
    <definedName name="ConFactorPico">GráficoDin!$L$37</definedName>
    <definedName name="ConFactorPicoUsuario">GráficoDin!$M$37</definedName>
    <definedName name="ConFisico">GráficoDin!$L$11</definedName>
    <definedName name="ConFRep">GráficoDin!$L$28</definedName>
    <definedName name="ConFrepUsuario">GráficoDin!$M$28</definedName>
    <definedName name="ConGDB">GráficoDin!$L$33</definedName>
    <definedName name="ConHorizonte">GráficoDin!$L$29</definedName>
    <definedName name="ConInventarioProveedor">GráficoDin!$L$22</definedName>
    <definedName name="ConInversion">GráficoDin!$L$42</definedName>
    <definedName name="ConInversionUsuario">GráficoDin!$M$42</definedName>
    <definedName name="ConNegociacion">GráficoDin!$L$13</definedName>
    <definedName name="ConPedidoCalculado">GráficoDin!$L$23</definedName>
    <definedName name="ConPedidoMinimo">GráficoDin!$L$19</definedName>
    <definedName name="ConPedidoMinimoGrupo">GráficoDin!$L$20</definedName>
    <definedName name="ConPedidoPromedio">GráficoDin!$L$24</definedName>
    <definedName name="ConPerfil">GráficoDin!$L$25</definedName>
    <definedName name="ConPicoCalculado">GráficoDin!$G$36</definedName>
    <definedName name="ConPicoCB">GráficoDin!$P$8</definedName>
    <definedName name="ConPicoUsuario" localSheetId="4">GráficoDin!#REF!</definedName>
    <definedName name="ConPicoUsuario">GráficoDin!#REF!</definedName>
    <definedName name="ConProduccion">GráficoDin!$L$14</definedName>
    <definedName name="ConProveedor">GráficoDin!$L$26</definedName>
    <definedName name="ConProyectado">GráficoDin!$L$18</definedName>
    <definedName name="ConPVP">GráficoDin!$L$4</definedName>
    <definedName name="ConPVPUsuario">GráficoDin!$M$4</definedName>
    <definedName name="ConRentabilidad">GráficoDin!$L$35</definedName>
    <definedName name="ConRentabilidadProyectada">GráficoDin!$L$36</definedName>
    <definedName name="ConServicio">GráficoDin!$L$31</definedName>
    <definedName name="Consulta_desde_Agrota_2" localSheetId="22" hidden="1">DatosCodigo!#REF!</definedName>
    <definedName name="Consulta_desde_ARCHIVO" localSheetId="24" hidden="1">Transferencias!$A$1:$C$2</definedName>
    <definedName name="Consulta_desde_ARCHIVO_1" localSheetId="24" hidden="1">Transferencias!$G$1:$I$2</definedName>
    <definedName name="Consulta_desde_Asignacion_Costo_MP_a_CT" localSheetId="27" hidden="1">ROI!#REF!</definedName>
    <definedName name="Consulta_desde_Asignacion_ROI" localSheetId="27" hidden="1">ROI!#REF!</definedName>
    <definedName name="Consulta_desde_Backorders" localSheetId="26" hidden="1">Backorders!$A$1:$C$2</definedName>
    <definedName name="Consulta_desde_Backorders_1" localSheetId="26" hidden="1">Backorders!#REF!</definedName>
    <definedName name="Consulta_desde_Comprometido" localSheetId="25" hidden="1">Comprometido!#REF!</definedName>
    <definedName name="Consulta_desde_Comprometido_1" localSheetId="25" hidden="1">Comprometido!#REF!</definedName>
    <definedName name="Consulta_desde_Costos_Agroinsumos" localSheetId="27" hidden="1">ROI!#REF!</definedName>
    <definedName name="Consulta_desde_DATOS_CODIGO" localSheetId="22" hidden="1">DatosCodigo!$A$1:$BD$2</definedName>
    <definedName name="Consulta_desde_Datos_en_Access" localSheetId="30" hidden="1">NivSer!#REF!</definedName>
    <definedName name="Consulta_desde_Datos_en_Access" localSheetId="29" hidden="1">UltCambioBuffer!#REF!</definedName>
    <definedName name="Consulta_desde_Datos_en_Access_1" localSheetId="29" hidden="1">UltCambioBuffer!$E$1:$F$2</definedName>
    <definedName name="Consulta_desde_DatosConsolidados_2" localSheetId="27" hidden="1">ROI!#REF!</definedName>
    <definedName name="Consulta_desde_DatosConsolidados_3" localSheetId="27" hidden="1">ROI!#REF!</definedName>
    <definedName name="Consulta_desde_historialagrota" localSheetId="31" hidden="1">Causas!#REF!</definedName>
    <definedName name="Consulta_desde_INVENTARIO_FISICO_3" localSheetId="41" hidden="1">InvFisicoPrueba!$A$1:$R$2</definedName>
    <definedName name="Consulta_desde_ODBC_MySQL_en_AGROTA" localSheetId="31" hidden="1">Causas!$A$1:$A$21</definedName>
    <definedName name="Consulta_desde_ODBC_MySQL_en_AGROTA" localSheetId="27" hidden="1">ROI!#REF!</definedName>
    <definedName name="Consulta_desde_ODBC_MySQL_en_AGROTA" localSheetId="28" hidden="1">VEL_EFECTIVO!$E$1:$F$2</definedName>
    <definedName name="Consulta_desde_ODBC_MySQL_en_AGROTA_1" localSheetId="27" hidden="1">ROI!#REF!</definedName>
    <definedName name="Consulta_desde_ODBC_MySQL_en_AGROTA_1" localSheetId="28" hidden="1">VEL_EFECTIVO!$H$1:$I$2</definedName>
    <definedName name="Consulta_desde_ODBC_MySQL_en_AGROTA_2" localSheetId="27" hidden="1">ROI!#REF!</definedName>
    <definedName name="Consulta_desde_ODBC_MySQL_en_AGROTA_3" localSheetId="27" hidden="1">ROI!#REF!</definedName>
    <definedName name="Consulta_desde_ODBC_RAMCAS1" localSheetId="49" hidden="1">Rentabilidad!$A$1:$B$2</definedName>
    <definedName name="Consulta_desde_Reporte_ROI" localSheetId="27" hidden="1">ROI!$D$1:$E$2</definedName>
    <definedName name="Consulta_desde_Reporte_ROI_1" localSheetId="27" hidden="1">ROI!$A$1:$B$2</definedName>
    <definedName name="Consulta_desde_Reporte_ROI_2" localSheetId="27" hidden="1">ROI!$G$1:$H$2</definedName>
    <definedName name="Consulta_desde_Velocidad_CASH" localSheetId="28" hidden="1">VEL_EFECTIVO!$A$1:$C$2</definedName>
    <definedName name="Consulta_desde_yamabico" localSheetId="37" hidden="1">DiccionarioAgrota!#REF!</definedName>
    <definedName name="ConsumoUsuario">GráficoDin!$AL$10</definedName>
    <definedName name="ConTransito">GráficoDin!$L$12</definedName>
    <definedName name="ConTRep">GráficoDin!$L$27</definedName>
    <definedName name="ConTrepUsuario">GráficoDin!$M$27</definedName>
    <definedName name="ConTruputAnualProyectado">GráficoDin!$L$41</definedName>
    <definedName name="ConTruputAnualProyectadoUsuario">GráficoDin!$M$41</definedName>
    <definedName name="ConTruputUnitario">GráficoDin!$L$38</definedName>
    <definedName name="ConTruputUnitarioUsuario">GráficoDin!$M$38</definedName>
    <definedName name="ConUltimaTransferencia">GráficoDin!$L$30</definedName>
    <definedName name="ConUltimoBuffer">GráficoDin!$O$11</definedName>
    <definedName name="ConUltimoCambioBuffer">GráficoDin!$O$12</definedName>
    <definedName name="ConUnidadEmpaque">GráficoDin!$L$21</definedName>
    <definedName name="ConZonaAmarilla">GráficoDin!$L$9</definedName>
    <definedName name="ConZonaRoja">GráficoDin!$L$10</definedName>
    <definedName name="_xlnm.Criteria" localSheetId="39">BuffHist!$H$1:$H$60</definedName>
    <definedName name="DIR">Directorios!$A$1</definedName>
    <definedName name="DIRCOMPLETO" comment="Nombre del path del directorio donde se encuentra el archivo Control de Buffers">NoBorrar!$A$6</definedName>
    <definedName name="DIRECTORIOBASEMC">NoBorrar!$A$3</definedName>
    <definedName name="DIRPATHCOMPLETO" comment="Nombre del path del directorio donde se encuentra el archivo Control de Buffers más el nombre propio del mismo">NoBorrar!$A$5</definedName>
    <definedName name="EMPRES" comment="Se guarda los datos de la empresa a la cual pertenece la hoja">NoBorrar!$A$14</definedName>
    <definedName name="EMPRESABODEGA">NoBorrar!$A$12</definedName>
    <definedName name="EMPRESABODEGA1">NoBorrar!$A$10</definedName>
    <definedName name="EMPRESABODEGA2">NoBorrar!$A$18</definedName>
    <definedName name="ErrBodegaNoCorresponde">Parametros!$F$13</definedName>
    <definedName name="ErrCalendarioEstacional">Parametros!$F$18</definedName>
    <definedName name="ErrFaltaFinal">Parametros!$F$4</definedName>
    <definedName name="ErrFaltaInicio">Parametros!$F$3</definedName>
    <definedName name="ErrFechaNoPresente">Parametros!$F$2</definedName>
    <definedName name="ErrPerfilMalAsignado">Parametros!$F$17</definedName>
    <definedName name="ErrPerfilNoCorresponde">Parametros!$F$15</definedName>
    <definedName name="ErrProveedMalAsignado">Parametros!$F$16</definedName>
    <definedName name="ErrProveedorNoCorresponde">Parametros!$F$14</definedName>
    <definedName name="ErrRaros">Parametros!$C$3</definedName>
    <definedName name="EXISTEFECHA">NoBorrar!$A$25</definedName>
    <definedName name="Falta_Periodo" comment="Celda donde se calcula si el período tiene suficientes fechas para cubrir el horizonte con el fin más lejano.">Parametros!$C$2</definedName>
    <definedName name="Fecha_Calendario">Parametros!$C$19</definedName>
    <definedName name="Fecha_Datos_Grafico">GráficoDin!$L$1</definedName>
    <definedName name="FechaEnHorizonte">Parametros!$C$18</definedName>
    <definedName name="FECHAINVFISICO" comment="Fecha correspondiente a la columna en la que se va a insertar el inventario físico actual.">NoBorrar!$A$24</definedName>
    <definedName name="FechaSeleccionada">Parametros!$C$22</definedName>
    <definedName name="Fila_Cabecera_Control">NoBorrar!$C$34</definedName>
    <definedName name="FINPERIODO">NoBorrar!$D$24</definedName>
    <definedName name="FORMATOBASE" comment="Es el rango que tiene el formato base de los datos de saldos de inventari0." localSheetId="34">OFFSET(EstacionalidadDatos!PRIMER_CAMPO,1,0,1,COUNTIF(CONTROL[#Headers],"*/*"))</definedName>
    <definedName name="FORMATOBASE" comment="Es el rango que tiene el formato base de los datos de saldos de inventari0." localSheetId="4">OFFSET(Mal_Atendidos_Suministro!PRIMER_CAMPO,1,0,1,COUNTIF(CONTROL[#Headers],"*/*"))</definedName>
    <definedName name="FORMATOBASE" comment="Es el rango que tiene el formato base de los datos de saldos de inventari0.">OFFSET(PRIMER_CAMPO,1,0,1,COUNTIF(CONTROL[#Headers],"*/*"))</definedName>
    <definedName name="FORMATOCOMPLETO" comment="Es el rango al que se va a copiar los formatos de saldos de inventario." localSheetId="34">OFFSET(EstacionalidadDatos!PRIMER_CAMPO,1,0,COUNTA(Bodega!$A:$A)-1,COUNTIF(CONTROL[#Headers],"*/*"))</definedName>
    <definedName name="FORMATOCOMPLETO" comment="Es el rango al que se va a copiar los formatos de saldos de inventario." localSheetId="4">OFFSET(Mal_Atendidos_Suministro!PRIMER_CAMPO,1,0,COUNTA(Bodega!$A:$A)-1,COUNTIF(CONTROL[#Headers],"*/*"))</definedName>
    <definedName name="FORMATOCOMPLETO" comment="Es el rango al que se va a copiar los formatos de saldos de inventario.">OFFSET(PRIMER_CAMPO,1,0,COUNTA(Bodega!$A:$A)-1,COUNTIF(CONTROL[#Headers],"*/*"))</definedName>
    <definedName name="FREC_REP" comment="Define la frecuencia de reposición actualizada de la bodega actual en el archivo actual. Está expresada en semanas.">NoBorrar!$B$33</definedName>
    <definedName name="FRep">GráficoDin!$G$5</definedName>
    <definedName name="GUARDAROK">NoBorrar!$F$23</definedName>
    <definedName name="HORIZONTE" comment="El listado de días que componen el horizonte de planificación de la hoja." localSheetId="34">OFFSET(EstacionalidadDatos!PRIMER_CAMPO,0,0,1,COUNTIF(CONTROL[#Headers],"*/*"))</definedName>
    <definedName name="HORIZONTE" comment="El listado de días que componen el horizonte de planificación de la hoja." localSheetId="4">OFFSET(Mal_Atendidos_Suministro!PRIMER_CAMPO,0,0,1,COUNTIF(CONTROL[#Headers],"*/*"))</definedName>
    <definedName name="HORIZONTE" comment="El listado de días que componen el horizonte de planificación de la hoja.">OFFSET(PRIMER_CAMPO,0,0,1,COUNTIF(CONTROL[#Headers],"*/*"))</definedName>
    <definedName name="HorizonteBodega" comment="Trae el horizonte de revisión de buffers.">NoBorrar!$A$33</definedName>
    <definedName name="HOY">Parametros!$C$7</definedName>
    <definedName name="IDIOMA">Parametros!$C$5</definedName>
    <definedName name="INIPERIODO">NoBorrar!$D$23</definedName>
    <definedName name="INVFISICOACTUAL" comment="Rango que toma el inventario físico actual para pasarlo al campo de Fecha seleccionado para ir creando el historial." localSheetId="34">OFFSET(CONTROL[[#Headers],[Inv Fís Act]],1,0,COUNTA(Bodega!$A:$A)-1,1)</definedName>
    <definedName name="INVFISICOACTUAL" comment="Rango que toma el inventario físico actual para pasarlo al campo de Fecha seleccionado para ir creando el historial." localSheetId="4">OFFSET(CONTROL[[#Headers],[Inv Fís Act]],1,0,COUNTA(Bodega!$A:$A)-1,1)</definedName>
    <definedName name="INVFISICOACTUAL" comment="Rango que toma el inventario físico actual para pasarlo al campo de Fecha seleccionado para ir creando el historial.">OFFSET(CONTROL[[#Headers],[Inv Fís Act]],1,0,COUNTA(Bodega!$A:$A)-1,1)</definedName>
    <definedName name="ListaBodegaPerfil" localSheetId="34">Tabla_ArchivosBodegas[BodegaPerfil]</definedName>
    <definedName name="ListaBodegaPerfil" localSheetId="4">Tabla_ArchivosBodegas[BodegaPerfil]</definedName>
    <definedName name="ListaBodegaPerfil">Tabla_ArchivosBodegas[BodegaPerfil]</definedName>
    <definedName name="ListaBodegaProveedor" comment="Sirve para unificar la bodega con el proveedor para establecer el formato condicional que determina si el proveedor seleccionado no es compatible con la bodega seleccionada." localSheetId="34">Tabla_Proveedores[BodegaProveedor]</definedName>
    <definedName name="ListaBodegaProveedor" comment="Sirve para unificar la bodega con el proveedor para establecer el formato condicional que determina si el proveedor seleccionado no es compatible con la bodega seleccionada." localSheetId="4">Tabla_Proveedores[BodegaProveedor]</definedName>
    <definedName name="ListaBodegaProveedor" comment="Sirve para unificar la bodega con el proveedor para establecer el formato condicional que determina si el proveedor seleccionado no es compatible con la bodega seleccionada.">Tabla_Proveedores[BodegaProveedor]</definedName>
    <definedName name="ListaNombresPedidoMinimo" localSheetId="4">tbl_Nombres_Redondeo_Pedido_Minimo[NombreUnico]</definedName>
    <definedName name="ListaNombresPedidoMinimo">tbl_Nombres_Redondeo_Pedido_Minimo[NombreUnico]</definedName>
    <definedName name="ListaPerfiles" localSheetId="34">Tabla_Perfiles_Permitidos[Perfil]</definedName>
    <definedName name="ListaPerfiles" localSheetId="4">Tabla_Perfiles_Permitidos[Perfil]</definedName>
    <definedName name="ListaPerfiles">Tabla_Perfiles_Permitidos[Perfil]</definedName>
    <definedName name="ListaProveedores" comment="Lista de los Proveedores permitidos para seleccionar en las diferentes bodegas." localSheetId="34">Tabla_Proveedores_Permitidos[PROVEEDOR]</definedName>
    <definedName name="ListaProveedores" comment="Lista de los Proveedores permitidos para seleccionar en las diferentes bodegas." localSheetId="4">Tabla_Proveedores_Permitidos[PROVEEDOR]</definedName>
    <definedName name="ListaProveedores" comment="Lista de los Proveedores permitidos para seleccionar en las diferentes bodegas.">Tabla_Proveedores_Permitidos[PROVEEDOR]</definedName>
    <definedName name="Mas_menos">Parametros!$C$23</definedName>
    <definedName name="MinFinalPeriodo">Parametros!$C$20</definedName>
    <definedName name="MININICIO">NoBorrar!$O$3</definedName>
    <definedName name="NOMBREPESTANA">NoBorrar!$A$27</definedName>
    <definedName name="NOMBREPESTANA1">NoBorrar!$C$27</definedName>
    <definedName name="NOMBREWORKBOOK" comment="Es el nombre del workbook actual incluyendo la extensión.">NoBorrar!$A$22</definedName>
    <definedName name="NOMSIMPLIFICADO">NoBorrar!$A$21</definedName>
    <definedName name="ObsNotables">NoBorrar!$AA$1:$AA$12</definedName>
    <definedName name="ParametrosBodega" localSheetId="34">Tabla_Bodegas_Permitidas[]</definedName>
    <definedName name="PerfilesPermitidos" localSheetId="34">Tabla_Perfiles_Permitidos[Perfil]</definedName>
    <definedName name="PerfilesPermitidos" localSheetId="4">Tabla_Perfiles_Permitidos[Perfil]</definedName>
    <definedName name="PerfilesPermitidos">Tabla_Perfiles_Permitidos[Perfil]</definedName>
    <definedName name="PERIODO">NoBorrar!$O$2</definedName>
    <definedName name="PicoCalculado">GráficoDin!$AL$7</definedName>
    <definedName name="PicoUsuario">GráficoDin!$AL$11</definedName>
    <definedName name="PRIMER_CAMPO" comment="Es el primer campo de los que comienzan con fechas para guardar los saldos de inventario. Sirve como base para empezar a crear los nuevos campos." localSheetId="34">OFFSET(CONTROL[[#Headers],[BODEGA]],0,MATCH("*/*",CONTROL[#Headers],0)-1,1,1)</definedName>
    <definedName name="PRIMER_CAMPO" comment="Es el primer campo de los que comienzan con fechas para guardar los saldos de inventario. Sirve como base para empezar a crear los nuevos campos." localSheetId="4">OFFSET(CONTROL[[#Headers],[BODEGA]],0,MATCH("*/*",CONTROL[#Headers],0)-1,1,1)</definedName>
    <definedName name="PRIMER_CAMPO" comment="Es el primer campo de los que comienzan con fechas para guardar los saldos de inventario. Sirve como base para empezar a crear los nuevos campos.">OFFSET(CONTROL[[#Headers],[BODEGA]],0,MATCH("*/*",CONTROL[#Headers],0)-1,1,1)</definedName>
    <definedName name="ProveedoresPermitidos" comment="Rango que tiene la lista de los Proveedores que están permitidos en el presente archivo" localSheetId="34">Tabla_Proveedores_Permitidos[PROVEEDOR]</definedName>
    <definedName name="ProveedoresPermitidos" comment="Rango que tiene la lista de los Proveedores que están permitidos en el presente archivo" localSheetId="4">Tabla_Proveedores_Permitidos[PROVEEDOR]</definedName>
    <definedName name="ProveedoresPermitidos" comment="Rango que tiene la lista de los Proveedores que están permitidos en el presente archivo">Tabla_Proveedores_Permitidos[PROVEEDOR]</definedName>
    <definedName name="RangoCausas" comment="Rango móvil que sirve para detectar las causas actualizadas y poder asignarlas al campo observación." localSheetId="34">OFFSET(Tabla_Causas[[#Headers],[Causa]],1,0,COUNTA(Tabla_Causas[]),1)</definedName>
    <definedName name="RangoCausas" comment="Rango móvil que sirve para detectar las causas actualizadas y poder asignarlas al campo observación." localSheetId="4">Tabla_Causas[Causa]</definedName>
    <definedName name="RangoCausas" comment="Rango móvil que sirve para detectar las causas actualizadas y poder asignarlas al campo observación.">Tabla_Causas[Causa]</definedName>
    <definedName name="RANGOFECHAFISICO" comment="Es el rango donde se va a incluir los datos de inventario físico según la selección que se haya hecho con el formulario de carga de inventario físico." localSheetId="34">OFFSET(EstacionalidadDatos!PRIMER_CAMPO,1,MATCH([1]!FECHAINVFISICO,EstacionalidadDatos!HORIZONTE,0)-1,COUNTA(Bodega!$A:$A)-1,1)</definedName>
    <definedName name="RANGOFECHAFISICO" comment="Es el rango donde se va a incluir los datos de inventario físico según la selección que se haya hecho con el formulario de carga de inventario físico." localSheetId="4">OFFSET(Mal_Atendidos_Suministro!PRIMER_CAMPO,1,MATCH([0]!FECHAINVFISICO,Mal_Atendidos_Suministro!HORIZONTE,0)-1,COUNTA(Bodega!$A:$A)-1,1)</definedName>
    <definedName name="RANGOFECHAFISICO" comment="Es el rango donde se va a incluir los datos de inventario físico según la selección que se haya hecho con el formulario de carga de inventario físico.">OFFSET(PRIMER_CAMPO,1,MATCH(FECHAINVFISICO,HORIZONTE,0)-1,COUNTA(Bodega!$A:$A)-1,1)</definedName>
    <definedName name="RANGOFECHAPERIODO" comment="Rango desde la fecha de inicio hasta fecha de fin del período seleccionado para cargar al Historial" localSheetId="34">OFFSET(EstacionalidadDatos!PRIMER_CAMPO,0,MATCH([1]!INIPERIODO,EstacionalidadDatos!HORIZONTE,0)-1,1,MATCH([1]!FINPERIODO,EstacionalidadDatos!HORIZONTE,0)-MATCH([1]!INIPERIODO,EstacionalidadDatos!HORIZONTE,0)+1)</definedName>
    <definedName name="RANGOFISICOHISTORICO" comment="Rango de los valores de inventario físico histórico en cada hoja de Control de Buffers. Está indexado al código y a la fecha de toma del saldo de inventario." localSheetId="34">OFFSET(EstacionalidadDatos!PRIMER_CAMPO,1,0,COUNTA(CONTROL[CODIGO]),COLUMNS(EstacionalidadDatos!HORIZONTE))</definedName>
    <definedName name="RangoInventario" localSheetId="34">OFFSET(EstacionalidadDatos!PRIMER_CAMPO,MATCH(INDIRECT("A"&amp;MATCH(CODGRAFICO,Bodega!$A:$A,0)),CONTROL[CODIGO],0),0,1,COUNTIF(CONTROL[#Headers],"*/*"))</definedName>
    <definedName name="SegmentaciónDeDatos_BODEGA">#N/A</definedName>
    <definedName name="SegmentaciónDeDatos_Clasificación">#N/A</definedName>
    <definedName name="SegmentaciónDeDatos_Color">#N/A</definedName>
    <definedName name="SegmentaciónDeDatos_Estatus">#N/A</definedName>
    <definedName name="SegmentaciónDeDatos_Perfil">#N/A</definedName>
    <definedName name="SegmentaciónDeDatos_Proveedor">#N/A</definedName>
    <definedName name="SegmentaciónDeDatos_Responsable">#N/A</definedName>
    <definedName name="SegmentaciónDeDatos_Ult_Cambio">#N/A</definedName>
    <definedName name="SeleccionCalendarios" comment="Campo que sirve para la validación de datos del Calendario Estacional." localSheetId="34">Tabla_Esta[CALENDARIO]</definedName>
    <definedName name="SeleccionCalendarios" comment="Campo que sirve para la validación de datos del Calendario Estacional." localSheetId="4">Tabla_Est[CALENDARIO]</definedName>
    <definedName name="SeleccionCalendarios" comment="Campo que sirve para la validación de datos del Calendario Estacional.">Tabla_Est[CALENDARIO]</definedName>
    <definedName name="SeleccionCalendariosNueva" localSheetId="4">Tabla_Esta[CALENDARIO]</definedName>
    <definedName name="SeleccionCalendariosNueva">Tabla_Esta[CALENDARIO]</definedName>
    <definedName name="sep_lis">Parametros!$C$6</definedName>
    <definedName name="Servicio_Calculado">Parametros!$C$21</definedName>
    <definedName name="TablaErrores">Parametros!$E$1:$F$19</definedName>
    <definedName name="tblDatosSinHistorial" comment="El rango de la hoja, pero sin incluir el historial, para permitir que se traigan los datos desde consultas ADO. Ojo, está utilizando la notación normal, pero es dinámica a la vez porque está dentro de tabla de Excel.">Bodega!$A$2:$DI$289</definedName>
    <definedName name="tblEmpresa">Empresa!$B$1:$T$2</definedName>
    <definedName name="tblEmpresaDatos">Empresa!$K$1:$K$2</definedName>
    <definedName name="tblInventarioHoy" localSheetId="4">OFFSET(CONTROL[[#Headers],[BODEGA]],0,MATCH(TEXT([0]!HOY,"dd/mm/yyyy"),CONTROL[#Headers],0)-1,ROWS([0]!tblDatosSinHistorial),1)</definedName>
    <definedName name="tblInventarioHoy">OFFSET(CONTROL[[#Headers],[BODEGA]],0,MATCH(TEXT(HOY,"dd/mm/yyyy"),CONTROL[#Headers],0)-1,ROWS(tblDatosSinHistorial),1)</definedName>
    <definedName name="TIEMPO_SUMINISTRO" comment="Define el tiempo de reposición actualizado de la bodega actual en el archivo actual. Está expresado en semanas.">NoBorrar!$C$33</definedName>
    <definedName name="TRep">GráficoDin!$G$4</definedName>
    <definedName name="US">USER!$A$1</definedName>
    <definedName name="USUARIO">NoBorrar!$AD$1</definedName>
  </definedNames>
  <calcPr calcId="152511"/>
  <pivotCaches>
    <pivotCache cacheId="17" r:id="rId53"/>
    <pivotCache cacheId="18" r:id="rId54"/>
    <pivotCache cacheId="19" r:id="rId55"/>
    <pivotCache cacheId="20" r:id="rId5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57"/>
        <x14:slicerCache r:id="rId58"/>
        <x14:slicerCache r:id="rId59"/>
        <x14:slicerCache r:id="rId60"/>
        <x14:slicerCache r:id="rId61"/>
        <x14:slicerCache r:id="rId62"/>
        <x14:slicerCache r:id="rId63"/>
        <x14:slicerCache r:id="rId64"/>
      </x15:slicerCaches>
    </ext>
  </extLst>
</workbook>
</file>

<file path=xl/calcChain.xml><?xml version="1.0" encoding="utf-8"?>
<calcChain xmlns="http://schemas.openxmlformats.org/spreadsheetml/2006/main">
  <c r="C2" i="44" l="1"/>
  <c r="G2" i="37"/>
  <c r="G3" i="37"/>
  <c r="G4" i="37"/>
  <c r="G5" i="37"/>
  <c r="G6" i="37"/>
  <c r="G7" i="37"/>
  <c r="G8" i="37"/>
  <c r="G9" i="37"/>
  <c r="G10" i="37"/>
  <c r="G11" i="37"/>
  <c r="AA12" i="6" l="1"/>
  <c r="AA11" i="6"/>
  <c r="AA4" i="6"/>
  <c r="AA6" i="6"/>
  <c r="AA10" i="6"/>
  <c r="AA5" i="6" l="1"/>
  <c r="AA7" i="6" a="1"/>
  <c r="AA7" i="6" s="1"/>
  <c r="AA9" i="6"/>
  <c r="F2" i="44"/>
  <c r="DP3" i="45" l="1"/>
  <c r="DN3" i="45"/>
  <c r="DK3" i="45"/>
  <c r="DJ3" i="45"/>
  <c r="DO3" i="45" l="1"/>
  <c r="DM3" i="45"/>
  <c r="DL3" i="45"/>
  <c r="AA3" i="6" l="1"/>
  <c r="I2" i="16"/>
  <c r="F19" i="27" l="1"/>
  <c r="F18" i="27" a="1"/>
  <c r="F18" i="27" s="1"/>
  <c r="F17" i="27" a="1"/>
  <c r="F17" i="27" s="1"/>
  <c r="F16" i="27" a="1"/>
  <c r="F16" i="27" s="1"/>
  <c r="F15" i="27" a="1"/>
  <c r="F15" i="27" s="1"/>
  <c r="F14" i="27" a="1"/>
  <c r="F14" i="27" s="1"/>
  <c r="F13" i="27" a="1"/>
  <c r="F13" i="27" s="1"/>
  <c r="F11" i="27"/>
  <c r="F10" i="27"/>
  <c r="F9" i="27"/>
  <c r="F8" i="27"/>
  <c r="F7" i="27"/>
  <c r="F6" i="27"/>
  <c r="F5" i="27"/>
  <c r="BS3" i="45" l="1"/>
  <c r="CS3" i="45" l="1"/>
  <c r="CR3" i="45" a="1"/>
  <c r="CR3" i="45" s="1"/>
  <c r="BN3" i="45" l="1"/>
  <c r="CX3" i="45"/>
  <c r="CW3" i="45"/>
  <c r="BO3" i="45" l="1"/>
  <c r="BZ3" i="45" l="1"/>
  <c r="CD3" i="45"/>
  <c r="CE3" i="45"/>
  <c r="CA3" i="45"/>
  <c r="BL3" i="45"/>
  <c r="CG3" i="45" l="1"/>
  <c r="CF3" i="45"/>
  <c r="BV3" i="45"/>
  <c r="BY3" i="45"/>
  <c r="BX3" i="45"/>
  <c r="BW3" i="45"/>
  <c r="BT3" i="45"/>
  <c r="BU3" i="45" l="1"/>
  <c r="AP3" i="45"/>
  <c r="AR3" i="45"/>
  <c r="AT3" i="45"/>
  <c r="C34" i="6"/>
  <c r="DH3" i="45" l="1"/>
  <c r="CC3" i="45"/>
  <c r="AS3" i="45"/>
  <c r="AH3" i="45" l="1"/>
  <c r="AG3" i="45"/>
  <c r="AF3" i="45"/>
  <c r="AV3" i="45"/>
  <c r="BM3" i="45"/>
  <c r="CB3" i="45"/>
  <c r="CO3" i="45" l="1"/>
  <c r="CH3" i="45"/>
  <c r="AQ3" i="45"/>
  <c r="CN3" i="45"/>
  <c r="A25" i="6"/>
  <c r="T2" i="16"/>
  <c r="F2" i="16"/>
  <c r="J2" i="16"/>
  <c r="CP3" i="45" l="1"/>
  <c r="D5" i="50" l="1"/>
  <c r="C4" i="50"/>
  <c r="B3" i="50"/>
  <c r="A2" i="50"/>
  <c r="U2" i="16" l="1"/>
  <c r="L2" i="20" l="1"/>
  <c r="K2" i="20"/>
  <c r="G35" i="20" l="1"/>
  <c r="G36" i="20" s="1"/>
  <c r="O19" i="20" l="1" a="1"/>
  <c r="O19" i="20" s="1"/>
  <c r="L6" i="20" a="1"/>
  <c r="L6" i="20" s="1"/>
  <c r="L10" i="20" a="1"/>
  <c r="L10" i="20" s="1"/>
  <c r="M2" i="20" a="1"/>
  <c r="M2" i="20" s="1"/>
  <c r="AP1" i="20" a="1"/>
  <c r="AP1" i="20" s="1"/>
  <c r="AP2" i="20" a="1"/>
  <c r="AP2" i="20" s="1"/>
  <c r="L8" i="20" a="1"/>
  <c r="L8" i="20" s="1"/>
  <c r="L15" i="20" a="1"/>
  <c r="L15" i="20" s="1"/>
  <c r="L4" i="20" a="1"/>
  <c r="L4" i="20" s="1"/>
  <c r="L17" i="20" a="1"/>
  <c r="L17" i="20" s="1"/>
  <c r="L20" i="20" a="1"/>
  <c r="L20" i="20" s="1"/>
  <c r="L24" i="20" a="1"/>
  <c r="L24" i="20" s="1"/>
  <c r="L27" i="20" a="1"/>
  <c r="L27" i="20" s="1"/>
  <c r="O9" i="20" a="1"/>
  <c r="O9" i="20" s="1"/>
  <c r="O16" i="20" a="1"/>
  <c r="O16" i="20" s="1"/>
  <c r="L3" i="20" a="1"/>
  <c r="L3" i="20" s="1"/>
  <c r="L12" i="20" a="1"/>
  <c r="L12" i="20" s="1"/>
  <c r="L14" i="20" a="1"/>
  <c r="L14" i="20" s="1"/>
  <c r="L19" i="20" a="1"/>
  <c r="L19" i="20" s="1"/>
  <c r="L21" i="20" a="1"/>
  <c r="L21" i="20" s="1"/>
  <c r="L23" i="20" a="1"/>
  <c r="L23" i="20" s="1"/>
  <c r="L25" i="20" a="1"/>
  <c r="L25" i="20" s="1"/>
  <c r="L28" i="20" a="1"/>
  <c r="L28" i="20" s="1"/>
  <c r="L30" i="20" a="1"/>
  <c r="L30" i="20" s="1"/>
  <c r="O13" i="20" a="1"/>
  <c r="O13" i="20" s="1"/>
  <c r="O15" i="20" a="1"/>
  <c r="O15" i="20" s="1"/>
  <c r="O17" i="20" a="1"/>
  <c r="O17" i="20" s="1"/>
  <c r="L26" i="20" a="1"/>
  <c r="L26" i="20" s="1"/>
  <c r="L31" i="20" a="1"/>
  <c r="L31" i="20" s="1"/>
  <c r="L34" i="20" a="1"/>
  <c r="L34" i="20" s="1"/>
  <c r="L36" i="20" a="1"/>
  <c r="L36" i="20" s="1"/>
  <c r="O8" i="20" a="1"/>
  <c r="O8" i="20" s="1"/>
  <c r="O11" i="20" a="1"/>
  <c r="O11" i="20" s="1"/>
  <c r="O18" i="20" a="1"/>
  <c r="O18" i="20" s="1"/>
  <c r="L13" i="20" a="1"/>
  <c r="L13" i="20" s="1"/>
  <c r="L22" i="20" a="1"/>
  <c r="L22" i="20" s="1"/>
  <c r="L29" i="20" a="1"/>
  <c r="L29" i="20" s="1"/>
  <c r="O12" i="20" a="1"/>
  <c r="O12" i="20" s="1"/>
  <c r="O14" i="20" a="1"/>
  <c r="O14" i="20" s="1"/>
  <c r="L5" i="20" a="1"/>
  <c r="L5" i="20" s="1"/>
  <c r="L9" i="20" a="1"/>
  <c r="L9" i="20" s="1"/>
  <c r="L11" i="20" a="1"/>
  <c r="L11" i="20" s="1"/>
  <c r="L16" i="20" a="1"/>
  <c r="L16" i="20" s="1"/>
  <c r="L18" i="20" a="1"/>
  <c r="L18" i="20" s="1"/>
  <c r="L35" i="20" a="1"/>
  <c r="L35" i="20" s="1"/>
  <c r="L39" i="20" a="1"/>
  <c r="L39" i="20" s="1"/>
  <c r="O10" i="20" a="1"/>
  <c r="O10" i="20" s="1"/>
  <c r="G37" i="20" l="1"/>
  <c r="M34" i="20"/>
  <c r="M42" i="20" s="1"/>
  <c r="M38" i="20"/>
  <c r="M40" i="20"/>
  <c r="M41" i="20" l="1"/>
  <c r="M43" i="20" s="1"/>
  <c r="L40" i="20"/>
  <c r="L38" i="20" l="1"/>
  <c r="L42" i="20"/>
  <c r="S4" i="6" l="1"/>
  <c r="L37" i="20" l="1"/>
  <c r="L41" i="20" a="1"/>
  <c r="L41" i="20" s="1"/>
  <c r="L43" i="20" s="1"/>
  <c r="C6" i="27"/>
  <c r="A14" i="6" l="1"/>
  <c r="A19" i="6" s="1"/>
  <c r="C5" i="27"/>
  <c r="C7" i="27" l="1"/>
  <c r="DS3" i="45" a="1"/>
  <c r="DR3" i="45"/>
  <c r="W5" i="38" l="1" a="1"/>
  <c r="W5" i="38" s="1"/>
  <c r="W9" i="38" a="1"/>
  <c r="W9" i="38" s="1"/>
  <c r="W3" i="38" a="1"/>
  <c r="W3" i="38" s="1"/>
  <c r="W7" i="38" a="1"/>
  <c r="W7" i="38" s="1"/>
  <c r="W11" i="38" a="1"/>
  <c r="W11" i="38" s="1"/>
  <c r="W2" i="38" a="1"/>
  <c r="W2" i="38" s="1"/>
  <c r="W6" i="38" a="1"/>
  <c r="W6" i="38" s="1"/>
  <c r="W10" i="38" a="1"/>
  <c r="W10" i="38" s="1"/>
  <c r="W4" i="38" a="1"/>
  <c r="W4" i="38" s="1"/>
  <c r="W8" i="38" a="1"/>
  <c r="W8" i="38" s="1"/>
  <c r="W12" i="38" a="1"/>
  <c r="W12" i="38" s="1"/>
  <c r="L7" i="20" a="1"/>
  <c r="L7" i="20" s="1"/>
  <c r="DS3" i="45"/>
  <c r="F2" i="27" a="1"/>
  <c r="F2" i="27" s="1"/>
  <c r="AU3" i="45"/>
  <c r="G2" i="16"/>
  <c r="D2" i="16" l="1"/>
  <c r="E2" i="16"/>
  <c r="O2" i="6"/>
  <c r="H2" i="16" l="1"/>
  <c r="D8" i="27"/>
  <c r="AA2" i="6" l="1"/>
  <c r="AA8" i="6"/>
  <c r="AI3" i="45"/>
  <c r="C53" i="6" l="1"/>
  <c r="DA3" i="45"/>
  <c r="L33" i="20" l="1" a="1"/>
  <c r="L33" i="20" s="1"/>
  <c r="L32" i="20" a="1"/>
  <c r="L32" i="20" s="1"/>
  <c r="A53" i="6"/>
  <c r="F23" i="6" l="1"/>
  <c r="A50" i="6" l="1"/>
  <c r="CK3" i="45" l="1"/>
  <c r="A6" i="6"/>
  <c r="A4" i="6"/>
  <c r="A5" i="6" s="1"/>
  <c r="K2" i="16" s="1"/>
  <c r="C2" i="16" l="1"/>
  <c r="A20" i="6"/>
  <c r="A21" i="6" s="1"/>
  <c r="A8" i="6"/>
  <c r="A10" i="6" s="1"/>
  <c r="A12" i="6" s="1"/>
  <c r="F4" i="27" l="1" a="1"/>
  <c r="F4" i="27" s="1"/>
  <c r="A16" i="6"/>
  <c r="A22" i="6"/>
  <c r="B2" i="16" l="1"/>
  <c r="C20" i="27" a="1"/>
  <c r="C20" i="27" s="1"/>
  <c r="A27" i="6"/>
  <c r="C27" i="6" s="1"/>
  <c r="O1" i="6" s="1"/>
  <c r="B53" i="6"/>
  <c r="A18" i="6"/>
  <c r="CL3" i="45" l="1"/>
  <c r="CV3" i="45" l="1" a="1"/>
  <c r="CV3" i="45" s="1"/>
  <c r="AJ3" i="45"/>
  <c r="AO3" i="45" l="1"/>
  <c r="AL3" i="45" a="1"/>
  <c r="AL3" i="45" s="1"/>
  <c r="AN3" i="45" l="1"/>
  <c r="O3" i="6" l="1"/>
  <c r="F12" i="27"/>
  <c r="F3" i="27" a="1"/>
  <c r="F3" i="27" s="1"/>
  <c r="C3" i="27"/>
  <c r="CU3" i="45"/>
  <c r="DB3" i="45"/>
  <c r="DQ3" i="45"/>
  <c r="DC3" i="45"/>
  <c r="CY3" i="45"/>
  <c r="DD3" i="45"/>
  <c r="DF3" i="45"/>
  <c r="DE3" i="45"/>
  <c r="C2" i="27" l="1" a="1"/>
  <c r="C2" i="27" s="1"/>
  <c r="N4" i="6" s="1"/>
  <c r="I3" i="45"/>
  <c r="E3" i="45"/>
  <c r="H3" i="45"/>
  <c r="Y3" i="45"/>
  <c r="W3" i="45"/>
  <c r="J3" i="45"/>
  <c r="O3" i="45"/>
  <c r="P3" i="45"/>
  <c r="AB3" i="45"/>
  <c r="K3" i="45"/>
  <c r="Z3" i="45"/>
  <c r="V3" i="45"/>
  <c r="AC3" i="45"/>
  <c r="X3" i="45"/>
  <c r="G3" i="45"/>
  <c r="D3" i="45"/>
  <c r="F3" i="45"/>
  <c r="M3" i="45"/>
  <c r="N3" i="45"/>
  <c r="L3" i="45"/>
  <c r="AA3" i="45"/>
  <c r="CM3" i="45"/>
  <c r="AK3" i="45"/>
  <c r="CT3" i="45" a="1"/>
  <c r="CT3" i="45" s="1"/>
  <c r="DG3" i="45" a="1"/>
  <c r="DG3" i="45" s="1"/>
  <c r="CZ3" i="45"/>
  <c r="N2" i="16"/>
  <c r="O2" i="16"/>
  <c r="S2" i="6" s="1"/>
  <c r="M2" i="16"/>
  <c r="S1" i="6" s="1"/>
  <c r="P2" i="16"/>
  <c r="S3" i="6" s="1"/>
  <c r="V2" i="6" l="1" a="1"/>
  <c r="V2" i="6" s="1"/>
  <c r="V6" i="6" a="1"/>
  <c r="V6" i="6" s="1"/>
  <c r="V4" i="6" a="1"/>
  <c r="V4" i="6" s="1"/>
  <c r="V3" i="6" a="1"/>
  <c r="V3" i="6" s="1"/>
  <c r="V7" i="6" a="1"/>
  <c r="V7" i="6" s="1"/>
  <c r="V1" i="6" a="1"/>
  <c r="V1" i="6" s="1"/>
  <c r="V5" i="6" a="1"/>
  <c r="V5" i="6" s="1"/>
</calcChain>
</file>

<file path=xl/comments1.xml><?xml version="1.0" encoding="utf-8"?>
<comments xmlns="http://schemas.openxmlformats.org/spreadsheetml/2006/main">
  <authors>
    <author>CAS</author>
    <author>USER</author>
    <author>Carlos Semanate</author>
    <author>Windows User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Nombre de la Bodega Actual. Es el nombre propio del sistema, y puede o no puede coincidir con los nombres utilizados en la empresa ya que puede ser una bodega consolidada, virtual o parte de una bodega real.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Identificador único del Ítem.</t>
        </r>
      </text>
    </comment>
    <comment ref="C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Código que está vigente dados los datos de Código vinculado y código genérico.</t>
        </r>
      </text>
    </comment>
    <comment ref="D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 xml:space="preserve">Código del SKU que reemplaza al actual.
</t>
        </r>
      </text>
    </comment>
    <comment ref="E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Código agrupador al cual pertenece el sku actual. Obedece a la agrupación de buffers deseada por la empresa.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Nombre descriptivo del Ítem.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Grupo al cual pertenece el Ítem.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Línea a la cual pertenece el Ítem.</t>
        </r>
      </text>
    </comment>
    <comment ref="I2" authorId="1" shapeId="0">
      <text>
        <r>
          <rPr>
            <b/>
            <sz val="9"/>
            <color indexed="81"/>
            <rFont val="Tahoma"/>
            <family val="2"/>
          </rPr>
          <t xml:space="preserve">CAS: </t>
        </r>
        <r>
          <rPr>
            <sz val="9"/>
            <color indexed="81"/>
            <rFont val="Tahoma"/>
            <family val="2"/>
          </rPr>
          <t>Sublínea a la cual pertenece el ítem.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" authorId="1" shapeId="0">
      <text>
        <r>
          <rPr>
            <b/>
            <sz val="9"/>
            <color indexed="81"/>
            <rFont val="Tahoma"/>
            <family val="2"/>
          </rPr>
          <t xml:space="preserve">CAS: </t>
        </r>
        <r>
          <rPr>
            <sz val="9"/>
            <color indexed="81"/>
            <rFont val="Tahoma"/>
            <family val="2"/>
          </rPr>
          <t xml:space="preserve">Familia a la cual pertenece el ítem.
</t>
        </r>
      </text>
    </comment>
    <comment ref="K2" authorId="1" shapeId="0">
      <text>
        <r>
          <rPr>
            <b/>
            <sz val="9"/>
            <color indexed="81"/>
            <rFont val="Tahoma"/>
            <family val="2"/>
          </rPr>
          <t xml:space="preserve">CAS: </t>
        </r>
        <r>
          <rPr>
            <sz val="9"/>
            <color indexed="81"/>
            <rFont val="Tahoma"/>
            <family val="2"/>
          </rPr>
          <t xml:space="preserve">Subfamilia a la cual pertenece el ítem.
</t>
        </r>
      </text>
    </comment>
    <comment ref="L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Categoría a la que pertenece el ítem.</t>
        </r>
      </text>
    </comment>
    <comment ref="M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 xml:space="preserve">Tipo al cual pertenece el ítem.
</t>
        </r>
      </text>
    </comment>
    <comment ref="N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Marca del ítem.</t>
        </r>
      </text>
    </comment>
    <comment ref="O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Model del ítem.</t>
        </r>
      </text>
    </comment>
    <comment ref="P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Categoría Management del ítem.</t>
        </r>
      </text>
    </comment>
    <comment ref="Q2" authorId="1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Categoría propia de la empresa que tipifica al ítem.</t>
        </r>
      </text>
    </comment>
    <comment ref="R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Categoría propia de la empresa que tipifica al ítem.</t>
        </r>
      </text>
    </comment>
    <comment ref="S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Categoría propia de la empresa que tipifica al ítem.</t>
        </r>
      </text>
    </comment>
    <comment ref="T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Categoría propia de la empresa que tipifica al ítem.</t>
        </r>
      </text>
    </comment>
    <comment ref="U2" authorId="1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Categoría propia de la empresa que tipifica al ítem.</t>
        </r>
      </text>
    </comment>
    <comment ref="V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Clasificación del ítem para saber si es parte del portafolio de productos, si es nuevo o algún otro estatus que tenga presente.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Determina la importancia relativa del ítem como parte de un portafolio.
</t>
        </r>
      </text>
    </comment>
    <comment ref="X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Jefe de la Línea o Agrupación Correspondiente.</t>
        </r>
      </text>
    </comment>
    <comment ref="Y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El Costo Totalmente Variable del Ítem.</t>
        </r>
      </text>
    </comment>
    <comment ref="Z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El Precio de Venta del Ítem en la Bodega Actual.</t>
        </r>
      </text>
    </comment>
    <comment ref="A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Precio vigente de promoción.</t>
        </r>
      </text>
    </comment>
    <comment ref="AD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Proveedor seleccionado para hacer las transferencias a la bodega correspondiente. No es necesariamente el proveedor primario.</t>
        </r>
      </text>
    </comment>
    <comment ref="AE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los parámetros de Horizonte, Tiempo de Suministro, Frecuencia de Reposición y Tiempo de Nivel de Servicio que estarán vigentes para el presente Ítem en la presente bodega en el presente archivo.</t>
        </r>
      </text>
    </comment>
    <comment ref="AF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El número de semanas que componen el horizonte de análisis para el Ítem en la bodega actual.</t>
        </r>
      </text>
    </comment>
    <comment ref="AG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Tiempo de suministro para el presente ítem bodega expresado en semanas.</t>
        </r>
      </text>
    </comment>
    <comment ref="A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Frecuencia de Reposición para el presente ítem bodega expresado en semanas.</t>
        </r>
      </text>
    </comment>
    <comment ref="AI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si la Gestión Dinámica de Buffers (GDB) está activa en el presente Ítem. El valor 1 significa activa mientras que el valor 0 significa inactiva.</t>
        </r>
      </text>
    </comment>
    <comment ref="A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Muestra si un cambio está permitido, y la dirección en la que está permitido (aumento y/o disminución).</t>
        </r>
      </text>
    </comment>
    <comment ref="AK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la Etapa en la cual se encuentra el producto.</t>
        </r>
      </text>
    </comment>
    <comment ref="AN2" authorId="2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El nuevo buffer sugerido por la Gestión Dinámica de Buffers.</t>
        </r>
      </text>
    </comment>
    <comment ref="AO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verbalmente algún comportamiento excepcional del sku.</t>
        </r>
      </text>
    </comment>
    <comment ref="AP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Consumo histórico promedio semanal del sku en los últimos cuatro meses.</t>
        </r>
      </text>
    </comment>
    <comment ref="A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Buffer calculado de acuerdo al consumo y al tiempo de reposición.</t>
        </r>
      </text>
    </comment>
    <comment ref="AR2" authorId="3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para cuántos meses está calculado el buffer dado el consumo promedio.</t>
        </r>
      </text>
    </comment>
    <comment ref="AS2" authorId="3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Define para cuántos meses hay inventario en la tubería dado el consumo promedio.</t>
        </r>
      </text>
    </comment>
    <comment ref="AT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Determina para una cobertura de cuántos meses nuestro proveedor nos está obligando a comprarle al solicitarnos un pedido mínimo.</t>
        </r>
      </text>
    </comment>
    <comment ref="AU2" authorId="3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cuántos días de un mes en el pasado, el sku ha estado desabastecido.</t>
        </r>
      </text>
    </comment>
    <comment ref="AV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Estimación de ventas perdidas.</t>
        </r>
      </text>
    </comment>
    <comment ref="AW2" authorId="0" shapeId="0">
      <text>
        <r>
          <rPr>
            <b/>
            <sz val="8"/>
            <color indexed="81"/>
            <rFont val="Tahoma"/>
            <family val="2"/>
          </rPr>
          <t xml:space="preserve">CAS: </t>
        </r>
        <r>
          <rPr>
            <sz val="8"/>
            <color indexed="81"/>
            <rFont val="Tahoma"/>
            <family val="2"/>
          </rPr>
          <t xml:space="preserve">Lugar donde se insertan observaciones del porqué se cambia o no se cambia un buffer o de algún otro asunto excepcional.
</t>
        </r>
      </text>
    </comment>
    <comment ref="AX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Nuevo Buffer que va a reemplazar al  buffer actual.</t>
        </r>
      </text>
    </comment>
    <comment ref="A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BUF.</t>
        </r>
      </text>
    </comment>
    <comment ref="AZ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RED.</t>
        </r>
      </text>
    </comment>
    <comment ref="B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GDB.</t>
        </r>
      </text>
    </comment>
    <comment ref="BB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Buffer mínimo al cual la GDB está permitida reducir el buffer actual.</t>
        </r>
      </text>
    </comment>
    <comment ref="BC2" authorId="3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Buffer máximo al cual la GDB está permitida aumentar el buffer actual.</t>
        </r>
      </text>
    </comment>
    <comment ref="BD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Pedido mínimo que acepta el proveedor de esta bodega para este ítem específico. Poner 1 si no hay Pedido Mínimo.</t>
        </r>
      </text>
    </comment>
    <comment ref="BE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Campo en el que se elige el perfil de Redondeo de Pedido Mínimo para determinar el cálculo con respecto al Pedido Calculado.</t>
        </r>
      </text>
    </comment>
    <comment ref="BF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Parámetro. Pedido mínimo que acepta el proveedor de esta bodega para el grupo al cual pertenece este ítem.</t>
        </r>
      </text>
    </comment>
    <comment ref="BG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Los pedidos tienen que calcularse como múltiplos de esta cantidad. Poner 1 si no hay unidade de empaque.</t>
        </r>
      </text>
    </comment>
    <comment ref="B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Se define si el Pedido Calculado utilizará un redondeo Normal (=), Hacia Arriba (+) o Hacia Abajo (-) de acuerdo a la Unidad de Empaque.</t>
        </r>
      </text>
    </comment>
    <comment ref="BI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Porcentaje de atención que se le dará al Pedido Calculado en caso que se necesite limitarlo por alguna causa.</t>
        </r>
      </text>
    </comment>
    <comment ref="B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Parámetro. Valor unitario de la pérdida estimada de no tener en stock el Ítem.</t>
        </r>
      </text>
    </comment>
    <comment ref="BK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Buffer Actual del ítem en la presente bodega.</t>
        </r>
      </text>
    </comment>
    <comment ref="BN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Color que representa el estado del buffer con respecto al Inventario Físico. Son iniciales: Verde (V), Amarillo (A), Rojo (R), Negro (N), Lila (L), Gris (G) .</t>
        </r>
      </text>
    </comment>
    <comment ref="BO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Color que representa el estado del buffer en relación al Inventario Proyectado. Son iniciales: Verde (V), Amarillo (A), Rojo (R), Negro (N), Lila (L), Gris (G) .</t>
        </r>
      </text>
    </comment>
    <comment ref="BP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el último buffer que tenía el Ítem antes del cambio ejecutado.</t>
        </r>
      </text>
    </comment>
    <comment ref="B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Buffer que estuvo vigente antes de empezar los cambios por estacionalidad.</t>
        </r>
      </text>
    </comment>
    <comment ref="BR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El buffer final al cual se espera llegar en plena etapa estacional luego de ejecutar los aumentos o disminuciones respectivos.</t>
        </r>
      </text>
    </comment>
    <comment ref="BS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proveedor prioritario para el Ítem en la presente bodega. Si es 1E+09 significa que no se conoce el valor exacto o es teóricamente infinito.</t>
        </r>
      </text>
    </comment>
    <comment ref="BT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Físico actual del Ítem en la bodega definida.</t>
        </r>
      </text>
    </comment>
    <comment ref="BU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el porcentaje de consumo del buffer, siendo 0% equivalente a  que no se ha consumido nada y 100% que se ha consumido todo.</t>
        </r>
      </text>
    </comment>
    <comment ref="BV2" authorId="2" shapeId="0">
      <text>
        <r>
          <rPr>
            <b/>
            <sz val="8"/>
            <color indexed="81"/>
            <rFont val="Tahoma"/>
            <family val="2"/>
          </rPr>
          <t xml:space="preserve">CAS:
</t>
        </r>
        <r>
          <rPr>
            <sz val="8"/>
            <color indexed="81"/>
            <rFont val="Tahoma"/>
            <family val="2"/>
          </rPr>
          <t>El Inventario en Tránsito del Ítem.</t>
        </r>
      </text>
    </comment>
    <comment ref="BW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en tránsito que está en proceso de negociación.</t>
        </r>
      </text>
    </comment>
    <comment ref="BX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en tránsito que está en proceso de producción.</t>
        </r>
      </text>
    </comment>
    <comment ref="B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en tránsito que está ya embarcado.</t>
        </r>
      </text>
    </comment>
    <comment ref="BZ2" authorId="2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que no se ha podido embarcar al cliente, y se ha comprometido en entregarlo apenas haya disponibilidad.</t>
        </r>
      </text>
    </comment>
    <comment ref="CA2" authorId="2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que se ha pedido al proveedor, pero que por falta de disponibilidad no ha entregado, pero ha quedado comprometido en hacerlo cuando disponga de la mercadería.</t>
        </r>
      </text>
    </comment>
    <comment ref="CB2" authorId="2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Inventario Proyectado igual al
Inv Fis+Tráns-Compr+Backord</t>
        </r>
      </text>
    </comment>
    <comment ref="CC2" authorId="3" shapeId="0">
      <text>
        <r>
          <rPr>
            <sz val="9"/>
            <color indexed="81"/>
            <rFont val="Tahoma"/>
            <family val="2"/>
          </rPr>
          <t>CAS:
Indica el porcentaje de consumo del buffer, siendo 0% equivalente a  que no se ha consumido nada y 100% que se ha consumido todo, pero basado en el inventario proyectado.</t>
        </r>
      </text>
    </comment>
    <comment ref="CD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Unidades que han ingresado en el último día a la bodega del presente ítem.</t>
        </r>
      </text>
    </comment>
    <comment ref="CE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Unidades que han salido en el último día de la bodega del presente ítem.</t>
        </r>
      </text>
    </comment>
    <comment ref="CG2" authorId="2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Cantidad sugerida para pedir al proveedor y así regirse a la disciplina del buffer. </t>
        </r>
      </text>
    </comment>
    <comment ref="C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Dados el buffer actual con la frecuencia de reposición y el tiempo de reposición, se calcula el pedido promedio para satisfacer al buffer.</t>
        </r>
      </text>
    </comment>
    <comment ref="CI2" authorId="2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va a pedir realmente.</t>
        </r>
      </text>
    </comment>
    <comment ref="C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Muestra el Calendario Estacional que sigue el ítem.</t>
        </r>
      </text>
    </comment>
    <comment ref="CK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si el ítem está dentro del período Estacional que proviene de su Calendario Estacional. Indica las acciones que debe tomar el Controlador de Buffers para responder a los cambios en Estacionalidad.</t>
        </r>
      </text>
    </comment>
    <comment ref="CL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la etapa de aumento o disminución de buffers en la que se encuentra el Ítem para guiar al Controlador de Buffers.</t>
        </r>
      </text>
    </comment>
    <comment ref="CM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Trúput Dólar Día: Valor acumulado del trúput de los items que están en peligro o que ya han quedado en cero. Medida del estado de cumplimiento del buffer.</t>
        </r>
      </text>
    </comment>
    <comment ref="CN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Dólar Día: Medida del valor monetario del sobreinventario en el tiempo. Indica el impacto del sobreinventario.</t>
        </r>
      </text>
    </comment>
    <comment ref="CO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la rentabilidad individual de cada ítem. Generalmente son las vueltas de inventario basadas en el trúput.</t>
        </r>
      </text>
    </comment>
    <comment ref="CP2" authorId="3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Rentabilidad Proyectada del ítem deducida del consumo esperado dado el buffer actual.</t>
        </r>
      </text>
    </comment>
    <comment ref="C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el factor de velocidad de efectivo. Compara el trúput del item con el tiempo que uno tiene que esperar para que se genere ese trúput.</t>
        </r>
      </text>
    </comment>
    <comment ref="CR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qué tan bien ha sido atendido ese Ítem en esa bodega en un período pasado predeterminado.</t>
        </r>
      </text>
    </comment>
    <comment ref="CS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último cambio de buffer para el Ítem actual.</t>
        </r>
      </text>
    </comment>
    <comment ref="CU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 inicio del horizonte de análisis actual.</t>
        </r>
      </text>
    </comment>
    <comment ref="CV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final del horizonte de análisis de buffers actual.</t>
        </r>
      </text>
    </comment>
    <comment ref="CW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inicio de la última transferencia registrada para este ítem en esta bodega.</t>
        </r>
      </text>
    </comment>
    <comment ref="CX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Final de la última transferencia registrada para este ítem en esta bodega.</t>
        </r>
      </text>
    </comment>
    <comment ref="C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Factor de variabilidad de los saldos de inventario en el horizonte de análisis.</t>
        </r>
      </text>
    </comment>
    <comment ref="CZ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horizonte que está lleno.</t>
        </r>
      </text>
    </comment>
    <comment ref="D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Acumulado de penetraciones en zonas de peligro (negro y rojo). Se pone en rojo cuando el valor sobrepasa una zona roja.</t>
        </r>
      </text>
    </comment>
    <comment ref="DB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horizonte de análisis actual que el buffer ha estado en negro.</t>
        </r>
      </text>
    </comment>
    <comment ref="DC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Porcentaje del horizonte de análisis actual que el buffer ha estado en rojo.</t>
        </r>
      </text>
    </comment>
    <comment ref="DD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Porcentaje del horizonte de análisis actual que el buffer ha estado en amarillo.</t>
        </r>
      </text>
    </comment>
    <comment ref="DE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Porcentaje del horizonte de análisis actual que el buffer ha estado en verde.</t>
        </r>
      </text>
    </comment>
    <comment ref="DF2" authorId="0" shapeId="0">
      <text>
        <r>
          <rPr>
            <b/>
            <sz val="9"/>
            <color indexed="81"/>
            <rFont val="Tahoma"/>
            <family val="2"/>
          </rPr>
          <t xml:space="preserve">CAS:
</t>
        </r>
        <r>
          <rPr>
            <sz val="9"/>
            <color indexed="81"/>
            <rFont val="Tahoma"/>
            <family val="2"/>
          </rPr>
          <t>Porcentaje del horizonte de análisis actual que el buffer ha estado en lila o morado.</t>
        </r>
      </text>
    </comment>
  </commentList>
</comments>
</file>

<file path=xl/comments2.xml><?xml version="1.0" encoding="utf-8"?>
<comments xmlns="http://schemas.openxmlformats.org/spreadsheetml/2006/main">
  <authors>
    <author>CAS</author>
    <author>Carlos Semanate</author>
  </authors>
  <commentList>
    <comment ref="Y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El Costo Totalmente Variable del Ítem.</t>
        </r>
      </text>
    </comment>
    <comment ref="Z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El Precio de Venta del Ítem en la bodega seleccionada.</t>
        </r>
      </text>
    </comment>
    <comment ref="AF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El número de días que componen el horizonte de análisis para el presente ítem bodega.</t>
        </r>
      </text>
    </comment>
    <comment ref="AG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Tiempo de suministro para el presente ítem bodega en días.</t>
        </r>
      </text>
    </comment>
    <comment ref="A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Frecuencia de Reposición para el presente ítem bodega en días.</t>
        </r>
      </text>
    </comment>
    <comment ref="AI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1 si está activa la Gestión Dinámica de Buffers o 0 si está inactiva.</t>
        </r>
      </text>
    </comment>
    <comment ref="A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Identifica si se cumplen los parámetros que permiten hacer un cambio de buffer.</t>
        </r>
      </text>
    </comment>
    <comment ref="AN2" authorId="1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El buffer sugerido por el redimensionamiento dinámico.</t>
        </r>
      </text>
    </comment>
    <comment ref="AW2" authorId="0" shapeId="0">
      <text>
        <r>
          <rPr>
            <b/>
            <sz val="8"/>
            <color indexed="81"/>
            <rFont val="Tahoma"/>
            <family val="2"/>
          </rPr>
          <t xml:space="preserve">CAS: </t>
        </r>
        <r>
          <rPr>
            <sz val="8"/>
            <color indexed="81"/>
            <rFont val="Tahoma"/>
            <family val="2"/>
          </rPr>
          <t xml:space="preserve">Lugar donde se insertan observaciones del porqué se cambia o no se cambia un buffer o de algún asunto excepcional.
</t>
        </r>
      </text>
    </comment>
    <comment ref="A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BUF.</t>
        </r>
      </text>
    </comment>
    <comment ref="AZ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RED.</t>
        </r>
      </text>
    </comment>
    <comment ref="B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hasta la cual no se permitirán sugerencias de GDB.</t>
        </r>
      </text>
    </comment>
    <comment ref="BN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Color que representa el estado del buffer. Son iniciales: Verde (V), Amarillo (A), Rojo (R), Negro (N), Lila (L), Gris (G) .</t>
        </r>
      </text>
    </comment>
    <comment ref="BP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el último buffer que tenía el SKU antes del cambio generado por Gestión Dinámica de Buffers (GDB).</t>
        </r>
      </text>
    </comment>
    <comment ref="B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Buffer Vigente antes de empezar la estacionalidad.</t>
        </r>
      </text>
    </comment>
    <comment ref="BR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Buffer Objetivo con al cual se espera llegar luego de los aumentos o disminuciones.</t>
        </r>
      </text>
    </comment>
    <comment ref="BS2" authorId="0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Físico del proveedor de la presente bodega. Si es 1E+09 significa que el proveedor es la COMPRA.</t>
        </r>
      </text>
    </comment>
    <comment ref="BT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Físico actual del item en la bodega activa.</t>
        </r>
      </text>
    </comment>
    <comment ref="BU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el porcentaje de consumo del buffer, siendo 0% que no se ha consumido nada, y 100%, que se ha consumido todo.</t>
        </r>
      </text>
    </comment>
    <comment ref="BV2" authorId="1" shapeId="0">
      <text>
        <r>
          <rPr>
            <b/>
            <sz val="8"/>
            <color indexed="81"/>
            <rFont val="Tahoma"/>
            <family val="2"/>
          </rPr>
          <t>CAS:
Inventario en Tránsito Actualizado.</t>
        </r>
      </text>
    </comment>
    <comment ref="BZ2" authorId="1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Comprometido Actualizado.</t>
        </r>
      </text>
    </comment>
    <comment ref="CA2" authorId="1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Inventario en Backorder Actualizado.</t>
        </r>
      </text>
    </comment>
    <comment ref="CB2" authorId="1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Inventario Proyectado Actualizado.
Inv Fis+Tráns-Compr+Backord</t>
        </r>
      </text>
    </comment>
    <comment ref="CG2" authorId="1" shapeId="0">
      <text>
        <r>
          <rPr>
            <b/>
            <sz val="8"/>
            <color indexed="81"/>
            <rFont val="Tahoma"/>
            <family val="2"/>
          </rPr>
          <t>Carlos Semanate:</t>
        </r>
        <r>
          <rPr>
            <sz val="8"/>
            <color indexed="81"/>
            <rFont val="Tahoma"/>
            <family val="2"/>
          </rPr>
          <t xml:space="preserve">
Cantidad sugerida de pedido para regirse a la disciplina del buffer. Es cero o negativo si no hay que pedir.</t>
        </r>
      </text>
    </comment>
    <comment ref="CH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Dados el buffer actual con el la frecuencia de reposición y el tiempo de reposición, se calcula el pedido promedio para satisfacer al buffer.</t>
        </r>
      </text>
    </comment>
    <comment ref="CI2" authorId="1" shapeId="0">
      <text>
        <r>
          <rPr>
            <b/>
            <sz val="8"/>
            <color indexed="81"/>
            <rFont val="Tahoma"/>
            <family val="2"/>
          </rPr>
          <t>CAS:</t>
        </r>
        <r>
          <rPr>
            <sz val="8"/>
            <color indexed="81"/>
            <rFont val="Tahoma"/>
            <family val="2"/>
          </rPr>
          <t xml:space="preserve">
Cantidad que se va a pedir realmente.</t>
        </r>
      </text>
    </comment>
    <comment ref="CJ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Muestra el Calendario Estacional que sigue el ítem.</t>
        </r>
      </text>
    </comment>
    <comment ref="CM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Trúput Dólar Día: Valor acumulado del trúput de los items que están en peligro o ya han quedado en cero. Medida del estado de cumplimiento del buffer.</t>
        </r>
      </text>
    </comment>
    <comment ref="CN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Inventario Dólar Día: Medida del valor monetario del inventario que está más arriba del verde. Indica el impacto del sobreinventario.</t>
        </r>
      </text>
    </comment>
    <comment ref="CO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Define la rentabilidad individual de cada ítem. Generalmente son las vueltas de inventario basadas en el trúput.</t>
        </r>
      </text>
    </comment>
    <comment ref="CQ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el factor de velocidad de efectivo. Compara el trúput del item con el tiempo que uno tiene que esperar para que se genere ese trúput.</t>
        </r>
      </text>
    </comment>
    <comment ref="CR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qué tan bien ha sido atendido ese ítem en esa bodega en un período predeterminado.</t>
        </r>
      </text>
    </comment>
    <comment ref="CS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último cambio de buffer para el item actual.</t>
        </r>
      </text>
    </comment>
    <comment ref="CU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 inicio del período de análisis.</t>
        </r>
      </text>
    </comment>
    <comment ref="CV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Fecha del final del período de análisis de buffers.</t>
        </r>
      </text>
    </comment>
    <comment ref="CY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Factor de variabilidad de los saldos de inventario.</t>
        </r>
      </text>
    </comment>
    <comment ref="DA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Acumulado de penetraciones en zonas de peligro (negro y rojo). Se pone en rojo cuando el valor sobrepasa una zona roja.</t>
        </r>
      </text>
    </comment>
    <comment ref="DB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negro.</t>
        </r>
      </text>
    </comment>
    <comment ref="DC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rojo</t>
        </r>
      </text>
    </comment>
    <comment ref="DD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amarillo.</t>
        </r>
      </text>
    </comment>
    <comment ref="DE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verde.</t>
        </r>
      </text>
    </comment>
    <comment ref="DF2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Porcentaje del período actual que el buffer ha estado en lila.</t>
        </r>
      </text>
    </comment>
  </commentList>
</comments>
</file>

<file path=xl/comments3.xml><?xml version="1.0" encoding="utf-8"?>
<comments xmlns="http://schemas.openxmlformats.org/spreadsheetml/2006/main">
  <authors>
    <author>CAS</author>
  </authors>
  <commentList>
    <comment ref="P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Semana en la que se entra en estacionalidad, y se hace el primer aumento.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Semana en la que se puede hacer el último aumento antes que llegue el PICO.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Período en semanas que puede durar el aumento de buffers, de hacérselo paulatinamente.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Número de aumentos semanales posibles.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Vector que indica con unos y ceros en qué períodos se va a hacer un aumento de buffers.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Vector que indica con unos y ceros en qué períodos se va a hacer una disminución de buffers.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Da un vector con el orden del aumento para sumarlo al inicio de los aumentos.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Da un vector con el orden de la disminución para sumarlo al inicio de las disminuciones.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un array con el período exacto que habrá el aumento, tomando en cuenta las correcciones semanales por sobrepasar el año.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Es un array con el período exacto que habrá la reducción, tomando en cuenta las correcciones semanales por sobrepasar el año.</t>
        </r>
      </text>
    </comment>
  </commentList>
</comments>
</file>

<file path=xl/comments4.xml><?xml version="1.0" encoding="utf-8"?>
<comments xmlns="http://schemas.openxmlformats.org/spreadsheetml/2006/main">
  <authors>
    <author>CAS</author>
  </authors>
  <commentList>
    <comment ref="L1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Indica la fecha a la cual están actualizados los datos del gráfico y de los consumos que se muestran en esta hoja.</t>
        </r>
      </text>
    </comment>
  </commentList>
</comments>
</file>

<file path=xl/connections.xml><?xml version="1.0" encoding="utf-8"?>
<connections xmlns="http://schemas.openxmlformats.org/spreadsheetml/2006/main">
  <connection id="1" name="Conexión" type="1" refreshedVersion="5" saveData="1">
    <dbPr connection="DSN=ODBC RAMCAS1;" command="SELECT * FROM `ramcas`.`v_buffer_hist_grafico_dinamico_con_causas` WHERE ramcas.v_buffer_hist_grafico_dinamico_con_causas.FECHA &gt; DATE_SUB(curdate(),INTERVAL 90 DAY)"/>
  </connection>
  <connection id="2" name="Conexión1" type="1" refreshedVersion="5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30 DAY) Order BY bh.buh_empresa, bh.buh_bodega, bh.buh_codigo, bh.buh_fecha"/>
  </connection>
  <connection id="3" name="Conexión10" type="1" refreshedVersion="5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4" name="Conexión2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10 DAY) Order BY bh.buh_empresa, bh.buh_bodega, bh.buh_codigo, bh.buh_fecha"/>
  </connection>
  <connection id="5" name="Conexión3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10 DAY) Order BY bh.buh_empresa, bh.buh_bodega, bh.buh_codigo, bh.buh_fecha"/>
  </connection>
  <connection id="6" name="Conexión4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10 DAY) Order BY bh.buh_empresa, bh.buh_bodega, bh.buh_codigo, bh.buh_fecha"/>
  </connection>
  <connection id="7" name="Conexión5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8" name="Conexión6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9" name="Conexión7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10" name="Conexión8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11" name="Conexión9" type="1" refreshedVersion="5" background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12" name="Consulta desde Agrota2" type="1" refreshedVersion="3" minRefreshableVersion="3" savePassword="1" saveData="1">
    <dbPr connection="DRIVER={MySQL ODBC 5.1 Driver};UID=root;PWD=Keilo_107;SERVER=5.100.164.169;DATABASE=baseevolution;PORT=3306;" command="SELECT vexistenciaxproducto_0.CodigoVentaProducto AS 'codigo', vexistenciaxproducto_0.ExistenciaProductoBodega AS 'AGROINSUMOSCENTRAL', vexistenciaxproducto_0.CostoProducto AS 'CTV', vexistenciaxproducto_0.PrecioVentaProducto AS 'PV'_x000d__x000a_FROM baseevolution.vexistenciaxproducto vexistenciaxproducto_0_x000d__x000a_WHERE (vexistenciaxproducto_0.EmpresasEmpresaProducto='2') AND (vexistenciaxproducto_0.NombreBodega='Productos Terminado')_x000d__x000a_ORDER BY vexistenciaxproducto_0.CodigoVentaProducto"/>
  </connection>
  <connection id="13" name="Consulta desde ARCHIVO" type="1" refreshedVersion="5" saveData="1">
    <dbPr connection="DBQ=C:\RAM CAS\MEJORA CONTINUA\CONTROL DE BUFFERS\ARCHIVO\AUXILIAR.xlsm;DefaultDir=C:\RAM CAS\MEJORA CONTINUA\CONTROL DE BUFFERS\ARCHIVO;Driver={Microsoft Excel Driver (*.xls, *.xlsx, *.xlsm, *.xlsb)};DriverId=1046;FIL=excel 12.0;MaxBufferSize=2048;MaxScanRows=8;PageTimeout=5;ReadOnly=1;SafeTransactions=0;Threads=3;UID=admin;UserCommitSync=Yes;" command="SELECT `Transferencias$`.CODIGO,  `Transferencias$`.DESTINO,  sum(`Transferencias$`.TRANSITO) AS [CANTIDAD]_x000d__x000a_FROM `Transferencias$` `Transferencias$`_x000d__x000a_GROUP BY `Transferencias$`.DESTINO, `Transferencias$`.CODIGO"/>
  </connection>
  <connection id="14" name="Consulta desde ARCHIVO1" type="1" refreshedVersion="5" saveData="1">
    <dbPr connection="DBQ=C:\RAM CAS\MEJORA CONTINUA\CONTROL DE BUFFERS\ARCHIVO\AUXILIAR.xlsm;DefaultDir=C:\RAM CAS\MEJORA CONTINUA\CONTROL DE BUFFERS\ARCHIVO;Driver={Microsoft Excel Driver (*.xls, *.xlsx, *.xlsm, *.xlsb)};DriverId=1046;FIL=excel 12.0;MaxBufferSize=2048;MaxScanRows=8;PageTimeout=5;ReadOnly=1;SafeTransactions=0;Threads=3;UID=admin;UserCommitSync=Yes;" command="SELECT `Transferencias$`.CODIGO,  `Transferencias$`.ORIGEN,  sum(`Transferencias$`.TRANSITO) AS [CANTIDAD]_x000d__x000a_FROM `Transferencias$` `Transferencias$`_x000d__x000a_GROUP BY `Transferencias$`.ORIGEN, `Transferencias$`.CODIGO"/>
  </connection>
  <connection id="15" name="Consulta desde Backorders" type="1" refreshedVersion="3" deleted="1" saveData="1">
    <dbPr connection="" command=""/>
  </connection>
  <connection id="16" name="Consulta desde DATOS CODIGO" type="1" refreshedVersion="5" saveData="1">
    <dbPr connection="DBQ=C:\RAM CAS\MEJORA CONTINUA\CONTROL DE BUFFERS\TEMPORALES\DATOS CODIGO.xlsx;DefaultDir=C:\RAM CAS\MEJORA CONTINUA\CONTROL DE BUFFERS\TEMPORALES;Driver={Microsoft Excel Driver (*.xls, *.xlsx, *.xlsm, *.xlsb)};DriverId=1046;FIL=excel 12.0;MaxBufferSize=2048;MaxScanRows=8;PageTimeout=5;ReadOnly=1;SafeTransactions=0;Threads=3;UID=admin;UserCommitSync=Yes;" command="SELECT *_x000d__x000a_FROM `DatosCodigo$` `DatosCodigo$`"/>
  </connection>
  <connection id="17" name="Consulta desde Datos en Access1" type="1" refreshedVersion="3" saveData="1">
    <dbPr connection="DBQ=C:\RAMCAS DATOS\ARCHIVO\DATOS.accdb;DefaultDir=C:\RAMCAS DATOS\ARCHIVO;Driver={Microsoft Access Driver (*.mdb, *.accdb)};DriverId=25;FIL=MS Access;MaxBufferSize=2048;MaxScanRows=8;PageTimeout=5;SafeTransactions=0;Threads=3;UserCommitSync=Yes;" command="SELECT_x000d__x000a__x0009_qBuffersPorFecha.CODIGO,_x000d__x000a__x0009_max(qBuffersPorFecha.FECHA)AS FECHA_x000d__x000a_FROM_x000d__x000a__x0009_(_x000d__x000a__x0009__x0009_SELECT_x000d__x000a__x0009__x0009__x0009_h.CODIGO,_x000d__x000a__x0009__x0009__x0009_h.FECHA,_x000d__x000a__x0009__x0009__x0009_h.`Buff Act` AS BUFFER_x000d__x000a__x0009__x0009_FROM_x000d__x000a__x0009__x0009__x0009_histinventarios h_x000d__x000a__x0009__x0009_WHERE_x000d__x000a__x0009__x0009__x0009_h.BODEGA = 'AGROTACENTRAL'_x000d__x000a__x0009__x0009_ORDER BY_x000d__x000a__x0009__x0009__x0009_h.CODIGO,_x000d__x000a__x0009__x0009__x0009_h.FECHA DESC_x000d__x000a__x0009_)AS qBuffersPorFecha_x000d__x000a_INNER JOIN(_x000d__x000a__x0009_SELECT_x000d__x000a__x0009__x0009_h.CODIGO,_x000d__x000a__x0009__x0009_h.`Buff Act` AS BUFFER_x000d__x000a__x0009_FROM_x000d__x000a__x0009__x0009_histinventarios AS h_x000d__x000a__x0009_WHERE_x000d__x000a__x0009__x0009_(_x000d__x000a__x0009__x0009__x0009_(h.BODEGA = 'AGROTACENTRAL')_x000d__x000a__x0009__x0009__x0009_AND(h.`Buff Act` &gt; 0)_x000d__x000a__x0009__x0009__x0009_AND(_x000d__x000a__x0009__x0009__x0009__x0009_h.FECHA =(_x000d__x000a__x0009__x0009__x0009__x0009__x0009_SELECT_x000d__x000a__x0009__x0009__x0009__x0009__x0009__x0009_max(m.FECHA)_x000d__x000a__x0009__x0009__x0009__x0009__x0009_FROM_x000d__x000a__x0009__x0009__x0009__x0009__x0009__x0009_histinventarios AS m_x000d__x000a__x0009__x0009__x0009__x0009__x0009_WHERE_x000d__x000a__x0009__x0009__x0009__x0009__x0009__x0009_(m.BODEGA = 'AGROTACENTRAL')_x000d__x000a__x0009__x0009__x0009__x0009_)_x000d__x000a__x0009__x0009__x0009_)_x000d__x000a__x0009__x0009_)_x000d__x000a__x0009_ORDER BY_x000d__x000a__x0009__x0009_h.CODIGO_x000d__x000a_)AS qUltimoBuffer ON qUltimoBuffer.CODIGO = qBuffersPorFecha.CODIGO_x000d__x000a_WHERE_x000d__x000a__x0009_qBuffersPorFecha.BUFFER &lt;&gt; qUltimoBuffer.BUFFER_x000d__x000a_GROUP BY_x000d__x000a__x0009_qBuffersPorFecha.CODIGO"/>
  </connection>
  <connection id="18" name="Consulta desde INVENTARIO FISICO11" type="1" refreshedVersion="3" saveData="1">
    <dbPr connection="DBQ=C:\RAM CAS\MEJORA CONTINUA\CONTROL DE BUFFERS\TEMPORALES\INVENTARIO FISICO.xlsx;DefaultDir=C:\RAM CAS\MEJORA CONTINUA\CONTROL DE BUFFERS\TEMPORALES;Driver={Microsoft Excel Driver (*.xls, *.xlsx, *.xlsm, *.xlsb)};DriverId=1046;FIL=excel 12.0;MaxBufferSize=2048;MaxScanRows=8;PageTimeout=5;ReadOnly=1;SafeTransactions=0;Threads=3;UserCommitSync=Yes;" command="SELECT `AGROTA$`.codigo, `AGROTA$`.AGROTACENTRAL, `AGROTA$`.CTV, `AGROTA$`.PV, `AGROTA$`.F5, `AGROTA$`.codigo1, `AGROTA$`.AGROTACENTRALPROPIA, `AGROTA$`.CTV1, `AGROTA$`.PV1, `AGROTA$`.F10, `AGROTA$`.codigo2, `AGROTA$`.AGROTAMAXGUAYAQUIL, `AGROTA$`.F13, `AGROTA$`.codigo3, `AGROTA$`.AGROTAPROMACOFI, `AGROTA$`.F16, `AGROTA$`.codigo4, `AGROTA$`.AGROTAEIGUANCHI_x000d__x000a_FROM `AGROTA$` `AGROTA$`"/>
  </connection>
  <connection id="19" name="Consulta desde ODBC MySQL en AGROTA" type="1" refreshedVersion="3" saveData="1">
    <dbPr connection="DSN=ODBC RAMCAS1;" command="SELECT DISTINCT_x000d__x000a__x0009_productos.CodigoVentaProducto,_x000d__x000a__x0009_proveedores.NombreProveedor_x000d__x000a_FROM_x000d__x000a__x0009_importacionescabecera_x000d__x000a_INNER JOIN importacionesdetalle ON importacionescabecera.CodigoImportacionCabecera = importacionesdetalle.ImportacionesCabeceraImportacionDetalle_x000d__x000a_INNER JOIN productos ON productos.CodigoProducto = importacionesdetalle.ProductosImportacionDetalle_x000d__x000a_INNER JOIN proveedores ON importacionescabecera.ProveedoresImportacionCabecera = proveedores.CodigoProveedor_x000d__x000a_ORDER BY_x000d__x000a__x0009_proveedores.NombreProveedor ASC,_x000d__x000a__x0009_productos.CodigoVentaProducto ASC"/>
  </connection>
  <connection id="20" name="Consulta desde ODBC MySQL en AGROTA1" type="1" refreshedVersion="3" saveData="1">
    <dbPr connection="DSN=ODBC RAMCAS1;" command="SELECT_x000d__x000a_DISTINCT productos.CodigoVentaProducto,_x000d__x000a_proveedores.NombreProveedor_x000d__x000a_FROM_x000d__x000a_comprascabecera_x000d__x000a_INNER JOIN comprasdetalle ON comprascabecera.CodigoCompraCabecera = comprasdetalle.ComprasCabeceraCompraDetalle_x000d__x000a_INNER JOIN proveedores ON comprascabecera.ProveedoresCompraCabecera = proveedores.CodigoProveedor_x000d__x000a_INNER JOIN productos ON comprasdetalle.ProductosCompraDetalle = productos.CodigoProducto_x000d__x000a_ORDER BY_x000d__x000a_proveedores.NombreProveedor ASC,_x000d__x000a_productos.CodigoVentaProducto ASC"/>
  </connection>
  <connection id="21" name="Consulta desde ODBC MySQL en AGROTA2" type="1" refreshedVersion="5" saveData="1">
    <dbPr connection="DSN=ODBC RAMCAS1;" command="SELECT_x000d__x000a_causa.cau_nombre as 'Causa'_x000d__x000a_FROM_x000d__x000a_causa_x000d__x000a_INNER JOIN tipocausa ON tipocausa.tipocausa_id = causa.cau_tipocausa_id_x000d__x000a_WHERE_x000d__x000a_tipocausa.tca_nombre = 'Cambio Buffer'_x000d__x000a_ORDER BY_x000d__x000a_cau_nombre"/>
  </connection>
  <connection id="22" name="Consulta desde ODBC RAMCAS1" type="1" refreshedVersion="5" saveData="1">
    <dbPr connection="DSN=ODBC RAMCAS1;" command="SELECT v_roi_0.CODIGO, v_roi_0.ROI_x000d__x000a_FROM ramcas.v_roi v_roi_0"/>
  </connection>
  <connection id="23" name="Consulta desde Reporte ROI" type="1" refreshedVersion="3" saveData="1">
    <dbPr connection="DBQ=C:\RAM CAS\MEJORA CONTINUA\CONTROL DE BUFFERS\REPORTES\DINAMICOS\REPDIN - ROI PRODUCTOS.xlsm;DefaultDir=C:\RAM CAS\MEJORA CONTINUA\CONTROL DE BUFFERS\REPORTES\DINAMICOS;Driver={Microsoft Excel Driver (*.xls, *.xlsx, *.xlsm, *.xlsb)};DriverId=1046;FIL=excel 12.0;MaxBufferSize=2048;MaxScanRows=8;PageTimeout=5;ReadOnly=1;SafeTransactions=0;Threads=3;UserCommitSync=Yes;" command="SELECT `ROI_AGROINSUMOS_PT$`.CODIGO, `ROI_AGROINSUMOS_PT$`.ROI_x000d__x000a_FROM `ROI_AGROINSUMOS_PT$` `ROI_AGROINSUMOS_PT$`"/>
  </connection>
  <connection id="24" name="Consulta desde Reporte ROI1" type="1" refreshedVersion="3" saveData="1">
    <dbPr connection="DBQ=C:\RAM CAS\MEJORA CONTINUA\CONTROL DE BUFFERS\REPORTES\DINAMICOS\REPDIN - ROI PRODUCTOS.xlsm;DefaultDir=C:\RAM CAS\MEJORA CONTINUA\CONTROL DE BUFFERS\REPORTES\DINAMICOS;Driver={Microsoft Excel Driver (*.xls, *.xlsx, *.xlsm, *.xlsb)};DriverId=1046;FIL=excel 12.0;MaxBufferSize=2048;MaxScanRows=8;PageTimeout=5;ReadOnly=1;SafeTransactions=0;Threads=3;UserCommitSync=Yes;" command="SELECT `ROI_PRODUCTOS$`.CODIGO, `ROI_PRODUCTOS$`.`ROI ANUAL`_x000d__x000a_FROM `ROI_PRODUCTOS$` `ROI_PRODUCTOS$`_x000d__x000a_WHERE (`ROI_PRODUCTOS$`.EMPRESA='AGROTA')"/>
  </connection>
  <connection id="25" name="Consulta desde Reporte ROI2" type="1" refreshedVersion="3" saveData="1">
    <dbPr connection="DBQ=C:\RAM CAS\MEJORA CONTINUA\CONTROL DE BUFFERS\REPORTES\DINAMICOS\REPDIN - ROI PRODUCTOS.xlsm;DefaultDir=C:\RAM CAS\MEJORA CONTINUA\CONTROL DE BUFFERS\REPORTES\DINAMICOS;Driver={Microsoft Excel Driver (*.xls, *.xlsx, *.xlsm, *.xlsb)};DriverId=1046;FIL=excel 12.0;MaxBufferSize=2048;MaxScanRows=8;PageTimeout=5;ReadOnly=1;SafeTransactions=0;Threads=3;UserCommitSync=Yes;" command="SELECT `ROI_AGROINSUMOS_MP$`.CODIGO, `ROI_AGROINSUMOS_MP$`.ROI_x000d__x000a_FROM `ROI_AGROINSUMOS_MP$` `ROI_AGROINSUMOS_MP$`"/>
  </connection>
  <connection id="26" name="Consulta desde Velocidad CASH" type="1" refreshedVersion="3" saveData="1">
    <dbPr connection="DBQ=C:\RAM CAS\MEJORA CONTINUA\CONTROL DE BUFFERS\REPORTES\VELOCIDAD CASH.xlsm;DefaultDir=C:\RAM CAS\MEJORA CONTINUA\CONTROL DE BUFFERS\REPORTES;Driver={Microsoft Excel Driver (*.xls, *.xlsx, *.xlsm, *.xlsb)};DriverId=1046;FIL=excel 12.0;MaxBufferSize=2048;MaxScanRows=8;PageTimeout=5;ReadOnly=1;SafeTransactions=0;Threads=3;UID=admin;UserCommitSync=Yes;" command="SELECT `EFECTIVO$`.Empresa, `EFECTIVO$`.Proveedor, `EFECTIVO$`.`Ciclo Efectivo`_x000d__x000a_FROM `EFECTIVO$` `EFECTIVO$`_x000d__x000a_ORDER BY `EFECTIVO$`.Proveedor"/>
  </connection>
  <connection id="27" name="Grafico_Dinamico" type="1" refreshedVersion="5" saveData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90 DAY) Order BY bh.buh_empresa, bh.buh_bodega, bh.buh_codigo, bh.buh_fecha"/>
  </connection>
  <connection id="28" name="Grafico_Dinamico1" type="1" refreshedVersion="5" saveData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50 DAY) Order BY bh.buh_empresa, bh.buh_bodega, bh.buh_codigo, bh.buh_fecha"/>
  </connection>
  <connection id="29" name="ramcas v_buffer_hist_grafico_dinamico_con_causas" description="VIEW" type="1" refreshedVersion="5" saveData="1">
    <dbPr connection="DSN=ODBC RAMCAS1;" command="SELECT bh.buh_empresa AS 'EMPRESA_CODIGO', e.emp_nombre AS 'EMPRESA_NOMBRE', bh.buh_bodega AS 'BODEGA_CODIGO', b.bod_nombre AS 'BODEGA_NOMBRE', bh.buh_codigo AS 'CODIGO', bh.buh_codigo_vinculado AS 'CODIGO_VINCULADO', bh.buh_codigo_generico AS 'CODIGO_GENERICO', CONVERT (bh.buh_fecha, Date) AS 'FECHA', bh.buh_buffer_actual AS 'BUFFER', bh.buh_zona_amarilla AS 'ZONA_AMARILLA', bh.buh_zona_roja AS 'ZONA_ROJA', bh.buh_inventario_fisico AS 'INVENTARIO_FISICO', bh.buh_inventario_proyectado AS 'INVENTARIO_PROYECTADO', '' AS 'CAUSA' FROM buffer_hist bh INNER JOIN bodega b ON bh.buh_bodega = b.bod_codigo INNER JOIN empresa e ON b.bod_empresa_id = e.empresa_id AND bh.buh_empresa = e.emp_codigo WHERE bh.buh_bodega IN ('Bodega Central Agrota', '120927162925851') AND bh.buh_fecha &gt;= DATE_SUB(curdate(), INTERVAL 10 DAY) Order BY bh.buh_empresa, bh.buh_bodega, bh.buh_codigo, bh.buh_fecha"/>
  </connection>
</connections>
</file>

<file path=xl/sharedStrings.xml><?xml version="1.0" encoding="utf-8"?>
<sst xmlns="http://schemas.openxmlformats.org/spreadsheetml/2006/main" count="8645" uniqueCount="1742">
  <si>
    <t>Rojo</t>
  </si>
  <si>
    <t>Amarillo</t>
  </si>
  <si>
    <t>Verde</t>
  </si>
  <si>
    <t>CODIGO</t>
  </si>
  <si>
    <t>DESCRIPCION</t>
  </si>
  <si>
    <t>Zona Roja</t>
  </si>
  <si>
    <t>Negro</t>
  </si>
  <si>
    <t>Lila</t>
  </si>
  <si>
    <t>Rojo Acum</t>
  </si>
  <si>
    <t>Buff Act</t>
  </si>
  <si>
    <t>Tráns Act</t>
  </si>
  <si>
    <t>Inv Proy Act</t>
  </si>
  <si>
    <t>Backorders</t>
  </si>
  <si>
    <t>Nuevo Buff Sug</t>
  </si>
  <si>
    <t>Nuevo Buff Real</t>
  </si>
  <si>
    <t>Zona Amar</t>
  </si>
  <si>
    <t>Inv Fís Act</t>
  </si>
  <si>
    <t>Estado Buffer</t>
  </si>
  <si>
    <t>FAST</t>
  </si>
  <si>
    <t>NON MOVER</t>
  </si>
  <si>
    <t>INACTIVE</t>
  </si>
  <si>
    <t>SLOW</t>
  </si>
  <si>
    <t>TIPO</t>
  </si>
  <si>
    <t>GRUPO</t>
  </si>
  <si>
    <t>PEDIDCalc</t>
  </si>
  <si>
    <t>PEDID Real</t>
  </si>
  <si>
    <t>Comprom</t>
  </si>
  <si>
    <t>Directorio personalizado</t>
  </si>
  <si>
    <t>Path completo</t>
  </si>
  <si>
    <t>Directorio completo</t>
  </si>
  <si>
    <t>Nombre compuesto</t>
  </si>
  <si>
    <t>Empresa</t>
  </si>
  <si>
    <t>Bodega</t>
  </si>
  <si>
    <t>AGROTACENTRAL</t>
  </si>
  <si>
    <t>Para nombre de tablas de Datos importados</t>
  </si>
  <si>
    <t>Rentabilid</t>
  </si>
  <si>
    <t>codigo</t>
  </si>
  <si>
    <t>LINEA</t>
  </si>
  <si>
    <t>CANTIDAD</t>
  </si>
  <si>
    <t>Path completo de windows del Control de Buffers</t>
  </si>
  <si>
    <t>Nombre del archivo sin extensión</t>
  </si>
  <si>
    <t>Nombre de la pestaña</t>
  </si>
  <si>
    <t>Nombre simplificado</t>
  </si>
  <si>
    <t>Nombre</t>
  </si>
  <si>
    <t>Número</t>
  </si>
  <si>
    <t>Fecha Inventario Físico</t>
  </si>
  <si>
    <t>Nombre del workbook</t>
  </si>
  <si>
    <t>Path archivo "ARCHIVO" e "ITEMS POR BODEGA"</t>
  </si>
  <si>
    <t>Proveedor</t>
  </si>
  <si>
    <t>PROVEEDOR</t>
  </si>
  <si>
    <t>FILAS NUEVO PERÍODO</t>
  </si>
  <si>
    <t>COLUMNA PRIMER CAMPO</t>
  </si>
  <si>
    <t>Observaciones</t>
  </si>
  <si>
    <t>Inv Proveed</t>
  </si>
  <si>
    <t>DESTINO</t>
  </si>
  <si>
    <t>UNIDO</t>
  </si>
  <si>
    <t>PATH BASE</t>
  </si>
  <si>
    <t>ORIGEN</t>
  </si>
  <si>
    <t>CTV</t>
  </si>
  <si>
    <t>PV</t>
  </si>
  <si>
    <t>Inicio Periodo</t>
  </si>
  <si>
    <t>Fin Periodo</t>
  </si>
  <si>
    <t>GuardarOK</t>
  </si>
  <si>
    <t>BODEGA</t>
  </si>
  <si>
    <t>ARCHIVO</t>
  </si>
  <si>
    <t>PRIMER DIA</t>
  </si>
  <si>
    <t>ULTIMO DIA</t>
  </si>
  <si>
    <t>HOY</t>
  </si>
  <si>
    <t>DIAS FIN PERIODO</t>
  </si>
  <si>
    <t>DIAS PERIODO</t>
  </si>
  <si>
    <t>ITEMS TOTALES</t>
  </si>
  <si>
    <t>ITEMS CONTROL BUFFERS</t>
  </si>
  <si>
    <t>10/02/2010</t>
  </si>
  <si>
    <t>EMPRESA</t>
  </si>
  <si>
    <t>AGROTACENTRALPROPIA</t>
  </si>
  <si>
    <t>C:\RAM CAS\MEJORA CONTINUA\</t>
  </si>
  <si>
    <t>C:\RAM CAS\MEJORA CONTINUA\CONTROL DE BUFFERS\ARCHIVO\</t>
  </si>
  <si>
    <t>Color</t>
  </si>
  <si>
    <t>Servicio</t>
  </si>
  <si>
    <t>Codigo</t>
  </si>
  <si>
    <t>Buffer</t>
  </si>
  <si>
    <t>Fecha</t>
  </si>
  <si>
    <t>InvFis</t>
  </si>
  <si>
    <t>Zona Roj</t>
  </si>
  <si>
    <t>Total general</t>
  </si>
  <si>
    <t>Valores</t>
  </si>
  <si>
    <t>COD ORIGINAL</t>
  </si>
  <si>
    <t>COD SUSTITUTO</t>
  </si>
  <si>
    <t>Ult Cambio</t>
  </si>
  <si>
    <t>COSTO TOTAL</t>
  </si>
  <si>
    <t>COSTO BUFFER</t>
  </si>
  <si>
    <t>AGROTAMAXGUAYAQUIL</t>
  </si>
  <si>
    <t>AGROTAPROMACOFI</t>
  </si>
  <si>
    <t>AGROTAEIGUANCHI</t>
  </si>
  <si>
    <t>Ult Fecha</t>
  </si>
  <si>
    <t>Ult Buff</t>
  </si>
  <si>
    <t>Ult Cambio Buffer</t>
  </si>
  <si>
    <t>Cam</t>
  </si>
  <si>
    <t>FECHA</t>
  </si>
  <si>
    <t>BUFFER</t>
  </si>
  <si>
    <t>FECHA1</t>
  </si>
  <si>
    <t>FREC REP</t>
  </si>
  <si>
    <t>TIEMP SUMINIS</t>
  </si>
  <si>
    <t>ARCHIVO:</t>
  </si>
  <si>
    <t>Costo buff:</t>
  </si>
  <si>
    <t>Vel Efect</t>
  </si>
  <si>
    <t>PEDID Prom</t>
  </si>
  <si>
    <t>T$D</t>
  </si>
  <si>
    <t>I$D</t>
  </si>
  <si>
    <t>Ciclo Efectivo</t>
  </si>
  <si>
    <t>T NIV SER (DIAS)</t>
  </si>
  <si>
    <t>DÍAS NIVEL SERVICIO</t>
  </si>
  <si>
    <t>FECHAFIN</t>
  </si>
  <si>
    <t>FECHAINI</t>
  </si>
  <si>
    <t>HORIZONTE</t>
  </si>
  <si>
    <t>Inicio Per</t>
  </si>
  <si>
    <t>Fin Per</t>
  </si>
  <si>
    <t>Nuevo Inicio</t>
  </si>
  <si>
    <t>GDB</t>
  </si>
  <si>
    <t>Unos y ceros</t>
  </si>
  <si>
    <t>Unos y Ceros</t>
  </si>
  <si>
    <t>Var</t>
  </si>
  <si>
    <t>Buff Min</t>
  </si>
  <si>
    <t>Nuevo Buff Ingles</t>
  </si>
  <si>
    <t>Nuevo Buff Espanol</t>
  </si>
  <si>
    <t>Costo físico:</t>
  </si>
  <si>
    <t>COSTO FISICO</t>
  </si>
  <si>
    <t>COSTO TRANSITO</t>
  </si>
  <si>
    <t>Costo tráns:</t>
  </si>
  <si>
    <t>CodigoVentaProducto</t>
  </si>
  <si>
    <t>NombreProveedor</t>
  </si>
  <si>
    <t>PEDID Min</t>
  </si>
  <si>
    <t>Porc Aten</t>
  </si>
  <si>
    <t>ROI</t>
  </si>
  <si>
    <t>ERRORES PERIODO</t>
  </si>
  <si>
    <t>Idioma</t>
  </si>
  <si>
    <t>Problemas Período</t>
  </si>
  <si>
    <t>Ult Buffer</t>
  </si>
  <si>
    <t>CALENDARIO</t>
  </si>
  <si>
    <t>INICIO</t>
  </si>
  <si>
    <t>PICO</t>
  </si>
  <si>
    <t>DECLIVE</t>
  </si>
  <si>
    <t>NORMAL</t>
  </si>
  <si>
    <t>% CAMBIO</t>
  </si>
  <si>
    <t>Aumento Buffer - Fin GDB</t>
  </si>
  <si>
    <t>Buffer Pico</t>
  </si>
  <si>
    <t>Primera Reducción</t>
  </si>
  <si>
    <t>Buff Primera Reducción</t>
  </si>
  <si>
    <t>Segunda Reducción-Inicio GDB</t>
  </si>
  <si>
    <t>Buff Segunda Reducción</t>
  </si>
  <si>
    <t>Semana Hoy</t>
  </si>
  <si>
    <t>Últ Semana Año Anterior</t>
  </si>
  <si>
    <t>Dentro de Cambios por Estacionalidad?</t>
  </si>
  <si>
    <t>Periodo Normal</t>
  </si>
  <si>
    <t>Periodo Repartido</t>
  </si>
  <si>
    <t>Está en buffer pico?</t>
  </si>
  <si>
    <t>Pico Normal</t>
  </si>
  <si>
    <t>Pico Especial</t>
  </si>
  <si>
    <t>Está en primera reducción?</t>
  </si>
  <si>
    <t>Primera red normal</t>
  </si>
  <si>
    <t>Primera red especial</t>
  </si>
  <si>
    <t>Tiempo Suministro</t>
  </si>
  <si>
    <t>Buffer Actual</t>
  </si>
  <si>
    <t>Buffer Estacional</t>
  </si>
  <si>
    <t>Calendario Estacional</t>
  </si>
  <si>
    <t>Buff Estacional</t>
  </si>
  <si>
    <t>Buff Ant Estacion</t>
  </si>
  <si>
    <t>ROI ANUAL</t>
  </si>
  <si>
    <t>REFRESCADA</t>
  </si>
  <si>
    <t>FECHA REFRESCADO</t>
  </si>
  <si>
    <t>NUM SUBIDAS</t>
  </si>
  <si>
    <t>NUM BAJADAS</t>
  </si>
  <si>
    <t>Inicio Aumentos</t>
  </si>
  <si>
    <t>Duración Aumento</t>
  </si>
  <si>
    <t>Inicio Disminución</t>
  </si>
  <si>
    <t>Fin Aumentos</t>
  </si>
  <si>
    <t>Fin Disminución</t>
  </si>
  <si>
    <t>Duración Disminución</t>
  </si>
  <si>
    <t>aux 1</t>
  </si>
  <si>
    <t>posición cero</t>
  </si>
  <si>
    <t>aux 2</t>
  </si>
  <si>
    <t>Coincidir</t>
  </si>
  <si>
    <t>KesimoMenor</t>
  </si>
  <si>
    <t>Matriz K</t>
  </si>
  <si>
    <t>Matriz Ordenada</t>
  </si>
  <si>
    <t>PERIODOS DE AUMENTO</t>
  </si>
  <si>
    <t>Factor Repartición Aumento</t>
  </si>
  <si>
    <t>Factor Repartición Disminución</t>
  </si>
  <si>
    <t>PERIODOS DE DISMINUCIONES</t>
  </si>
  <si>
    <t>En qué disminución estoy?</t>
  </si>
  <si>
    <t>En qué aumento estoy?</t>
  </si>
  <si>
    <t>Vector Aumentos</t>
  </si>
  <si>
    <t>Vector Disminuciones</t>
  </si>
  <si>
    <t>Aumentos Posibles</t>
  </si>
  <si>
    <t>Disminuc Posibles</t>
  </si>
  <si>
    <t>Aux Avisos Aumentos</t>
  </si>
  <si>
    <t>Avisos Aumentos</t>
  </si>
  <si>
    <t>Aux Avisos Disminuciones</t>
  </si>
  <si>
    <t>Avisos Disminuciones</t>
  </si>
  <si>
    <t>Aviso General</t>
  </si>
  <si>
    <t>Etapa Estacional</t>
  </si>
  <si>
    <t>Acción Estacional</t>
  </si>
  <si>
    <t>Nuevo Avisos Aumentos</t>
  </si>
  <si>
    <t>Vector Ordenado Aumentos</t>
  </si>
  <si>
    <t>Vector Ordenado Disminuciones</t>
  </si>
  <si>
    <t>Nuevo Aviso Disminuciones</t>
  </si>
  <si>
    <t>Impacto Faltante</t>
  </si>
  <si>
    <t>TabARCHIVO</t>
  </si>
  <si>
    <t>PATH</t>
  </si>
  <si>
    <t>Prioridad</t>
  </si>
  <si>
    <t>Horizonte</t>
  </si>
  <si>
    <t>T Suministro</t>
  </si>
  <si>
    <t>Frec Repos</t>
  </si>
  <si>
    <t>F5</t>
  </si>
  <si>
    <t>codigo1</t>
  </si>
  <si>
    <t>CTV1</t>
  </si>
  <si>
    <t>PV1</t>
  </si>
  <si>
    <t>F10</t>
  </si>
  <si>
    <t>codigo2</t>
  </si>
  <si>
    <t>F13</t>
  </si>
  <si>
    <t>codigo3</t>
  </si>
  <si>
    <t>F16</t>
  </si>
  <si>
    <t>codigo4</t>
  </si>
  <si>
    <t>Fecha a insertar en Horizonte</t>
  </si>
  <si>
    <t>PERIODO:</t>
  </si>
  <si>
    <t>Min Inicio:</t>
  </si>
  <si>
    <t>Esta aplicación de Gestión de Buffers de Distribución ha sido diseñada y programada en su totalidad por el Ing. Carlos Semanate especialista en Teoría de Restricciones.</t>
  </si>
  <si>
    <t>csemanate@mejoracontinua.biz</t>
  </si>
  <si>
    <t>098467589</t>
  </si>
  <si>
    <t>Quito, Cuenca - Ecuador</t>
  </si>
  <si>
    <t>El uso de este material está permitido sólo a aquellas personas que hayan adquirido la licencia. El uso no autorizado de la misma viola las leyes de propiedad intelectual.</t>
  </si>
  <si>
    <t>BodegaProveedor</t>
  </si>
  <si>
    <t>Causa</t>
  </si>
  <si>
    <t>Item estancado</t>
  </si>
  <si>
    <t>PERFIL</t>
  </si>
  <si>
    <t>Perfil</t>
  </si>
  <si>
    <t>Falta período al inicio</t>
  </si>
  <si>
    <t>Falta período al final</t>
  </si>
  <si>
    <t>Hay proveedores que no corresponden a esta bodega</t>
  </si>
  <si>
    <t>Hay perfiles que no corresponden a este archivo o bodega</t>
  </si>
  <si>
    <t>Fecha no presente en el período.</t>
  </si>
  <si>
    <t>Descripción</t>
  </si>
  <si>
    <t>Error</t>
  </si>
  <si>
    <t>Hay bodegas que no corresponden a este archivo</t>
  </si>
  <si>
    <t>Hay proveedores que están mal asignados</t>
  </si>
  <si>
    <t>Har perfiles que están mal asignados</t>
  </si>
  <si>
    <t>BodegaPerfil</t>
  </si>
  <si>
    <t>No hay proveedor asignado</t>
  </si>
  <si>
    <t>No hay perfil asignado</t>
  </si>
  <si>
    <t>No hay porcentaje de atención</t>
  </si>
  <si>
    <t>No hay inicio de período</t>
  </si>
  <si>
    <t>Errores genéricos</t>
  </si>
  <si>
    <t>Errores raros</t>
  </si>
  <si>
    <t>No hay bodega asignada</t>
  </si>
  <si>
    <t>Mínimo Final Período</t>
  </si>
  <si>
    <t>CAMPOS</t>
  </si>
  <si>
    <t>Buff Calc</t>
  </si>
  <si>
    <t>Consumo</t>
  </si>
  <si>
    <t>CONSUMO</t>
  </si>
  <si>
    <t>BuffAct</t>
  </si>
  <si>
    <t>InvFisAct</t>
  </si>
  <si>
    <t>Recupera Inv Fis</t>
  </si>
  <si>
    <t>BuffFecha</t>
  </si>
  <si>
    <t>InvFisActFecha</t>
  </si>
  <si>
    <t>Unidad Empaque</t>
  </si>
  <si>
    <t>Porcent Lleno</t>
  </si>
  <si>
    <t>Aumento por Estacionalidad</t>
  </si>
  <si>
    <t>PORCENT LINEA ROJA</t>
  </si>
  <si>
    <t>Color1</t>
  </si>
  <si>
    <t>Sugerencia aumento de buffer (GDB)</t>
  </si>
  <si>
    <t>Iniciativa de reducción de inventario</t>
  </si>
  <si>
    <t xml:space="preserve">Item por ser dado de baja </t>
  </si>
  <si>
    <t>Sugerencia Reducción de Buffer (GDB)</t>
  </si>
  <si>
    <t>COD_BODEGA</t>
  </si>
  <si>
    <t>COD_EMPRESA</t>
  </si>
  <si>
    <t>NOMBRE</t>
  </si>
  <si>
    <t>NOMBRE_COMPLETO</t>
  </si>
  <si>
    <t>BODEGASKU</t>
  </si>
  <si>
    <t>PORCENT PEDID MIN</t>
  </si>
  <si>
    <t>TIPO HORIZONTE</t>
  </si>
  <si>
    <t>SUBLINEA</t>
  </si>
  <si>
    <t>MODELO</t>
  </si>
  <si>
    <t>FAMILIA</t>
  </si>
  <si>
    <t>SUBFAMILIA</t>
  </si>
  <si>
    <t>CATEGORIA</t>
  </si>
  <si>
    <t>MARCA</t>
  </si>
  <si>
    <t>CAT PROPIA 1</t>
  </si>
  <si>
    <t>CAT PROPIA 2</t>
  </si>
  <si>
    <t>CAT PROPIA 3</t>
  </si>
  <si>
    <t>CAT PROPIA 4</t>
  </si>
  <si>
    <t>CAT PROPIA 5</t>
  </si>
  <si>
    <t>CAT MANAGEMENT</t>
  </si>
  <si>
    <t>pro_empresa_id</t>
  </si>
  <si>
    <t>pro_codigo</t>
  </si>
  <si>
    <t>pro_codigovinculado</t>
  </si>
  <si>
    <t>pro_codigogenerico</t>
  </si>
  <si>
    <t>pro_codigopromocion</t>
  </si>
  <si>
    <t>pro_descripcion</t>
  </si>
  <si>
    <t>pro_grupo_id</t>
  </si>
  <si>
    <t>pro_grupo</t>
  </si>
  <si>
    <t>pro_linea_id</t>
  </si>
  <si>
    <t>pro_linea</t>
  </si>
  <si>
    <t>pro_sublinea_id</t>
  </si>
  <si>
    <t>pro_sublinea</t>
  </si>
  <si>
    <t>pro_modelo_id</t>
  </si>
  <si>
    <t>pro_modelo</t>
  </si>
  <si>
    <t>pro_familia</t>
  </si>
  <si>
    <t>pro_subfamilia_id</t>
  </si>
  <si>
    <t>pro_subfamilia</t>
  </si>
  <si>
    <t>pro_categoria_id</t>
  </si>
  <si>
    <t>pro_categoria</t>
  </si>
  <si>
    <t>pro_tipo_id</t>
  </si>
  <si>
    <t>pro_tipo</t>
  </si>
  <si>
    <t>pro_marca_id</t>
  </si>
  <si>
    <t>pro_marca</t>
  </si>
  <si>
    <t>pro_cat_management_id</t>
  </si>
  <si>
    <t>pro_cat_management</t>
  </si>
  <si>
    <t>pro_catpropia1_id</t>
  </si>
  <si>
    <t>pro_catpropia1</t>
  </si>
  <si>
    <t>pro_catpropia2_id</t>
  </si>
  <si>
    <t>pro_catpropia2</t>
  </si>
  <si>
    <t>pro_catpropia3_id</t>
  </si>
  <si>
    <t>pro_catpropia3</t>
  </si>
  <si>
    <t>pro_catpropia4_id</t>
  </si>
  <si>
    <t>pro_catpropia4</t>
  </si>
  <si>
    <t>pro_catpropia5_id</t>
  </si>
  <si>
    <t>pro_catpropia5</t>
  </si>
  <si>
    <t>pro_tiporeposicion</t>
  </si>
  <si>
    <t>pro_peso</t>
  </si>
  <si>
    <t>pro_unidad_peso</t>
  </si>
  <si>
    <t>pro_volumen</t>
  </si>
  <si>
    <t>pro_unidad_volumen</t>
  </si>
  <si>
    <t>pro_activo</t>
  </si>
  <si>
    <t>pro_control_buffer</t>
  </si>
  <si>
    <t>pro_precio</t>
  </si>
  <si>
    <t>pro_costo</t>
  </si>
  <si>
    <t>pro_truput_total</t>
  </si>
  <si>
    <t>pro_fechadescontinuado</t>
  </si>
  <si>
    <t>pro_unidad</t>
  </si>
  <si>
    <t>pro_fecha_actualizacion</t>
  </si>
  <si>
    <t>pro_notas</t>
  </si>
  <si>
    <t>inv_empresa_id</t>
  </si>
  <si>
    <t>inv_bodega_id</t>
  </si>
  <si>
    <t>inv_producto_id</t>
  </si>
  <si>
    <t>inv_existencia</t>
  </si>
  <si>
    <t>inv_transito</t>
  </si>
  <si>
    <t>inv_comprometido</t>
  </si>
  <si>
    <t>inv_backorder</t>
  </si>
  <si>
    <t>inv_entradas</t>
  </si>
  <si>
    <t>inv_salidas</t>
  </si>
  <si>
    <t>inv_consumo</t>
  </si>
  <si>
    <t>CODIGO VINCULADO</t>
  </si>
  <si>
    <t>CODIGO GENERICO</t>
  </si>
  <si>
    <t>CODIGO FUNCIONAL</t>
  </si>
  <si>
    <t>PEDID Min Grupo</t>
  </si>
  <si>
    <t>Negociación</t>
  </si>
  <si>
    <t>Producción</t>
  </si>
  <si>
    <t>Embarcado</t>
  </si>
  <si>
    <t>inv_negociacion</t>
  </si>
  <si>
    <t>inv_produccion</t>
  </si>
  <si>
    <t>inv_embarcado</t>
  </si>
  <si>
    <t>COD_PROVEEDOR</t>
  </si>
  <si>
    <t>USA PED PROM</t>
  </si>
  <si>
    <t>Buffer inicial</t>
  </si>
  <si>
    <t>Cambio por sobrestimacion de venta por omision de transferencias</t>
  </si>
  <si>
    <t>Error de estimacion inicial de buffer</t>
  </si>
  <si>
    <t>Nuevo Item</t>
  </si>
  <si>
    <t>Por promocion de ventas</t>
  </si>
  <si>
    <t>Proyección de Crecimiento</t>
  </si>
  <si>
    <t>Hay asignados calendarios estacionales que no existen</t>
  </si>
  <si>
    <t>InvProyAct</t>
  </si>
  <si>
    <t>Estado Buffer Proy</t>
  </si>
  <si>
    <t>Rentabilidad Proy</t>
  </si>
  <si>
    <t>Cobertura Buffer</t>
  </si>
  <si>
    <t>Cobertura Inv Proy</t>
  </si>
  <si>
    <t>Días Desabastecimiento</t>
  </si>
  <si>
    <t>Buff Max</t>
  </si>
  <si>
    <t>Fecha Calendario</t>
  </si>
  <si>
    <t>Cobertura Ped Min</t>
  </si>
  <si>
    <t>Err Ped Grupo</t>
  </si>
  <si>
    <t>Comportamiento</t>
  </si>
  <si>
    <t>Numero Fila</t>
  </si>
  <si>
    <t xml:space="preserve">Buffer </t>
  </si>
  <si>
    <t>Físico</t>
  </si>
  <si>
    <t>Proyectado</t>
  </si>
  <si>
    <t>Entradas</t>
  </si>
  <si>
    <t>Salidas</t>
  </si>
  <si>
    <t xml:space="preserve">Salidas </t>
  </si>
  <si>
    <t xml:space="preserve">Entradas </t>
  </si>
  <si>
    <t>Disminución por Estacionalidad</t>
  </si>
  <si>
    <t>Ingresos</t>
  </si>
  <si>
    <t>Egresos</t>
  </si>
  <si>
    <t>Posponer BUF</t>
  </si>
  <si>
    <t>Posponer RED</t>
  </si>
  <si>
    <t>Posponer GDB</t>
  </si>
  <si>
    <t>Recupera Inv Fis2</t>
  </si>
  <si>
    <t>MES</t>
  </si>
  <si>
    <t>EGRESOS</t>
  </si>
  <si>
    <t>INGRESOS</t>
  </si>
  <si>
    <t>unidades</t>
  </si>
  <si>
    <t>Consumo Calculado</t>
  </si>
  <si>
    <t>Pico Calculado</t>
  </si>
  <si>
    <t>Buffer Calculado</t>
  </si>
  <si>
    <t>unidades/sem</t>
  </si>
  <si>
    <t>Estatus</t>
  </si>
  <si>
    <t>Ult Transfer Inicial</t>
  </si>
  <si>
    <t>Ult Transfer Final</t>
  </si>
  <si>
    <t>Comportamiento Incremento</t>
  </si>
  <si>
    <t>Comportamiento Reducción</t>
  </si>
  <si>
    <t>pro_estatus</t>
  </si>
  <si>
    <t>Ultimo Inicio</t>
  </si>
  <si>
    <t>Ultimo Fin</t>
  </si>
  <si>
    <t>Analisis comercial</t>
  </si>
  <si>
    <t>Frecuencia Mayor</t>
  </si>
  <si>
    <t>Frecuencia Menor</t>
  </si>
  <si>
    <t>Item Descontinuado</t>
  </si>
  <si>
    <t>No se Cumple MOQ</t>
  </si>
  <si>
    <t>Separador de listas</t>
  </si>
  <si>
    <t>Etiquetas de fila</t>
  </si>
  <si>
    <t>Pedido Mínimo</t>
  </si>
  <si>
    <t>Sugerencia GDB</t>
  </si>
  <si>
    <t>Cobertura Pedido Mínimo</t>
  </si>
  <si>
    <t>Buffer Mínimo</t>
  </si>
  <si>
    <t>Buffer Máximo</t>
  </si>
  <si>
    <t>Pedido Mínimo Grupo</t>
  </si>
  <si>
    <t>Último Buffer</t>
  </si>
  <si>
    <t>Inventario Proveedor</t>
  </si>
  <si>
    <t>Último Cambio Buffer</t>
  </si>
  <si>
    <t>Rentabilidad</t>
  </si>
  <si>
    <t>Rentabilidad Proyectada</t>
  </si>
  <si>
    <t>Tránsito</t>
  </si>
  <si>
    <t>Comprometido</t>
  </si>
  <si>
    <t>Backorder</t>
  </si>
  <si>
    <t>PVP</t>
  </si>
  <si>
    <t>Pedido Calculado</t>
  </si>
  <si>
    <t>Pedido Promedio</t>
  </si>
  <si>
    <t>Última Transferencia</t>
  </si>
  <si>
    <t>Línea Amarilla</t>
  </si>
  <si>
    <t>Línea Roja</t>
  </si>
  <si>
    <t>Color Físico</t>
  </si>
  <si>
    <t>Color Proyectado</t>
  </si>
  <si>
    <t>Buffer Basado en el Consumo Real</t>
  </si>
  <si>
    <t>Frecuencia Reposición</t>
  </si>
  <si>
    <t>Horizonte de Análisis</t>
  </si>
  <si>
    <t>Cobertura Proyectado</t>
  </si>
  <si>
    <t>Buffer Antes Estación</t>
  </si>
  <si>
    <t>Factor Pico</t>
  </si>
  <si>
    <t>Trúput Unitario</t>
  </si>
  <si>
    <t>Trúput Anual Proyectado</t>
  </si>
  <si>
    <t>Consumo Semanal</t>
  </si>
  <si>
    <t>Consumo Anual proyectado</t>
  </si>
  <si>
    <t>Inversión</t>
  </si>
  <si>
    <t>Rentabilidad Proyección Anual</t>
  </si>
  <si>
    <t>MOV</t>
  </si>
  <si>
    <t>Utilizar Servicio Calculado</t>
  </si>
  <si>
    <t>0</t>
  </si>
  <si>
    <t>Nombre del archivo actual junto al número del tab donde se almacenan sus datos al respaldar.</t>
  </si>
  <si>
    <t>Fecha de Inicio y Fin del período (campos que poseen fechas que almacenan datos de inventario) de la presente hoja.</t>
  </si>
  <si>
    <t>Duración del período de la presente hoja en días.</t>
  </si>
  <si>
    <t>Usuario activo para la presente hoja.</t>
  </si>
  <si>
    <t>Fecha mínima que tiene que existir en el período para poder albergar todos los datos requeridos de los ítems presentes en la hoja.</t>
  </si>
  <si>
    <t>Visualiza los asuntos relacionados a la Estacionalidad, en caso que los haya.</t>
  </si>
  <si>
    <t>Sistema para posponer las alertas de Gestión Dinámica de Buffers (GDB) y las de Comportamiento (BUF y RED).</t>
  </si>
  <si>
    <t>Gráfico de Evolución de Buffers del ítem seleccionado.</t>
  </si>
  <si>
    <t>Datos de Consumo del ítem seleccionado.</t>
  </si>
  <si>
    <t>Cambio de Vista de la Hoja CB.</t>
  </si>
  <si>
    <t>Oculta los campos seleccionados.</t>
  </si>
  <si>
    <t>Botones de desplazamiento.</t>
  </si>
  <si>
    <t>En el caso de existir errores de asignación de Proveedores o Perfiles, lleva la Vista a donde se ubican esos errores.</t>
  </si>
  <si>
    <t>Campo de búsqueda de ítems. Filtra aquellos ítems que corresponden a lo que se escribe dentro de este campo. Se activa con tres caracteres.</t>
  </si>
  <si>
    <t>Lista de todos los campos disponibles. Al seleccionar uno, dirige la vista hacia ese campo, aún cuando previamente se haya encontrado escondido.</t>
  </si>
  <si>
    <t>Quita filtros presentes.</t>
  </si>
  <si>
    <t>Ordenamiento múltiple. Señalar las cabeceras de los campos por los que se quiere ordenar y luego presionar el botón. Para cambiar el sentido del ordenamiento se señala una celda por encima de la cabecera.</t>
  </si>
  <si>
    <t>Alertas notables del sistema.</t>
  </si>
  <si>
    <t>Elimina campos del período seleccionados.</t>
  </si>
  <si>
    <t>Ordenamiento ascendente y descendente del campo cuya cabecera se haya seleccionado. Sólo se aplica para un campo</t>
  </si>
  <si>
    <t>USA_FISICO</t>
  </si>
  <si>
    <t>USA_TRANSITO</t>
  </si>
  <si>
    <t>USA_COMPROMETIDO</t>
  </si>
  <si>
    <t>USA_BACKORDER</t>
  </si>
  <si>
    <t>TIPO_TRANSITO</t>
  </si>
  <si>
    <t>Aumenta y disminuye ítems en la Hoja CB.</t>
  </si>
  <si>
    <t>Buf: Lleva la celda activa a la columna que almacena el Buffer Actual.</t>
  </si>
  <si>
    <t>Pri: Lleva la celda activa a la columna en la que terminan los campos normales y comienzan los campos de Período.</t>
  </si>
  <si>
    <t>Hoy: Lleva celda activa a la columna cuya fecha es la de HOY en el Período.</t>
  </si>
  <si>
    <t>Ini: Lleva la celda activa a la columna del inicio del Horizonte del ítem seleccionado.</t>
  </si>
  <si>
    <t>Fin: Lleva la celda activa a la columna del final del Horizonte del ítem seleccionado.</t>
  </si>
  <si>
    <t>Ordenamiento priorizado basado en el color.</t>
  </si>
  <si>
    <t>Refrescado:</t>
  </si>
  <si>
    <t>Etapa</t>
  </si>
  <si>
    <t>pro_familia_id</t>
  </si>
  <si>
    <t>TIPO_BACKORDER</t>
  </si>
  <si>
    <t>Ventas Perdidas</t>
  </si>
  <si>
    <t>Clasificación</t>
  </si>
  <si>
    <t>Responsable</t>
  </si>
  <si>
    <t>Precio Promoción</t>
  </si>
  <si>
    <t>Inicio Promoción</t>
  </si>
  <si>
    <t>Fin Promoción</t>
  </si>
  <si>
    <t>pro_clasificacion</t>
  </si>
  <si>
    <t>pro_responsable</t>
  </si>
  <si>
    <t>pro_precio_promocion</t>
  </si>
  <si>
    <t>pro_promocion_desde</t>
  </si>
  <si>
    <t>pro_promocion_hasta</t>
  </si>
  <si>
    <t>inv_ventas_perdidas</t>
  </si>
  <si>
    <t>CONTROL: Centro de Control de la Hoja.</t>
  </si>
  <si>
    <t>CARGA A BASE: Carga los datos de la Hoja CB a la Base de Datos.</t>
  </si>
  <si>
    <t>TRÁNSITO: Visualizar el tránsito del ítem seleccionado.</t>
  </si>
  <si>
    <t>CAMBIO BUFFERS: Ejecuta el cambio de buffer de los productos seleccionados. No olvidara previamente llenar los datos de Nuevo Buffer Sugerido con sus Observaciones.</t>
  </si>
  <si>
    <t>Bodega Seleccionada</t>
  </si>
  <si>
    <t>Código Seleccionado</t>
  </si>
  <si>
    <t>DEVOLUCIONES</t>
  </si>
  <si>
    <t xml:space="preserve">EGRESOS </t>
  </si>
  <si>
    <t xml:space="preserve">DEVOLUCIONES </t>
  </si>
  <si>
    <t xml:space="preserve">INGRESOS </t>
  </si>
  <si>
    <t xml:space="preserve"> </t>
  </si>
  <si>
    <t>BDG. DE PRODUCTO TERMI PLANTA</t>
  </si>
  <si>
    <t>H521A000</t>
  </si>
  <si>
    <t>BODEGA_NOMBRE</t>
  </si>
  <si>
    <t>(Todas)</t>
  </si>
  <si>
    <t>CODIGO_GENERICO</t>
  </si>
  <si>
    <t>CODIGO_VINCULADO</t>
  </si>
  <si>
    <t>TIPO_COMPROMETIDO</t>
  </si>
  <si>
    <t>TIPO_CONSUMO</t>
  </si>
  <si>
    <t>Campo</t>
  </si>
  <si>
    <t>Categoría</t>
  </si>
  <si>
    <t>Porcentaje</t>
  </si>
  <si>
    <t>Redondeo Unidad Empaque</t>
  </si>
  <si>
    <t>Redondeo Pedido Mínimo</t>
  </si>
  <si>
    <t>NombreUnico</t>
  </si>
  <si>
    <t>Pedid Calc Auxiliar</t>
  </si>
  <si>
    <t>Hay vacíos en la columna Redondeo Pedido Mínimo</t>
  </si>
  <si>
    <t>Hay vacíos en la columna Redondeo Unidad Empaque</t>
  </si>
  <si>
    <t>Default</t>
  </si>
  <si>
    <t>Fechas que tienen Cambio Buffer pero no están en el Período</t>
  </si>
  <si>
    <t>DESCRIPCIÓN</t>
  </si>
  <si>
    <t>HOJA CB</t>
  </si>
  <si>
    <t>Hay vacíos en la columna Código</t>
  </si>
  <si>
    <t>DUPLICADOS</t>
  </si>
  <si>
    <t>INICIO REFRESCADO</t>
  </si>
  <si>
    <t>Abre la hoja donde se pueden ver los ítems repetidos que se encuentran en otras Hojas CB.</t>
  </si>
  <si>
    <t>Si el usuario hace una selección de un rango, el aplastar ese botón ajustará la selección únicamente a las celdas visibles.</t>
  </si>
  <si>
    <t>Si el usuario hace una selección de un rango, el aplastar ese botón ajustará la selección únicamente a las celdas vacías.</t>
  </si>
  <si>
    <t>Número de ítems-bodega en la Hoja CB.</t>
  </si>
  <si>
    <t>REFRESCAR: Refrescado de la Hoja. Recalcula las fórmulas en el caso que se haya hecho un cambio y se necesite ver su efecto inmediato. Al final del proceso ya se CARGAN los datos a la BASE de DATOS.</t>
  </si>
  <si>
    <t>TIPO REFRESCADO</t>
  </si>
  <si>
    <t>Coincidir Codigo en Producto</t>
  </si>
  <si>
    <t>Bodega-Codigo</t>
  </si>
  <si>
    <t>=</t>
  </si>
  <si>
    <t>Fila Cabeceras Control</t>
  </si>
  <si>
    <t>Coincidir Bodega Perfil</t>
  </si>
  <si>
    <t>BODEGA-CODIGO</t>
  </si>
  <si>
    <t>Columnas Horizonte</t>
  </si>
  <si>
    <t>Coincidir Bodega Codigo en Consumo</t>
  </si>
  <si>
    <t>Coincidir Bodega Codigo en Inventario</t>
  </si>
  <si>
    <t>Coincidir Calendario en Tabla_Est</t>
  </si>
  <si>
    <t>filas</t>
  </si>
  <si>
    <t>INICIO_HORIZONTE</t>
  </si>
  <si>
    <t>Coincidir Bodega Codigo en Servicio</t>
  </si>
  <si>
    <t>Coincidir Bodega Codigo en Ultimo Cambio</t>
  </si>
  <si>
    <t>BodegaProveedorPrioridad</t>
  </si>
  <si>
    <t>-</t>
  </si>
  <si>
    <t>Transferencias</t>
  </si>
  <si>
    <t>Manual</t>
  </si>
  <si>
    <t>COMPRA LOCAL</t>
  </si>
  <si>
    <t>Borrar</t>
  </si>
  <si>
    <t>Usuario: admin</t>
  </si>
  <si>
    <t>admin</t>
  </si>
  <si>
    <t>09/01/2017</t>
  </si>
  <si>
    <t>10/01/2017</t>
  </si>
  <si>
    <t>11/01/2017</t>
  </si>
  <si>
    <t>12/01/2017</t>
  </si>
  <si>
    <t>13/01/2017</t>
  </si>
  <si>
    <t>31/01/2017</t>
  </si>
  <si>
    <t>01/02/2017</t>
  </si>
  <si>
    <t>02/02/2017</t>
  </si>
  <si>
    <t>03/02/2017</t>
  </si>
  <si>
    <t>06/02/2017</t>
  </si>
  <si>
    <t>07/02/2017</t>
  </si>
  <si>
    <t>08/02/2017</t>
  </si>
  <si>
    <t>09/02/2017</t>
  </si>
  <si>
    <t>10/02/2017</t>
  </si>
  <si>
    <t>13/02/2017</t>
  </si>
  <si>
    <t>14/02/2017</t>
  </si>
  <si>
    <t>15/02/2017</t>
  </si>
  <si>
    <t>16/02/2017</t>
  </si>
  <si>
    <t>O:\TRANSFERENCIAS ACTIVAS\10 _ 19-10-2016 - LOHMANN &amp; RAUSCHER - Bodega ECU.xlsm</t>
  </si>
  <si>
    <t>10 _ 19-10-2016 - LOHMANN &amp; RAUSCHER - Bodega ECU.xlsm</t>
  </si>
  <si>
    <t>O:\TRANSFERENCIAS ACTIVAS\11 _ 19-10-2016 - LOHMANN &amp; RAUSCHER - Bodega ECU.xlsm</t>
  </si>
  <si>
    <t>11 _ 19-10-2016 - LOHMANN &amp; RAUSCHER - Bodega ECU.xlsm</t>
  </si>
  <si>
    <t>17/02/2017</t>
  </si>
  <si>
    <t>20/02/2017</t>
  </si>
  <si>
    <t>21/02/2017</t>
  </si>
  <si>
    <t>22/02/2017</t>
  </si>
  <si>
    <t>23/02/2017</t>
  </si>
  <si>
    <t>24/02/2017</t>
  </si>
  <si>
    <t>27/02/2017</t>
  </si>
  <si>
    <t>28/02/2017</t>
  </si>
  <si>
    <t>01/03/2017</t>
  </si>
  <si>
    <t>02/03/2017</t>
  </si>
  <si>
    <t>03/03/2017</t>
  </si>
  <si>
    <t>06/03/2017</t>
  </si>
  <si>
    <t>LOHMANN AÉREO</t>
  </si>
  <si>
    <t>LOHMANN MARÍTIMO</t>
  </si>
  <si>
    <t>JOTEC AÉREO</t>
  </si>
  <si>
    <t>STERICLIN AÉREO</t>
  </si>
  <si>
    <t>STERICLIN MARÍTIMO</t>
  </si>
  <si>
    <t>HAWO AÉREO</t>
  </si>
  <si>
    <t>HAWO MARÍTIMO</t>
  </si>
  <si>
    <t>SMITH &amp; NEPHEW AÉREO</t>
  </si>
  <si>
    <t>ACKERMANN AÉREO</t>
  </si>
  <si>
    <t>UNILENE AÉREO</t>
  </si>
  <si>
    <t>MICROAIRE AÉREO</t>
  </si>
  <si>
    <t>14/01/2017</t>
  </si>
  <si>
    <t>Otro</t>
  </si>
  <si>
    <t>2017</t>
  </si>
  <si>
    <t/>
  </si>
  <si>
    <t>G</t>
  </si>
  <si>
    <t>+-</t>
  </si>
  <si>
    <t>V</t>
  </si>
  <si>
    <t>A</t>
  </si>
  <si>
    <t>L</t>
  </si>
  <si>
    <t>N</t>
  </si>
  <si>
    <t>R</t>
  </si>
  <si>
    <t>16/12/2016</t>
  </si>
  <si>
    <t>19/12/2016</t>
  </si>
  <si>
    <t>20/12/2016</t>
  </si>
  <si>
    <t>21/12/2016</t>
  </si>
  <si>
    <t>22/12/2016</t>
  </si>
  <si>
    <t>23/12/2016</t>
  </si>
  <si>
    <t>03/01/2017</t>
  </si>
  <si>
    <t>04/01/2017</t>
  </si>
  <si>
    <t>05/01/2017</t>
  </si>
  <si>
    <t>06/01/2017</t>
  </si>
  <si>
    <t>16/01/2017</t>
  </si>
  <si>
    <t>17/01/2017</t>
  </si>
  <si>
    <t>18/01/2017</t>
  </si>
  <si>
    <t>19/01/2017</t>
  </si>
  <si>
    <t>20/01/2017</t>
  </si>
  <si>
    <t>25/01/2017</t>
  </si>
  <si>
    <t>26/01/2017</t>
  </si>
  <si>
    <t>27/01/2017</t>
  </si>
  <si>
    <t>30/01/2017</t>
  </si>
  <si>
    <t>17/12/2016</t>
  </si>
  <si>
    <t>18/12/2016</t>
  </si>
  <si>
    <t>24/12/2016</t>
  </si>
  <si>
    <t>07/01/2017</t>
  </si>
  <si>
    <t>08/01/2017</t>
  </si>
  <si>
    <t>21/01/2017</t>
  </si>
  <si>
    <t>28/01/2017</t>
  </si>
  <si>
    <t>29/01/2017</t>
  </si>
  <si>
    <t>07/03/2017</t>
  </si>
  <si>
    <t>08/03/2017</t>
  </si>
  <si>
    <t>09/03/2017</t>
  </si>
  <si>
    <t>10/03/2017</t>
  </si>
  <si>
    <t>14/03/2017</t>
  </si>
  <si>
    <t>15/03/2017</t>
  </si>
  <si>
    <t>16/03/2017</t>
  </si>
  <si>
    <t>17/03/2017</t>
  </si>
  <si>
    <t>20/03/2017</t>
  </si>
  <si>
    <t>21/03/2017</t>
  </si>
  <si>
    <t>22/03/2017</t>
  </si>
  <si>
    <t>23/03/2017</t>
  </si>
  <si>
    <t>27/03/2017</t>
  </si>
  <si>
    <t>28/03/2017</t>
  </si>
  <si>
    <t>29/03/2017</t>
  </si>
  <si>
    <t>30/03/2017</t>
  </si>
  <si>
    <t>31/03/2017</t>
  </si>
  <si>
    <t>03/04/2017</t>
  </si>
  <si>
    <t>04/04/2017</t>
  </si>
  <si>
    <t>05/04/2017</t>
  </si>
  <si>
    <t>06/04/2017</t>
  </si>
  <si>
    <t>07/04/2017</t>
  </si>
  <si>
    <t>10/04/2017</t>
  </si>
  <si>
    <t>11/04/2017</t>
  </si>
  <si>
    <t>12/04/2017</t>
  </si>
  <si>
    <t>13/04/2017</t>
  </si>
  <si>
    <t>14/04/2017</t>
  </si>
  <si>
    <t>17/04/2017</t>
  </si>
  <si>
    <t>18/04/2017</t>
  </si>
  <si>
    <t>19/04/2017</t>
  </si>
  <si>
    <t>20/04/2017</t>
  </si>
  <si>
    <t>21/04/2017</t>
  </si>
  <si>
    <t>24/04/2017</t>
  </si>
  <si>
    <t>25/04/2017</t>
  </si>
  <si>
    <t>26/04/2017</t>
  </si>
  <si>
    <t>27/04/2017</t>
  </si>
  <si>
    <t>28/04/2017</t>
  </si>
  <si>
    <t>01/05/2017</t>
  </si>
  <si>
    <t>02/05/2017</t>
  </si>
  <si>
    <t>03/05/2017</t>
  </si>
  <si>
    <t>04/05/2017</t>
  </si>
  <si>
    <t>05/05/2017</t>
  </si>
  <si>
    <t>08/05/2017</t>
  </si>
  <si>
    <t>09/05/2017</t>
  </si>
  <si>
    <t>10/05/2017</t>
  </si>
  <si>
    <t>11/05/2017</t>
  </si>
  <si>
    <t>12/05/2017</t>
  </si>
  <si>
    <t>15/05/2017</t>
  </si>
  <si>
    <t>16/05/2017</t>
  </si>
  <si>
    <t>17/05/2017</t>
  </si>
  <si>
    <t>18/05/2017</t>
  </si>
  <si>
    <t>19/05/2017</t>
  </si>
  <si>
    <t>22/05/2017</t>
  </si>
  <si>
    <t>23/05/2017</t>
  </si>
  <si>
    <t>24/05/2017</t>
  </si>
  <si>
    <t>25/05/2017</t>
  </si>
  <si>
    <t>26/05/2017</t>
  </si>
  <si>
    <t>29/05/2017</t>
  </si>
  <si>
    <t>30/05/2017</t>
  </si>
  <si>
    <t>31/05/2017</t>
  </si>
  <si>
    <t>01/06/2017</t>
  </si>
  <si>
    <t>02/06/2017</t>
  </si>
  <si>
    <t>05/06/2017</t>
  </si>
  <si>
    <t>06/06/2017</t>
  </si>
  <si>
    <t>07/06/2017</t>
  </si>
  <si>
    <t>08/06/2017</t>
  </si>
  <si>
    <t>09/06/2017</t>
  </si>
  <si>
    <t>12/06/2017</t>
  </si>
  <si>
    <t>13/06/2017</t>
  </si>
  <si>
    <t>14/06/2017</t>
  </si>
  <si>
    <t>15/06/2017</t>
  </si>
  <si>
    <t>16/06/2017</t>
  </si>
  <si>
    <t>19/06/2017</t>
  </si>
  <si>
    <t>20/06/2017</t>
  </si>
  <si>
    <t>21/06/2017</t>
  </si>
  <si>
    <t>22/06/2017</t>
  </si>
  <si>
    <t>23/06/2017</t>
  </si>
  <si>
    <t>26/06/2017</t>
  </si>
  <si>
    <t>27/06/2017</t>
  </si>
  <si>
    <t>28/06/2017</t>
  </si>
  <si>
    <t>29/06/2017</t>
  </si>
  <si>
    <t>30/06/2017</t>
  </si>
  <si>
    <t>03/07/2017</t>
  </si>
  <si>
    <t>04/07/2017</t>
  </si>
  <si>
    <t>05/07/2017</t>
  </si>
  <si>
    <t>06/07/2017</t>
  </si>
  <si>
    <t>07/07/2017</t>
  </si>
  <si>
    <t>10/07/2017</t>
  </si>
  <si>
    <t>11/07/2017</t>
  </si>
  <si>
    <t>12/07/2017</t>
  </si>
  <si>
    <t>FECHA PROGRAMADA</t>
  </si>
  <si>
    <t>ULTIMA TRANSFERENCIA</t>
  </si>
  <si>
    <t>DIAS ATRASO</t>
  </si>
  <si>
    <t>Ítems mal atendidos en frecuencia de reposiciones</t>
  </si>
  <si>
    <t>Ítems mal atendidos en tiempo de suministro</t>
  </si>
  <si>
    <t>INICIO ULTIMA TRANSFERENCIA</t>
  </si>
  <si>
    <t>FIN ULTIMA TRANSFERENCIA</t>
  </si>
  <si>
    <t>DIAS ULTIMA TRANSFERENCIA</t>
  </si>
  <si>
    <t>DIAS TIEMPO SUMINISTRO</t>
  </si>
  <si>
    <t>Bodega Central Agrota</t>
  </si>
  <si>
    <t>10000000972</t>
  </si>
  <si>
    <t>Ene</t>
  </si>
  <si>
    <t>31-Ene</t>
  </si>
  <si>
    <t>Feb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</si>
  <si>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</si>
  <si>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</si>
  <si>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</si>
  <si>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</si>
  <si>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</si>
  <si>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</si>
  <si>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</si>
  <si>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</si>
  <si>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</si>
  <si>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</si>
  <si>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</si>
  <si>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</si>
  <si>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</si>
  <si>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</si>
  <si>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</si>
  <si>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</si>
  <si>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</si>
  <si>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</si>
  <si>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</si>
  <si>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</si>
  <si>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</si>
  <si>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</si>
  <si>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</si>
  <si>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</si>
  <si>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</si>
  <si>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</si>
  <si>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</si>
  <si>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</si>
  <si>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Mar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</si>
  <si>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</si>
  <si>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</si>
  <si>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</si>
  <si>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</si>
  <si>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</si>
  <si>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</si>
  <si>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</si>
  <si>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</si>
  <si>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</si>
  <si>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</si>
  <si>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</si>
  <si>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</si>
  <si>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</si>
  <si>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</si>
  <si>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</si>
  <si>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</si>
  <si>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</si>
  <si>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</si>
  <si>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</si>
  <si>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</si>
  <si>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</si>
  <si>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</si>
  <si>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25-Mar</t>
  </si>
  <si>
    <t>26-Mar</t>
  </si>
  <si>
    <t>(en blanco)</t>
  </si>
  <si>
    <t>CODTRANSFER</t>
  </si>
  <si>
    <t>TRANSITO</t>
  </si>
  <si>
    <t>REFERENCIA</t>
  </si>
  <si>
    <t>FECHAARRIBO</t>
  </si>
  <si>
    <t>COSTO</t>
  </si>
  <si>
    <t>INVFIS</t>
  </si>
  <si>
    <t>INVTRANS</t>
  </si>
  <si>
    <t>INVPROY</t>
  </si>
  <si>
    <t>Suma de TRANSITO</t>
  </si>
  <si>
    <t>REPORTE TRÁNSITO DETALLADO</t>
  </si>
  <si>
    <t>01/04/2017</t>
  </si>
  <si>
    <t>04/02/2017</t>
  </si>
  <si>
    <t>05/02/2017</t>
  </si>
  <si>
    <t>11/02/2017</t>
  </si>
  <si>
    <t>12/02/2017</t>
  </si>
  <si>
    <t>18/02/2017</t>
  </si>
  <si>
    <t>19/02/2017</t>
  </si>
  <si>
    <t>25/02/2017</t>
  </si>
  <si>
    <t>26/02/2017</t>
  </si>
  <si>
    <t>04/03/2017</t>
  </si>
  <si>
    <t>05/03/2017</t>
  </si>
  <si>
    <t>11/03/2017</t>
  </si>
  <si>
    <t>18/03/2017</t>
  </si>
  <si>
    <t>25/03/2017</t>
  </si>
  <si>
    <t>26/03/2017</t>
  </si>
  <si>
    <t>27-Mar</t>
  </si>
  <si>
    <t>28-Mar</t>
  </si>
  <si>
    <t>29-Mar</t>
  </si>
  <si>
    <t>30-Mar</t>
  </si>
  <si>
    <t>31-Mar</t>
  </si>
  <si>
    <t>Abr</t>
  </si>
  <si>
    <t>01-Abr</t>
  </si>
  <si>
    <t>02/04/2017</t>
  </si>
  <si>
    <t>completo</t>
  </si>
  <si>
    <t>C:\Users\csema\Documents\RAM CAS\MEJORA CONTINUA\</t>
  </si>
  <si>
    <t>HOSPICARE</t>
  </si>
  <si>
    <t>HOSPICARE.xlsm</t>
  </si>
  <si>
    <t>O:\HOSPICARE.xlsm</t>
  </si>
  <si>
    <t>MEDITOP</t>
  </si>
  <si>
    <t>MEDITOP.xlsm</t>
  </si>
  <si>
    <t>O:\MEDITOP.xlsm</t>
  </si>
  <si>
    <t>Bodega ECU</t>
  </si>
  <si>
    <t>Bodega ECUCOMPRA LOCAL</t>
  </si>
  <si>
    <t>ECU</t>
  </si>
  <si>
    <t>REDAX AEREO</t>
  </si>
  <si>
    <t>Bodega ECUREDAX AEREO</t>
  </si>
  <si>
    <t>REDAX MARITIMO</t>
  </si>
  <si>
    <t>Bodega ECUREDAX MARITIMO</t>
  </si>
  <si>
    <t>HALYARD MARITIMO</t>
  </si>
  <si>
    <t>Bodega ECUHALYARD MARITIMO</t>
  </si>
  <si>
    <t>HALYARD AEREO</t>
  </si>
  <si>
    <t>Bodega ECUHALYARD AEREO</t>
  </si>
  <si>
    <t>STERYLAB MARITIMO</t>
  </si>
  <si>
    <t>Bodega ECUSTERYLAB MARITIMO</t>
  </si>
  <si>
    <t>STERYLAB AEREO</t>
  </si>
  <si>
    <t>Bodega ECUSTERYLAB AEREO</t>
  </si>
  <si>
    <t>METREX AEREO</t>
  </si>
  <si>
    <t>Bodega ECUMETREX AEREO</t>
  </si>
  <si>
    <t>METREX MARITIMO</t>
  </si>
  <si>
    <t>Bodega ECUMETREX MARITIMO</t>
  </si>
  <si>
    <t>SAGE AEREO</t>
  </si>
  <si>
    <t>Bodega ECUSAGE AEREO</t>
  </si>
  <si>
    <t>SAGE MARITIMO</t>
  </si>
  <si>
    <t>Bodega ECUSAGE MARITIMO</t>
  </si>
  <si>
    <t>REDAX</t>
  </si>
  <si>
    <t>Bodega ECUREDAX</t>
  </si>
  <si>
    <t>P00329</t>
  </si>
  <si>
    <t>KIMBERLY CLARK PROFESSIONAL</t>
  </si>
  <si>
    <t>Bodega ECUKIMBERLY CLARK PROFESSIONAL</t>
  </si>
  <si>
    <t>P00033</t>
  </si>
  <si>
    <t>METREX</t>
  </si>
  <si>
    <t>Bodega ECUMETREX</t>
  </si>
  <si>
    <t>EX0001</t>
  </si>
  <si>
    <t>HALYARD</t>
  </si>
  <si>
    <t>Bodega ECUHALYARD</t>
  </si>
  <si>
    <t>P00581</t>
  </si>
  <si>
    <t>JERILEX</t>
  </si>
  <si>
    <t>Bodega ECUJERILEX</t>
  </si>
  <si>
    <t>P00010</t>
  </si>
  <si>
    <t>PRODIMEDA</t>
  </si>
  <si>
    <t>Bodega ECUPRODIMEDA</t>
  </si>
  <si>
    <t>1791310233</t>
  </si>
  <si>
    <t>VIRUMEC</t>
  </si>
  <si>
    <t>Bodega ECUVIRUMEC</t>
  </si>
  <si>
    <t>P00557</t>
  </si>
  <si>
    <t>SAGE</t>
  </si>
  <si>
    <t>Bodega ECUSAGE</t>
  </si>
  <si>
    <t>EX012</t>
  </si>
  <si>
    <t>STERICLIN</t>
  </si>
  <si>
    <t>Bodega ECUSTERICLIN</t>
  </si>
  <si>
    <t>EX005</t>
  </si>
  <si>
    <t>STERYLAB</t>
  </si>
  <si>
    <t>Bodega ECUSTERYLAB</t>
  </si>
  <si>
    <t>P00038STER</t>
  </si>
  <si>
    <t>SV50A</t>
  </si>
  <si>
    <t>SV250L</t>
  </si>
  <si>
    <t>SV100F</t>
  </si>
  <si>
    <t>PAL60</t>
  </si>
  <si>
    <t>PAL45</t>
  </si>
  <si>
    <t>MMB90</t>
  </si>
  <si>
    <t>MMB60</t>
  </si>
  <si>
    <t>MMB45</t>
  </si>
  <si>
    <t>99287</t>
  </si>
  <si>
    <t>95111</t>
  </si>
  <si>
    <t>92355</t>
  </si>
  <si>
    <t>92354</t>
  </si>
  <si>
    <t>92353</t>
  </si>
  <si>
    <t>89821</t>
  </si>
  <si>
    <t>89811</t>
  </si>
  <si>
    <t>89731</t>
  </si>
  <si>
    <t>89706</t>
  </si>
  <si>
    <t>89490</t>
  </si>
  <si>
    <t>89462</t>
  </si>
  <si>
    <t>89381</t>
  </si>
  <si>
    <t>89311</t>
  </si>
  <si>
    <t>89265</t>
  </si>
  <si>
    <t>89111</t>
  </si>
  <si>
    <t>89070</t>
  </si>
  <si>
    <t>88731</t>
  </si>
  <si>
    <t>88488</t>
  </si>
  <si>
    <t>88411</t>
  </si>
  <si>
    <t>88108</t>
  </si>
  <si>
    <t>77910</t>
  </si>
  <si>
    <t>77907</t>
  </si>
  <si>
    <t>77903</t>
  </si>
  <si>
    <t>77723</t>
  </si>
  <si>
    <t>69979</t>
  </si>
  <si>
    <t>69606</t>
  </si>
  <si>
    <t>68036</t>
  </si>
  <si>
    <t>68030</t>
  </si>
  <si>
    <t>68024</t>
  </si>
  <si>
    <t>55092</t>
  </si>
  <si>
    <t>50604</t>
  </si>
  <si>
    <t>50603</t>
  </si>
  <si>
    <t>50602</t>
  </si>
  <si>
    <t>50601</t>
  </si>
  <si>
    <t>48247</t>
  </si>
  <si>
    <t>46767</t>
  </si>
  <si>
    <t>41205</t>
  </si>
  <si>
    <t>24620</t>
  </si>
  <si>
    <t>24610</t>
  </si>
  <si>
    <t>21836</t>
  </si>
  <si>
    <t>21833</t>
  </si>
  <si>
    <t>21830</t>
  </si>
  <si>
    <t>21828</t>
  </si>
  <si>
    <t>21824</t>
  </si>
  <si>
    <t>21132</t>
  </si>
  <si>
    <t>21128</t>
  </si>
  <si>
    <t>21124</t>
  </si>
  <si>
    <t>21120</t>
  </si>
  <si>
    <t>21118</t>
  </si>
  <si>
    <t>21116</t>
  </si>
  <si>
    <t>21112</t>
  </si>
  <si>
    <t>21110</t>
  </si>
  <si>
    <t>21108</t>
  </si>
  <si>
    <t>21040</t>
  </si>
  <si>
    <t>21036</t>
  </si>
  <si>
    <t>21032</t>
  </si>
  <si>
    <t>21030</t>
  </si>
  <si>
    <t>21028</t>
  </si>
  <si>
    <t>21024</t>
  </si>
  <si>
    <t>21020</t>
  </si>
  <si>
    <t>21016</t>
  </si>
  <si>
    <t>20940</t>
  </si>
  <si>
    <t>20936</t>
  </si>
  <si>
    <t>20932</t>
  </si>
  <si>
    <t>20930</t>
  </si>
  <si>
    <t>20928</t>
  </si>
  <si>
    <t>20924</t>
  </si>
  <si>
    <t>20920</t>
  </si>
  <si>
    <t>20916</t>
  </si>
  <si>
    <t>20836</t>
  </si>
  <si>
    <t>20833</t>
  </si>
  <si>
    <t>20830</t>
  </si>
  <si>
    <t>20828</t>
  </si>
  <si>
    <t>20824</t>
  </si>
  <si>
    <t>20821</t>
  </si>
  <si>
    <t>20818</t>
  </si>
  <si>
    <t>20815</t>
  </si>
  <si>
    <t>20812</t>
  </si>
  <si>
    <t>12024</t>
  </si>
  <si>
    <t>12015</t>
  </si>
  <si>
    <t>12004</t>
  </si>
  <si>
    <t>11232</t>
  </si>
  <si>
    <t>11228</t>
  </si>
  <si>
    <t>11224</t>
  </si>
  <si>
    <t>11220</t>
  </si>
  <si>
    <t>11216</t>
  </si>
  <si>
    <t>10845</t>
  </si>
  <si>
    <t>10836</t>
  </si>
  <si>
    <t>10803</t>
  </si>
  <si>
    <t>10802</t>
  </si>
  <si>
    <t>10801</t>
  </si>
  <si>
    <t>10800</t>
  </si>
  <si>
    <t>10715</t>
  </si>
  <si>
    <t>10705</t>
  </si>
  <si>
    <t>10538</t>
  </si>
  <si>
    <t>10531</t>
  </si>
  <si>
    <t>10530</t>
  </si>
  <si>
    <t>10193</t>
  </si>
  <si>
    <t>10192</t>
  </si>
  <si>
    <t>10191</t>
  </si>
  <si>
    <t>10174</t>
  </si>
  <si>
    <t>10172</t>
  </si>
  <si>
    <t>10162</t>
  </si>
  <si>
    <t>10161</t>
  </si>
  <si>
    <t>10141</t>
  </si>
  <si>
    <t>10140</t>
  </si>
  <si>
    <t>10129</t>
  </si>
  <si>
    <t>10128</t>
  </si>
  <si>
    <t>10126</t>
  </si>
  <si>
    <t>10119</t>
  </si>
  <si>
    <t>10113</t>
  </si>
  <si>
    <t>10112</t>
  </si>
  <si>
    <t>10110</t>
  </si>
  <si>
    <t>10105</t>
  </si>
  <si>
    <t>10102</t>
  </si>
  <si>
    <t>10709</t>
  </si>
  <si>
    <t>10712</t>
  </si>
  <si>
    <t>10718</t>
  </si>
  <si>
    <t>10720</t>
  </si>
  <si>
    <t>10724</t>
  </si>
  <si>
    <t>10736</t>
  </si>
  <si>
    <t>10748</t>
  </si>
  <si>
    <t>10754</t>
  </si>
  <si>
    <t>10772</t>
  </si>
  <si>
    <t>10818</t>
  </si>
  <si>
    <t>10824</t>
  </si>
  <si>
    <t>10830</t>
  </si>
  <si>
    <t>10840</t>
  </si>
  <si>
    <t>10848</t>
  </si>
  <si>
    <t>10854</t>
  </si>
  <si>
    <t>10872</t>
  </si>
  <si>
    <t>12712</t>
  </si>
  <si>
    <t>12715</t>
  </si>
  <si>
    <t>12718</t>
  </si>
  <si>
    <t>12720</t>
  </si>
  <si>
    <t>12724</t>
  </si>
  <si>
    <t>12736</t>
  </si>
  <si>
    <t>12748</t>
  </si>
  <si>
    <t>12754</t>
  </si>
  <si>
    <t>12824</t>
  </si>
  <si>
    <t>12830</t>
  </si>
  <si>
    <t>12836</t>
  </si>
  <si>
    <t>12840</t>
  </si>
  <si>
    <t>12845</t>
  </si>
  <si>
    <t>12848</t>
  </si>
  <si>
    <t>12854</t>
  </si>
  <si>
    <t>12872</t>
  </si>
  <si>
    <t>14271</t>
  </si>
  <si>
    <t>14277</t>
  </si>
  <si>
    <t>14281</t>
  </si>
  <si>
    <t>14309</t>
  </si>
  <si>
    <t>14320</t>
  </si>
  <si>
    <t>34142</t>
  </si>
  <si>
    <t>34143</t>
  </si>
  <si>
    <t>34145</t>
  </si>
  <si>
    <t>34146</t>
  </si>
  <si>
    <t>34147</t>
  </si>
  <si>
    <t>34148</t>
  </si>
  <si>
    <t>34149</t>
  </si>
  <si>
    <t>34151</t>
  </si>
  <si>
    <t>34154</t>
  </si>
  <si>
    <t>34156</t>
  </si>
  <si>
    <t>34157</t>
  </si>
  <si>
    <t>34158</t>
  </si>
  <si>
    <t>34159</t>
  </si>
  <si>
    <t>34160</t>
  </si>
  <si>
    <t>34161</t>
  </si>
  <si>
    <t>34162</t>
  </si>
  <si>
    <t>34163</t>
  </si>
  <si>
    <t>34164</t>
  </si>
  <si>
    <t>34165</t>
  </si>
  <si>
    <t>34167</t>
  </si>
  <si>
    <t>34168</t>
  </si>
  <si>
    <t>34170</t>
  </si>
  <si>
    <t>34171</t>
  </si>
  <si>
    <t>34172</t>
  </si>
  <si>
    <t>34173</t>
  </si>
  <si>
    <t>34174</t>
  </si>
  <si>
    <t>34175</t>
  </si>
  <si>
    <t>34176</t>
  </si>
  <si>
    <t>34178</t>
  </si>
  <si>
    <t>34179</t>
  </si>
  <si>
    <t>34180</t>
  </si>
  <si>
    <t>34181</t>
  </si>
  <si>
    <t>34182</t>
  </si>
  <si>
    <t>34183</t>
  </si>
  <si>
    <t>34184</t>
  </si>
  <si>
    <t>34185</t>
  </si>
  <si>
    <t>34186</t>
  </si>
  <si>
    <t>34187</t>
  </si>
  <si>
    <t>34188</t>
  </si>
  <si>
    <t>34189</t>
  </si>
  <si>
    <t>34190</t>
  </si>
  <si>
    <t>34191</t>
  </si>
  <si>
    <t>34192</t>
  </si>
  <si>
    <t>34193</t>
  </si>
  <si>
    <t>34194</t>
  </si>
  <si>
    <t>34195</t>
  </si>
  <si>
    <t>34196</t>
  </si>
  <si>
    <t>34197</t>
  </si>
  <si>
    <t>34198</t>
  </si>
  <si>
    <t>34199</t>
  </si>
  <si>
    <t>34200</t>
  </si>
  <si>
    <t>62024</t>
  </si>
  <si>
    <t>62030</t>
  </si>
  <si>
    <t>62036</t>
  </si>
  <si>
    <t>62048</t>
  </si>
  <si>
    <t>62118</t>
  </si>
  <si>
    <t>62124</t>
  </si>
  <si>
    <t>62130</t>
  </si>
  <si>
    <t>62136</t>
  </si>
  <si>
    <t>62148</t>
  </si>
  <si>
    <t>62154</t>
  </si>
  <si>
    <t>62160</t>
  </si>
  <si>
    <t>62172</t>
  </si>
  <si>
    <t>62190</t>
  </si>
  <si>
    <t>68048</t>
  </si>
  <si>
    <t>68118</t>
  </si>
  <si>
    <t>68124</t>
  </si>
  <si>
    <t>68130</t>
  </si>
  <si>
    <t>68136</t>
  </si>
  <si>
    <t>68148</t>
  </si>
  <si>
    <t>68154</t>
  </si>
  <si>
    <t>68160</t>
  </si>
  <si>
    <t>68172</t>
  </si>
  <si>
    <t>68190</t>
  </si>
  <si>
    <t>10-6000</t>
  </si>
  <si>
    <t>10-602</t>
  </si>
  <si>
    <t>13-5024</t>
  </si>
  <si>
    <t>10101R</t>
  </si>
  <si>
    <t>10102PX</t>
  </si>
  <si>
    <t>10117</t>
  </si>
  <si>
    <t>10130</t>
  </si>
  <si>
    <t>10400</t>
  </si>
  <si>
    <t>10410</t>
  </si>
  <si>
    <t>10564</t>
  </si>
  <si>
    <t>10-4025</t>
  </si>
  <si>
    <t>10420</t>
  </si>
  <si>
    <t>135100</t>
  </si>
  <si>
    <t>135150</t>
  </si>
  <si>
    <t>135155</t>
  </si>
  <si>
    <t>24110</t>
  </si>
  <si>
    <t>24111</t>
  </si>
  <si>
    <t>24130</t>
  </si>
  <si>
    <t>24131</t>
  </si>
  <si>
    <t>24140</t>
  </si>
  <si>
    <t>24141</t>
  </si>
  <si>
    <t>24200</t>
  </si>
  <si>
    <t>24201</t>
  </si>
  <si>
    <t>24210</t>
  </si>
  <si>
    <t>24211</t>
  </si>
  <si>
    <t>24220</t>
  </si>
  <si>
    <t>24221</t>
  </si>
  <si>
    <t>24230</t>
  </si>
  <si>
    <t>24231</t>
  </si>
  <si>
    <t>24601</t>
  </si>
  <si>
    <t>24602</t>
  </si>
  <si>
    <t>24603</t>
  </si>
  <si>
    <t>24604</t>
  </si>
  <si>
    <t>24605</t>
  </si>
  <si>
    <t>24607</t>
  </si>
  <si>
    <t>24612</t>
  </si>
  <si>
    <t>24615</t>
  </si>
  <si>
    <t>24619</t>
  </si>
  <si>
    <t>24621</t>
  </si>
  <si>
    <t>25019</t>
  </si>
  <si>
    <t>25024</t>
  </si>
  <si>
    <t>66510</t>
  </si>
  <si>
    <t>6934BP</t>
  </si>
  <si>
    <t>6938BP</t>
  </si>
  <si>
    <t>68218</t>
  </si>
  <si>
    <t>68224</t>
  </si>
  <si>
    <t>68230</t>
  </si>
  <si>
    <t>68236</t>
  </si>
  <si>
    <t>68240</t>
  </si>
  <si>
    <t>68245</t>
  </si>
  <si>
    <t>68248</t>
  </si>
  <si>
    <t>68254</t>
  </si>
  <si>
    <t>68272</t>
  </si>
  <si>
    <t>ANTEOJOS ENSAMBLADOSM SAFEVIEW UN</t>
  </si>
  <si>
    <t>LENTES DE REPUESTOS SAFEVIEW UN</t>
  </si>
  <si>
    <t>MONTURAS SAFEVIEW/COLORES SURTIDOS UN</t>
  </si>
  <si>
    <t>MARCO DE ALUMINIO 60 X 115CM UN</t>
  </si>
  <si>
    <t>MARCO DE ALUMINIO 45 X 115CM UN</t>
  </si>
  <si>
    <t>ALFOMBRA BACTERICIDAD MULTIMAT 90 X 115C</t>
  </si>
  <si>
    <t>ALFOMBRA BACTERICIDA MULTIMAT</t>
  </si>
  <si>
    <t>KC100 SURGICAL GOWN</t>
  </si>
  <si>
    <t>BATA QUIRURGICA ULTRA L</t>
  </si>
  <si>
    <t>BATA QUIRURGICA MICROCOOL - XL  SECURE F</t>
  </si>
  <si>
    <t>BATA QUIRURGICA MICROCOOL - L SECURE FIT</t>
  </si>
  <si>
    <t>"M-COLL, SRGCL, GOWN SPE - XL"</t>
  </si>
  <si>
    <t>"IMPERVIOUS STOCKINETTE , LARGE"</t>
  </si>
  <si>
    <t>"STOKINETA IMPERMEABLE ESTERIL 9""X44"""</t>
  </si>
  <si>
    <t>UTILITY DRAPES</t>
  </si>
  <si>
    <t>FEMORAL ANGIOGRAPHY</t>
  </si>
  <si>
    <t>2- PIECE SHOULDER ARTHOSCOPY DRAPE PACK</t>
  </si>
  <si>
    <t>"CAMPO PARA ORTOPEDIA, CAMPO PROPILENO (1"</t>
  </si>
  <si>
    <t>LARGE ORTHO- DRAPE</t>
  </si>
  <si>
    <t>CAMPO ARTROSCOPIA DE RODILLA KC200 UN</t>
  </si>
  <si>
    <t>MEDIUM DRAPE</t>
  </si>
  <si>
    <t>CAMPO PARA ARTROSCOPIA DE HOMBRO KC200</t>
  </si>
  <si>
    <t>PAQUETE CARDIOVASCULAR I KC 200</t>
  </si>
  <si>
    <t>PAQUETE DE ARTROSCOPIA DE RODILLA</t>
  </si>
  <si>
    <t>PAQUETE ORTOPEDICO I KC 200</t>
  </si>
  <si>
    <t>PAQUETE DE ARTROSCOPIA DE HOMBRO TECNICA</t>
  </si>
  <si>
    <t>PAQUETE ARTROSCOPIA DE RODILLA UN</t>
  </si>
  <si>
    <t>PAQUETE PARA LAPAROTOMIA I KC 100 UN</t>
  </si>
  <si>
    <t>PAQUETE UNIVERSAL I KC 100 UN</t>
  </si>
  <si>
    <t>CAMPO VERTICAL PARA CADERA</t>
  </si>
  <si>
    <t>BATA AISLANTE KC200 AMARILLA</t>
  </si>
  <si>
    <t>BATA PROCEDIMIENTOS DE QUIMIOTERAPIA UN</t>
  </si>
  <si>
    <t>"KC200 KIMGUARD* STERILIZATION WRAP,  36I"</t>
  </si>
  <si>
    <t>"KC200 KIMGUARD* STERILIZATION WRAP,  30I"</t>
  </si>
  <si>
    <t>PURPLE NITRILE STERILE POWDER - FREE EXA</t>
  </si>
  <si>
    <t>"GUANTES PARA EXAMEN PURPLE NITRILE XTRA,"</t>
  </si>
  <si>
    <t>GUANTES PARA EXAMEN PURPLE NITRILE XTRA</t>
  </si>
  <si>
    <t>GUANTES PURPLE NITRILE XTRA TALLA M</t>
  </si>
  <si>
    <t>GUANTES PURPLE NITRILE XTRA TALLA S</t>
  </si>
  <si>
    <t>MASCARILLA QUIRURGICA FUIDSHIELD FOG FRE</t>
  </si>
  <si>
    <t>MASCARIILA FLUIDSHIELD PICO DE PATO ANAR</t>
  </si>
  <si>
    <t>VISERA DE LARGO 3/4 GUARDALL SHIELD</t>
  </si>
  <si>
    <t>DREN ESPIRAL SIN TROCAR 20CH UN</t>
  </si>
  <si>
    <t>DREN ESPIRAL SIN TROCAR 10CH UN</t>
  </si>
  <si>
    <t>Catéter Torácico Silicón Angulado CH 36</t>
  </si>
  <si>
    <t>Catéter Torácico Silicón Angulado CH 33</t>
  </si>
  <si>
    <t>Catéter Torácico Silicón Angulado CH 30</t>
  </si>
  <si>
    <t>Catéter Torácico Silicón Angulado CH 28</t>
  </si>
  <si>
    <t>Catéter Torácico Silicón Angulado CH 24</t>
  </si>
  <si>
    <t>"Catéter Torácico c/Trocar CH 32 / 10,6mm"</t>
  </si>
  <si>
    <t>"Catéter Torácico c/Trocar CH 28 / 9,3mm"</t>
  </si>
  <si>
    <t>Catéter Torácico c/Trocar CH 24 / 8mm /</t>
  </si>
  <si>
    <t>"Catéter Torácico c/Trocar CH 20 / 6,6mm"</t>
  </si>
  <si>
    <t>Catéter Torácico c/Trocar CH 18 / 6mm /</t>
  </si>
  <si>
    <t>"Catéter Torácico c/Trocar CH 16 / 5,3mm"</t>
  </si>
  <si>
    <t>Catéter Torácico c/Trocar CH 12 / 4mm /</t>
  </si>
  <si>
    <t>"Catéter Torácico c/Trocar CH 10 / 3,3mm"</t>
  </si>
  <si>
    <t>"Catéter Torácico c/Trocar CH 8 / 2,6mm /"</t>
  </si>
  <si>
    <t>"Catéter Torácico recto PVC CH 40 / 13,3"</t>
  </si>
  <si>
    <t>Catéter Torácico recto PVC CH 36 / 12 mm</t>
  </si>
  <si>
    <t>"Catéter Torácico recto PVC CH 32 / 10,6"</t>
  </si>
  <si>
    <t>Catéter Torácico recto PVC CH 30 / 10 mm</t>
  </si>
  <si>
    <t>"Catéter Torácico recto PVC CH 28 / 9,3 m"</t>
  </si>
  <si>
    <t>Catéter Torácico recto PVC CH 24 / 8 mm</t>
  </si>
  <si>
    <t>"Catéter Torácico recto PVC CH 20 / 6,6 m"</t>
  </si>
  <si>
    <t>"Catéter Torácico recto PVC CH 16 / 5,3 m"</t>
  </si>
  <si>
    <t>Catéter Torácico Angulado PVC CH 40 / 13</t>
  </si>
  <si>
    <t>Catéter Torácico Angulado PVC CH 36 / 12</t>
  </si>
  <si>
    <t>"Catéter Torácico Angulado PVC CH 32 /10,"</t>
  </si>
  <si>
    <t>Catéter Torácico Angulado PVC CH 30 / 10</t>
  </si>
  <si>
    <t>"Catéter Torácico Angulado PVC CH 28 / 9,"</t>
  </si>
  <si>
    <t>Catéter Torácico Angulado PVC CH 24 / 8</t>
  </si>
  <si>
    <t>"Catéter Torácico Angulado PVC CH 20 / 6,"</t>
  </si>
  <si>
    <t>"Catéter Torácico Angulado PVC CH 16 / 5,"</t>
  </si>
  <si>
    <t>Catéter Torácco Silicón recto CH 36 / 12</t>
  </si>
  <si>
    <t>Catéter Torácco Silicón recto CH 33 / 11</t>
  </si>
  <si>
    <t>Catéter Torácco Silicón recto CH 30 / 10</t>
  </si>
  <si>
    <t>"Catéter Torácco Silicón recto CH 28 / 9,"</t>
  </si>
  <si>
    <t>Catéter Torácco Silicón recto CH 24 / 8m</t>
  </si>
  <si>
    <t>Catéter Torácco Silicón recto CH 21 / 7m</t>
  </si>
  <si>
    <t>Catéter Torácco Silicón recto CH 18 / 6m</t>
  </si>
  <si>
    <t>Catéter Torácco Silicón recto CH 15 / 5m</t>
  </si>
  <si>
    <t>Catéter Torácco Silicón recto CH 12 / 4m</t>
  </si>
  <si>
    <t>Bolsa de sangre para recambio para drena</t>
  </si>
  <si>
    <t>Bolsa 200 ml</t>
  </si>
  <si>
    <t>Bolsa 600 ml</t>
  </si>
  <si>
    <t>CATETER TORACICO CON TROCAR PUNTA AFILAD</t>
  </si>
  <si>
    <t>"KC300 KIMGUARD* STERILIZATION WRAP,  45I"</t>
  </si>
  <si>
    <t>"UNICO - Centesis Set, de-connectable ver"</t>
  </si>
  <si>
    <t>"UNICO - Centesis Set, standard version -"</t>
  </si>
  <si>
    <t>Set autotransfusión con resorte interno</t>
  </si>
  <si>
    <t>Set autotransfusión</t>
  </si>
  <si>
    <t>Chest unit protection filter</t>
  </si>
  <si>
    <t>Heimlich Valve with 600 ml bag tapless e</t>
  </si>
  <si>
    <t>"Heimlich Valve - standalone, sterile"</t>
  </si>
  <si>
    <t>Drentecha PALM Portable chest drainage v</t>
  </si>
  <si>
    <t>Drentech PALM KIT portable chest drainag</t>
  </si>
  <si>
    <t>CAMPANA UNICAMERAL CHEST UN TUBO</t>
  </si>
  <si>
    <t>KIT portable chest drainage vacuum unit</t>
  </si>
  <si>
    <t>Portable chest drainage vacuum unit</t>
  </si>
  <si>
    <t>EMOTRANS - Chest drain four chambers Rec</t>
  </si>
  <si>
    <t>EMOTRANS - Chest drain three chambers Re</t>
  </si>
  <si>
    <t>Bolsa de Sangre EMOTRANS Bolsa de sangre</t>
  </si>
  <si>
    <t>EMOTRANS DUNE mobile  Recipiente de dren</t>
  </si>
  <si>
    <t>SIMPLE 3 - Chest drain two chambers Reci</t>
  </si>
  <si>
    <t>SIMPLE PLUS - Chest drain two chambers R</t>
  </si>
  <si>
    <t>VARIANT CAMPANA DE 4 CAMARAS EN SECO DOS</t>
  </si>
  <si>
    <t>CAMPANA TRES CAMARAS DUNE SECO UN TUBO</t>
  </si>
  <si>
    <t>VARIANT CAMPANA DE 3 CAMARAS EN SECO UN</t>
  </si>
  <si>
    <t>VARIANT - Chest drain three chambers Rec</t>
  </si>
  <si>
    <t>COMPACT - Chest drain three chambers Rec</t>
  </si>
  <si>
    <t>CAMPANA CUATRO CAMARAS EN HUMEDO DOS TUB</t>
  </si>
  <si>
    <t>"KC100 KIMGUARD* STERILIZATION WRAP,  12I"</t>
  </si>
  <si>
    <t>"KC100 KIMGUARD* STERILIZATION WRAP,  20I"</t>
  </si>
  <si>
    <t>"KC100 KIMGUARD* STERILIZATION WRAP,  24I"</t>
  </si>
  <si>
    <t>"KC100 KIMGUARD* STERILIZATION WRAP,  48I"</t>
  </si>
  <si>
    <t>"KC300 KIMGUARD* STERILIZATION WRAP,  18I"</t>
  </si>
  <si>
    <t>"KC300 KIMGUARD* STERILIZATION WRAP,  24I"</t>
  </si>
  <si>
    <t>"KC300 KIMGUARD* STERILIZATION WRAP,  30I"</t>
  </si>
  <si>
    <t>"KC300 KIMGUARD* STERILIZATION WRAP,  40I"</t>
  </si>
  <si>
    <t>"KC300 KIMGUARD* STERILIZATION WRAP,  48I"</t>
  </si>
  <si>
    <t>"KC300 KIMGUARD* STERILIZATION WRAP,  54I"</t>
  </si>
  <si>
    <t>"KC100 KIMGUARD ONE-STEP*,  STERILIZATION"</t>
  </si>
  <si>
    <t>"KC300 KIMGUARD ONE-STEP*,  STERILIZATION"</t>
  </si>
  <si>
    <t>Kimguard Smart Fold Sterilization  Wrap</t>
  </si>
  <si>
    <t>KIMGUARD ONE-STEP* QUICK CHECK* STERILIZ</t>
  </si>
  <si>
    <t>"KC200 KIMGUARD ONE-STEP*,  STERILIZATION"</t>
  </si>
  <si>
    <t>"KC500 KIMGUARD ONE-STEP*,  STERILIZATION"</t>
  </si>
  <si>
    <t>"KC200 KIMGUARD* STERILIZATION WRAP,  48I"</t>
  </si>
  <si>
    <t>"KC500 KIMGUARD* STERILIZATION WRAP,  18I"</t>
  </si>
  <si>
    <t>"KC500 KIMGUARD* STERILIZATION WRAP,  24I"</t>
  </si>
  <si>
    <t>"KC500 KIMGUARD* STERILIZATION WRAP,  30I"</t>
  </si>
  <si>
    <t>"KC500 KIMGUARD* STERILIZATION WRAP,  36I"</t>
  </si>
  <si>
    <t>"KC500 KIMGUARD* STERILIZATION WRAP,  48I"</t>
  </si>
  <si>
    <t>"KC500 KIMGUARD* STERILIZATION WRAP,  54I"</t>
  </si>
  <si>
    <t>"KC500 KIMGUARD* STERILIZATION WRAP,  60I"</t>
  </si>
  <si>
    <t>METRICIDE OPA PLUS DESINFECTANTE DE QUIR</t>
  </si>
  <si>
    <t>OPA TEST STRIPS TIRAS REACTIVAS ENVASE X</t>
  </si>
  <si>
    <t>CAVICIDE1 FRASCO 710ML CON APLICADOR</t>
  </si>
  <si>
    <t>Sistema de drenaje toracico DRENTECH ANE</t>
  </si>
  <si>
    <t>COMPACT 4 CÁMARAS HÚMEDO</t>
  </si>
  <si>
    <t>Sistema de drenaje toracico para pediatr</t>
  </si>
  <si>
    <t>RESERVORIO DE SILICON DE 100ML</t>
  </si>
  <si>
    <t>RESERVORIO DE SILICON DE 200ML</t>
  </si>
  <si>
    <t>"Tubo de conexión para neonatologia, 20 u"</t>
  </si>
  <si>
    <t>METRISPONGE ESPONJA SATURADA CON DETERGE</t>
  </si>
  <si>
    <t>RESERVORIO DE SILICON DE 400ML</t>
  </si>
  <si>
    <t>CAVIWIPES 1</t>
  </si>
  <si>
    <t>CAVIWIPES 1 XL</t>
  </si>
  <si>
    <t>"CAVIWIPE1 XL, PAÑOS DESINFECTANTES DE US"</t>
  </si>
  <si>
    <t>DREN PLANO DE SILICON TIPO JACKSON PRATT</t>
  </si>
  <si>
    <t>DREN REDONDO DE SILICON TIPO JACKSON PRA</t>
  </si>
  <si>
    <t>DREN REDONDO  DE SILICON TIPO JACKSON PR</t>
  </si>
  <si>
    <t>SPIRAL DREN CON TROCAR 7FR/CH</t>
  </si>
  <si>
    <t>SPIRAL DREN CON TROCAR 10FR/CH</t>
  </si>
  <si>
    <t>SPIRAL DREN CON TROCAR 15FR/CH</t>
  </si>
  <si>
    <t>SPIRAL DREN CON TROCAR 19FR/CH</t>
  </si>
  <si>
    <t>SPIRAL DREN CON TROCAR CH12</t>
  </si>
  <si>
    <t>SPIRAL DREN CON TROCAR CH7</t>
  </si>
  <si>
    <t>DREN ESPIRAL SIN TROCAR CH12</t>
  </si>
  <si>
    <t>DREN ESPIRAL SIN TROCAR CH15</t>
  </si>
  <si>
    <t>DREN ESPIRAL SIN TROCAR CH19</t>
  </si>
  <si>
    <t>DREN ESPIRAL SIN TROCAR CH24</t>
  </si>
  <si>
    <t>Kardial Spiral DREN SIN TROCAR DE 19 FR/</t>
  </si>
  <si>
    <t>Kardial Spiral DREN SIN TROCAR DE 24 FR/</t>
  </si>
  <si>
    <t>"PAQUETE CARDIOVASCULAR CLEAR VIEW, 2PCS"</t>
  </si>
  <si>
    <t>SISTEMA DE LIMPIEZA Y SUCCION BUCALES</t>
  </si>
  <si>
    <t>VISERA</t>
  </si>
  <si>
    <t>MULTIMAT</t>
  </si>
  <si>
    <t>BATAS AISLAMIENTO</t>
  </si>
  <si>
    <t>ULTRA</t>
  </si>
  <si>
    <t>MICROCOOL</t>
  </si>
  <si>
    <t>STOKINETA</t>
  </si>
  <si>
    <t>ORTOPEDIA</t>
  </si>
  <si>
    <t>ANGIOGRAFIA</t>
  </si>
  <si>
    <t>CARDIOVASCULAR</t>
  </si>
  <si>
    <t>GENERAL</t>
  </si>
  <si>
    <t>UNIVERSAL</t>
  </si>
  <si>
    <t>BATAS QUIMIOTERAPIA</t>
  </si>
  <si>
    <t>KIMGUARD</t>
  </si>
  <si>
    <t>GUANTES</t>
  </si>
  <si>
    <t>GUANTES PARA QUIMIOTERAPIA</t>
  </si>
  <si>
    <t>MASCARILLAS CONTRA LIQUIDOS</t>
  </si>
  <si>
    <t>MASCARILLA RESPIRATORIA N95</t>
  </si>
  <si>
    <t>UNICO</t>
  </si>
  <si>
    <t>CATETERES DE SILICON ANGULADO</t>
  </si>
  <si>
    <t>CATETERES CON TROCAR PUNTA CERRADA</t>
  </si>
  <si>
    <t>CATETERES RECTOS PVC</t>
  </si>
  <si>
    <t>CATETERES ANGULADOS PVC</t>
  </si>
  <si>
    <t>CATETERES DE SILICON RECTO</t>
  </si>
  <si>
    <t>ACCESORIO SET DE AUTOTRANSFUSION</t>
  </si>
  <si>
    <t>BOLSAS</t>
  </si>
  <si>
    <t>CATETERES CON TROCAR PUNTA AFILADA</t>
  </si>
  <si>
    <t>SET DE AUTOTRANSFUSION</t>
  </si>
  <si>
    <t>ACCESORIOS CAMPANAS</t>
  </si>
  <si>
    <t>VALVULA DE HEIMLICH</t>
  </si>
  <si>
    <t>CAMPANA UNICAMERAL</t>
  </si>
  <si>
    <t>CAMP.AUTOTRANSF.CUATRO CAMARAS EN HUMEDO</t>
  </si>
  <si>
    <t>CAMP. AUTOTRASNF.TRES CAMARAS EN HUMEDO</t>
  </si>
  <si>
    <t>ACCESORIOS  CAMPANAS</t>
  </si>
  <si>
    <t>CAMP.AUTOTRANSF.TRES CAMARAS TOTALM.SECO</t>
  </si>
  <si>
    <t>CAMPANA  DOS CAMARAS</t>
  </si>
  <si>
    <t>CAMPANA DE CUATRO CAMARAS EN SECO</t>
  </si>
  <si>
    <t>CAMPANA TRES CAMARAS TOTALMENTE SECO</t>
  </si>
  <si>
    <t>CAMPANA DE TRES CAMARAS SECO</t>
  </si>
  <si>
    <t>CAMPANA DE TRES CAMARAS HUMEDO</t>
  </si>
  <si>
    <t>CAMPANA CUATRO CAMARAS EN HUMEDO</t>
  </si>
  <si>
    <t>METRICIDE</t>
  </si>
  <si>
    <t>TIRAS REACTIVAS</t>
  </si>
  <si>
    <t>CAVICIDE</t>
  </si>
  <si>
    <t>RESERVORIOS</t>
  </si>
  <si>
    <t>METRISPONGE</t>
  </si>
  <si>
    <t>JACKSON PRATT</t>
  </si>
  <si>
    <t>SPIRAL</t>
  </si>
  <si>
    <t>KARDIAL</t>
  </si>
  <si>
    <t>QCARE Q4</t>
  </si>
  <si>
    <t>QCARE Q8</t>
  </si>
  <si>
    <t>25/11/2016</t>
  </si>
  <si>
    <t>26/11/2016</t>
  </si>
  <si>
    <t>28/11/2016</t>
  </si>
  <si>
    <t>29/11/2016</t>
  </si>
  <si>
    <t>30/11/2016</t>
  </si>
  <si>
    <t>01/12/2016</t>
  </si>
  <si>
    <t>02/12/2016</t>
  </si>
  <si>
    <t>03/12/2016</t>
  </si>
  <si>
    <t>05/12/2016</t>
  </si>
  <si>
    <t>06/12/2016</t>
  </si>
  <si>
    <t>13/12/2016</t>
  </si>
  <si>
    <t>14/12/2016</t>
  </si>
  <si>
    <t>15/12/2016</t>
  </si>
  <si>
    <t>13/03/2017</t>
  </si>
  <si>
    <t>19/03/2017</t>
  </si>
  <si>
    <t>24/03/2017</t>
  </si>
  <si>
    <t>13/07/2017</t>
  </si>
  <si>
    <t>14/07/2017</t>
  </si>
  <si>
    <t>17/07/2017</t>
  </si>
  <si>
    <t>18/07/2017</t>
  </si>
  <si>
    <t>19/07/2017</t>
  </si>
  <si>
    <t>20/07/2017</t>
  </si>
  <si>
    <t>21/07/2017</t>
  </si>
  <si>
    <t>24/07/2017</t>
  </si>
  <si>
    <t>25/07/2017</t>
  </si>
  <si>
    <t>26/07/2017</t>
  </si>
  <si>
    <t>27/07/2017</t>
  </si>
  <si>
    <t>28/07/2017</t>
  </si>
  <si>
    <t>31/07/2017</t>
  </si>
  <si>
    <t>01/08/2017</t>
  </si>
  <si>
    <t>02/08/2017</t>
  </si>
  <si>
    <t>03/08/2017</t>
  </si>
  <si>
    <t>"KC100 KIMGUARD* STERILIZATION WRAP,  9IN"</t>
  </si>
  <si>
    <t>"KC100 KIMGUARD* STERILIZATION WRAP,  18I"</t>
  </si>
  <si>
    <t>"KC100 KIMGUARD* STERILIZATION WRAP,   36"</t>
  </si>
  <si>
    <t>"KC100 KIMGUARD* STERILIZATION WRAP,   54"</t>
  </si>
  <si>
    <t>"KC100 KIMGUARD* STERILIZATION WRAP,  54I"</t>
  </si>
  <si>
    <t>"KC300 KIMGUARD* STERILIZATION WRAP,  36I"</t>
  </si>
  <si>
    <t>"KC200 KIMGUARD* STERILIZATION WRAP,  24I"</t>
  </si>
  <si>
    <t>ECU10-4025</t>
  </si>
  <si>
    <t>ECU10-6000</t>
  </si>
  <si>
    <t>ECU10-602</t>
  </si>
  <si>
    <t>ECU10105</t>
  </si>
  <si>
    <t>ECU10110</t>
  </si>
  <si>
    <t>ECU10400</t>
  </si>
  <si>
    <t>ECU10420</t>
  </si>
  <si>
    <t>ECU10801</t>
  </si>
  <si>
    <t>ECU11228</t>
  </si>
  <si>
    <t>ECU11232</t>
  </si>
  <si>
    <t>ECU13-5024</t>
  </si>
  <si>
    <t>ECU135100</t>
  </si>
  <si>
    <t>ECU20833</t>
  </si>
  <si>
    <t>ECU20836</t>
  </si>
  <si>
    <t>ECU21833</t>
  </si>
  <si>
    <t>ECU24602</t>
  </si>
  <si>
    <t>ECU88411</t>
  </si>
  <si>
    <t>ECUMMB45</t>
  </si>
  <si>
    <t>ECUMMB60</t>
  </si>
  <si>
    <t>ECUMMB90</t>
  </si>
  <si>
    <t>ECU10101R</t>
  </si>
  <si>
    <t>ECU10112</t>
  </si>
  <si>
    <t>ECU10117</t>
  </si>
  <si>
    <t>ECU10119</t>
  </si>
  <si>
    <t>ECU10126</t>
  </si>
  <si>
    <t>ECU10128</t>
  </si>
  <si>
    <t>ECU10130</t>
  </si>
  <si>
    <t>ECU10140</t>
  </si>
  <si>
    <t>ECU10141</t>
  </si>
  <si>
    <t>ECU10161</t>
  </si>
  <si>
    <t>ECU10162</t>
  </si>
  <si>
    <t>ECU10191</t>
  </si>
  <si>
    <t>ECU10530</t>
  </si>
  <si>
    <t>ECU10531</t>
  </si>
  <si>
    <t>ECU10538</t>
  </si>
  <si>
    <t>ECU10564</t>
  </si>
  <si>
    <t>ECU10705</t>
  </si>
  <si>
    <t>ECU10800</t>
  </si>
  <si>
    <t>ECU10802</t>
  </si>
  <si>
    <t>ECU10803</t>
  </si>
  <si>
    <t>ECU11224</t>
  </si>
  <si>
    <t>ECU12024</t>
  </si>
  <si>
    <t>ECU135150</t>
  </si>
  <si>
    <t>ECU135155</t>
  </si>
  <si>
    <t>ECU20828</t>
  </si>
  <si>
    <t>ECU20830</t>
  </si>
  <si>
    <t>ECU20932</t>
  </si>
  <si>
    <t>ECU21028</t>
  </si>
  <si>
    <t>ECU21032</t>
  </si>
  <si>
    <t>ECU21036</t>
  </si>
  <si>
    <t>ECU21128</t>
  </si>
  <si>
    <t>ECU21132</t>
  </si>
  <si>
    <t>ECU24130</t>
  </si>
  <si>
    <t>ECU24131</t>
  </si>
  <si>
    <t>ECU24211</t>
  </si>
  <si>
    <t>ECU24221</t>
  </si>
  <si>
    <t>ECU24601</t>
  </si>
  <si>
    <t>ECU24603</t>
  </si>
  <si>
    <t>ECU24604</t>
  </si>
  <si>
    <t>ECU24610</t>
  </si>
  <si>
    <t>ECU24620</t>
  </si>
  <si>
    <t>ECU25019</t>
  </si>
  <si>
    <t>ECU25024</t>
  </si>
  <si>
    <t>ECU6934BP</t>
  </si>
  <si>
    <t>ECU6938BP</t>
  </si>
  <si>
    <t>ECU89111</t>
  </si>
  <si>
    <t>ECU89311</t>
  </si>
  <si>
    <t>ECU89462</t>
  </si>
  <si>
    <t>ECU99287</t>
  </si>
  <si>
    <t>ECUPAL45</t>
  </si>
  <si>
    <t>ECUPAL60</t>
  </si>
  <si>
    <t>ECUSV100F</t>
  </si>
  <si>
    <t>ECUSV250L</t>
  </si>
  <si>
    <t>ECUSV50A</t>
  </si>
  <si>
    <t>ECU10102</t>
  </si>
  <si>
    <t>ECU10102PX</t>
  </si>
  <si>
    <t>ECU10113</t>
  </si>
  <si>
    <t>ECU10129</t>
  </si>
  <si>
    <t>ECU10172</t>
  </si>
  <si>
    <t>ECU10174</t>
  </si>
  <si>
    <t>ECU10192</t>
  </si>
  <si>
    <t>ECU10193</t>
  </si>
  <si>
    <t>ECU10410</t>
  </si>
  <si>
    <t>ECU10709</t>
  </si>
  <si>
    <t>ECU10712</t>
  </si>
  <si>
    <t>ECU10715</t>
  </si>
  <si>
    <t>ECU10718</t>
  </si>
  <si>
    <t>ECU10720</t>
  </si>
  <si>
    <t>ECU10724</t>
  </si>
  <si>
    <t>ECU10736</t>
  </si>
  <si>
    <t>ECU10748</t>
  </si>
  <si>
    <t>ECU10754</t>
  </si>
  <si>
    <t>ECU10772</t>
  </si>
  <si>
    <t>ECU10818</t>
  </si>
  <si>
    <t>ECU10824</t>
  </si>
  <si>
    <t>ECU10830</t>
  </si>
  <si>
    <t>ECU10836</t>
  </si>
  <si>
    <t>ECU10840</t>
  </si>
  <si>
    <t>ECU10845</t>
  </si>
  <si>
    <t>ECU10848</t>
  </si>
  <si>
    <t>ECU10854</t>
  </si>
  <si>
    <t>ECU10872</t>
  </si>
  <si>
    <t>ECU11216</t>
  </si>
  <si>
    <t>ECU11220</t>
  </si>
  <si>
    <t>ECU12004</t>
  </si>
  <si>
    <t>ECU12015</t>
  </si>
  <si>
    <t>ECU12712</t>
  </si>
  <si>
    <t>ECU12715</t>
  </si>
  <si>
    <t>ECU12718</t>
  </si>
  <si>
    <t>ECU12720</t>
  </si>
  <si>
    <t>ECU12724</t>
  </si>
  <si>
    <t>ECU12736</t>
  </si>
  <si>
    <t>ECU12748</t>
  </si>
  <si>
    <t>ECU12754</t>
  </si>
  <si>
    <t>ECU12824</t>
  </si>
  <si>
    <t>ECU12830</t>
  </si>
  <si>
    <t>ECU12836</t>
  </si>
  <si>
    <t>ECU12840</t>
  </si>
  <si>
    <t>ECU12845</t>
  </si>
  <si>
    <t>ECU12848</t>
  </si>
  <si>
    <t>ECU12854</t>
  </si>
  <si>
    <t>ECU12872</t>
  </si>
  <si>
    <t>ECU14271</t>
  </si>
  <si>
    <t>ECU14277</t>
  </si>
  <si>
    <t>ECU14281</t>
  </si>
  <si>
    <t>ECU14309</t>
  </si>
  <si>
    <t>ECU14320</t>
  </si>
  <si>
    <t>ECU20812</t>
  </si>
  <si>
    <t>ECU20815</t>
  </si>
  <si>
    <t>ECU20818</t>
  </si>
  <si>
    <t>ECU20821</t>
  </si>
  <si>
    <t>ECU20824</t>
  </si>
  <si>
    <t>ECU20916</t>
  </si>
  <si>
    <t>ECU20920</t>
  </si>
  <si>
    <t>ECU20924</t>
  </si>
  <si>
    <t>ECU20928</t>
  </si>
  <si>
    <t>ECU20930</t>
  </si>
  <si>
    <t>ECU20936</t>
  </si>
  <si>
    <t>ECU20940</t>
  </si>
  <si>
    <t>ECU21016</t>
  </si>
  <si>
    <t>ECU21020</t>
  </si>
  <si>
    <t>ECU21024</t>
  </si>
  <si>
    <t>ECU21030</t>
  </si>
  <si>
    <t>ECU21040</t>
  </si>
  <si>
    <t>ECU21108</t>
  </si>
  <si>
    <t>ECU21110</t>
  </si>
  <si>
    <t>ECU21112</t>
  </si>
  <si>
    <t>ECU21116</t>
  </si>
  <si>
    <t>ECU21118</t>
  </si>
  <si>
    <t>ECU21120</t>
  </si>
  <si>
    <t>ECU21124</t>
  </si>
  <si>
    <t>ECU21824</t>
  </si>
  <si>
    <t>ECU21828</t>
  </si>
  <si>
    <t>ECU21830</t>
  </si>
  <si>
    <t>ECU21836</t>
  </si>
  <si>
    <t>ECU24110</t>
  </si>
  <si>
    <t>ECU24111</t>
  </si>
  <si>
    <t>ECU24140</t>
  </si>
  <si>
    <t>ECU24141</t>
  </si>
  <si>
    <t>ECU24200</t>
  </si>
  <si>
    <t>ECU24201</t>
  </si>
  <si>
    <t>ECU24210</t>
  </si>
  <si>
    <t>ECU24220</t>
  </si>
  <si>
    <t>ECU24230</t>
  </si>
  <si>
    <t>ECU24231</t>
  </si>
  <si>
    <t>ECU24605</t>
  </si>
  <si>
    <t>ECU24607</t>
  </si>
  <si>
    <t>ECU24612</t>
  </si>
  <si>
    <t>ECU24615</t>
  </si>
  <si>
    <t>ECU24619</t>
  </si>
  <si>
    <t>ECU24621</t>
  </si>
  <si>
    <t>ECU34142</t>
  </si>
  <si>
    <t>ECU34143</t>
  </si>
  <si>
    <t>ECU34145</t>
  </si>
  <si>
    <t>ECU34146</t>
  </si>
  <si>
    <t>ECU34147</t>
  </si>
  <si>
    <t>ECU34148</t>
  </si>
  <si>
    <t>ECU34149</t>
  </si>
  <si>
    <t>ECU34151</t>
  </si>
  <si>
    <t>ECU34154</t>
  </si>
  <si>
    <t>ECU34156</t>
  </si>
  <si>
    <t>ECU34157</t>
  </si>
  <si>
    <t>ECU34158</t>
  </si>
  <si>
    <t>ECU34159</t>
  </si>
  <si>
    <t>ECU34160</t>
  </si>
  <si>
    <t>ECU34161</t>
  </si>
  <si>
    <t>ECU34162</t>
  </si>
  <si>
    <t>ECU34163</t>
  </si>
  <si>
    <t>ECU34164</t>
  </si>
  <si>
    <t>ECU34165</t>
  </si>
  <si>
    <t>ECU34167</t>
  </si>
  <si>
    <t>ECU34168</t>
  </si>
  <si>
    <t>ECU34170</t>
  </si>
  <si>
    <t>ECU34171</t>
  </si>
  <si>
    <t>ECU34172</t>
  </si>
  <si>
    <t>ECU34173</t>
  </si>
  <si>
    <t>ECU34174</t>
  </si>
  <si>
    <t>ECU34175</t>
  </si>
  <si>
    <t>ECU34176</t>
  </si>
  <si>
    <t>ECU34178</t>
  </si>
  <si>
    <t>ECU34179</t>
  </si>
  <si>
    <t>ECU34180</t>
  </si>
  <si>
    <t>ECU34181</t>
  </si>
  <si>
    <t>ECU34182</t>
  </si>
  <si>
    <t>ECU34183</t>
  </si>
  <si>
    <t>ECU34184</t>
  </si>
  <si>
    <t>ECU34185</t>
  </si>
  <si>
    <t>ECU34186</t>
  </si>
  <si>
    <t>ECU34187</t>
  </si>
  <si>
    <t>ECU34188</t>
  </si>
  <si>
    <t>ECU34189</t>
  </si>
  <si>
    <t>ECU34190</t>
  </si>
  <si>
    <t>ECU34191</t>
  </si>
  <si>
    <t>ECU34192</t>
  </si>
  <si>
    <t>ECU34193</t>
  </si>
  <si>
    <t>ECU34194</t>
  </si>
  <si>
    <t>ECU34195</t>
  </si>
  <si>
    <t>ECU34196</t>
  </si>
  <si>
    <t>ECU34197</t>
  </si>
  <si>
    <t>ECU34198</t>
  </si>
  <si>
    <t>ECU34199</t>
  </si>
  <si>
    <t>ECU34200</t>
  </si>
  <si>
    <t>ECU41205</t>
  </si>
  <si>
    <t>ECU46767</t>
  </si>
  <si>
    <t>ECU48247</t>
  </si>
  <si>
    <t>ECU50601</t>
  </si>
  <si>
    <t>ECU50602</t>
  </si>
  <si>
    <t>ECU50603</t>
  </si>
  <si>
    <t>ECU50604</t>
  </si>
  <si>
    <t>ECU55092</t>
  </si>
  <si>
    <t>ECU62024</t>
  </si>
  <si>
    <t>ECU62030</t>
  </si>
  <si>
    <t>ECU62036</t>
  </si>
  <si>
    <t>ECU62048</t>
  </si>
  <si>
    <t>ECU62118</t>
  </si>
  <si>
    <t>ECU62124</t>
  </si>
  <si>
    <t>ECU62130</t>
  </si>
  <si>
    <t>ECU62136</t>
  </si>
  <si>
    <t>ECU62148</t>
  </si>
  <si>
    <t>ECU62154</t>
  </si>
  <si>
    <t>ECU62160</t>
  </si>
  <si>
    <t>ECU62172</t>
  </si>
  <si>
    <t>ECU62190</t>
  </si>
  <si>
    <t>ECU66510</t>
  </si>
  <si>
    <t>ECU68024</t>
  </si>
  <si>
    <t>ECU68030</t>
  </si>
  <si>
    <t>ECU68036</t>
  </si>
  <si>
    <t>ECU68048</t>
  </si>
  <si>
    <t>ECU68118</t>
  </si>
  <si>
    <t>ECU68124</t>
  </si>
  <si>
    <t>ECU68130</t>
  </si>
  <si>
    <t>ECU68136</t>
  </si>
  <si>
    <t>ECU68148</t>
  </si>
  <si>
    <t>ECU68154</t>
  </si>
  <si>
    <t>ECU68160</t>
  </si>
  <si>
    <t>ECU68172</t>
  </si>
  <si>
    <t>ECU68190</t>
  </si>
  <si>
    <t>ECU69606</t>
  </si>
  <si>
    <t>ECU69979</t>
  </si>
  <si>
    <t>ECU77723</t>
  </si>
  <si>
    <t>ECU77903</t>
  </si>
  <si>
    <t>ECU77907</t>
  </si>
  <si>
    <t>ECU77910</t>
  </si>
  <si>
    <t>ECU88108</t>
  </si>
  <si>
    <t>ECU88488</t>
  </si>
  <si>
    <t>ECU88731</t>
  </si>
  <si>
    <t>ECU89070</t>
  </si>
  <si>
    <t>ECU89265</t>
  </si>
  <si>
    <t>ECU89381</t>
  </si>
  <si>
    <t>ECU89490</t>
  </si>
  <si>
    <t>ECU89706</t>
  </si>
  <si>
    <t>ECU89731</t>
  </si>
  <si>
    <t>ECU89811</t>
  </si>
  <si>
    <t>ECU89821</t>
  </si>
  <si>
    <t>ECU92353</t>
  </si>
  <si>
    <t>ECU92354</t>
  </si>
  <si>
    <t>ECU92355</t>
  </si>
  <si>
    <t>ECU95111</t>
  </si>
  <si>
    <t>NUEVO</t>
  </si>
  <si>
    <t>ECU68218</t>
  </si>
  <si>
    <t>ECU68224</t>
  </si>
  <si>
    <t>ECU68230</t>
  </si>
  <si>
    <t>ECU68236</t>
  </si>
  <si>
    <t>ECU68240</t>
  </si>
  <si>
    <t>ECU68245</t>
  </si>
  <si>
    <t>ECU68248</t>
  </si>
  <si>
    <t>ECU68254</t>
  </si>
  <si>
    <t>ECU68272</t>
  </si>
  <si>
    <t>LIBRE-188</t>
  </si>
  <si>
    <t>LIBRE-207</t>
  </si>
  <si>
    <t>LIBRE-29</t>
  </si>
  <si>
    <t>LIBRE-249</t>
  </si>
  <si>
    <t>LIBRE-71</t>
  </si>
  <si>
    <t>LIBRE-222</t>
  </si>
  <si>
    <t>LIBRE-43</t>
  </si>
  <si>
    <t>SUSP-14</t>
  </si>
  <si>
    <t>LIBRE-14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</si>
</sst>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&quot;$&quot;* #,##0.00_);_(&quot;$&quot;* \(#,##0.00\);_(&quot;$&quot;* &quot;-&quot;??_);_(@_)"/>
    <numFmt numFmtId="165" formatCode="&quot;$&quot;\ #,##0"/>
    <numFmt numFmtId="166" formatCode="dd/mm/yy;@"/>
    <numFmt numFmtId="167" formatCode="0.0"/>
    <numFmt numFmtId="168" formatCode="yyyy\-mm\-dd;@"/>
    <numFmt numFmtId="169" formatCode="dd/mm/yyyy;@"/>
    <numFmt numFmtId="170" formatCode="&quot;$&quot;\ #,##0.00"/>
    <numFmt numFmtId="171" formatCode="m/d/yyyy"/>
    <numFmt numFmtId="172" formatCode="m/d/yyyy\ h:mm"/>
    <numFmt numFmtId="173" formatCode="dd/mmm\ h:mm"/>
    <numFmt numFmtId="174" formatCode="mm\ /\ yyyy"/>
    <numFmt numFmtId="175" formatCode="\A\c\t\ \a\:\ \ dd/mm/yyyy"/>
    <numFmt numFmtId="176" formatCode="dd\-mmm\-yyyy"/>
  </numFmts>
  <fonts count="6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b/>
      <sz val="11"/>
      <color rgb="FFFF0000"/>
      <name val="Arial"/>
      <family val="2"/>
    </font>
    <font>
      <sz val="9"/>
      <color theme="1"/>
      <name val="Arial"/>
      <family val="2"/>
    </font>
    <font>
      <sz val="9"/>
      <color theme="0"/>
      <name val="Arial"/>
      <family val="2"/>
    </font>
    <font>
      <sz val="9"/>
      <color rgb="FFFF0000"/>
      <name val="Arial"/>
      <family val="2"/>
    </font>
    <font>
      <sz val="9"/>
      <color rgb="FFFFFF00"/>
      <name val="Arial"/>
      <family val="2"/>
    </font>
    <font>
      <sz val="9"/>
      <color rgb="FF006600"/>
      <name val="Arial"/>
      <family val="2"/>
    </font>
    <font>
      <b/>
      <sz val="10"/>
      <name val="Verdana"/>
      <family val="2"/>
    </font>
    <font>
      <b/>
      <sz val="11"/>
      <color rgb="FFFF0000"/>
      <name val="Verdana"/>
      <family val="2"/>
    </font>
    <font>
      <sz val="10"/>
      <name val="Verdana"/>
      <family val="2"/>
    </font>
    <font>
      <b/>
      <sz val="10"/>
      <color rgb="FFFF0000"/>
      <name val="Verdana"/>
      <family val="2"/>
    </font>
    <font>
      <sz val="9"/>
      <color rgb="FF7030A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name val="Verdana"/>
      <family val="2"/>
    </font>
    <font>
      <b/>
      <sz val="9"/>
      <color rgb="FFFF0000"/>
      <name val="Verdana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name val="Arial Unicode MS"/>
      <family val="2"/>
    </font>
    <font>
      <sz val="9"/>
      <name val="Verdana"/>
      <family val="2"/>
    </font>
    <font>
      <u/>
      <sz val="10"/>
      <color theme="10"/>
      <name val="Arial"/>
      <family val="2"/>
    </font>
    <font>
      <sz val="10"/>
      <color theme="2"/>
      <name val="Arial"/>
      <family val="2"/>
    </font>
    <font>
      <sz val="11"/>
      <color theme="3"/>
      <name val="Calibri"/>
      <family val="2"/>
      <scheme val="minor"/>
    </font>
    <font>
      <sz val="10"/>
      <name val="Arial Narrow"/>
      <family val="2"/>
    </font>
    <font>
      <sz val="9"/>
      <color rgb="FFFF0000"/>
      <name val="Verdana"/>
      <family val="2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0"/>
      <color theme="1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8"/>
      <name val="Verdana"/>
      <family val="2"/>
    </font>
    <font>
      <sz val="8"/>
      <color rgb="FF000000"/>
      <name val="Arial"/>
      <family val="2"/>
    </font>
    <font>
      <sz val="8"/>
      <color rgb="FFFFFFFF"/>
      <name val="Arial"/>
      <family val="2"/>
    </font>
    <font>
      <sz val="10"/>
      <color theme="0" tint="-0.14999847407452621"/>
      <name val="Arial"/>
      <family val="2"/>
    </font>
    <font>
      <sz val="10"/>
      <color rgb="FFFFFF00"/>
      <name val="Arial"/>
      <family val="2"/>
    </font>
    <font>
      <sz val="8"/>
      <color theme="1"/>
      <name val="Arial"/>
      <family val="2"/>
    </font>
    <font>
      <sz val="9"/>
      <color rgb="FFFF0000"/>
      <name val="Verdan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8"/>
      <color theme="3"/>
      <name val="Cambria"/>
      <family val="2"/>
      <scheme val="major"/>
    </font>
    <font>
      <sz val="9"/>
      <color rgb="FFFF0000"/>
      <name val="Verdana"/>
      <family val="2"/>
    </font>
    <font>
      <sz val="9"/>
      <color rgb="FFFF0000"/>
      <name val="Verdana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8"/>
      <color rgb="FF0000FF"/>
      <name val="Arial"/>
      <family val="2"/>
    </font>
    <font>
      <sz val="16"/>
      <color rgb="FFFF000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8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4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rgb="FFFF0000"/>
        <bgColor theme="0" tint="-0.14999847407452621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5A5A5"/>
        <bgColor theme="0" tint="-0.14999847407452621"/>
      </patternFill>
    </fill>
    <fill>
      <patternFill patternType="solid">
        <fgColor rgb="FFFF3300"/>
        <bgColor indexed="64"/>
      </patternFill>
    </fill>
    <fill>
      <patternFill patternType="solid">
        <fgColor rgb="FFCC006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000000"/>
        <bgColor theme="0" tint="-0.14999847407452621"/>
      </patternFill>
    </fill>
    <fill>
      <patternFill patternType="solid">
        <fgColor rgb="FF7030A0"/>
        <bgColor theme="0" tint="-0.14999847407452621"/>
      </patternFill>
    </fill>
    <fill>
      <patternFill patternType="solid">
        <fgColor rgb="FF006600"/>
        <bgColor theme="0" tint="-0.14999847407452621"/>
      </patternFill>
    </fill>
    <fill>
      <patternFill patternType="solid">
        <fgColor rgb="FF000000"/>
        <bgColor indexed="64"/>
      </patternFill>
    </fill>
    <fill>
      <patternFill patternType="solid">
        <fgColor theme="4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6" fillId="0" borderId="0"/>
    <xf numFmtId="0" fontId="4" fillId="0" borderId="0"/>
    <xf numFmtId="0" fontId="5" fillId="0" borderId="0"/>
    <xf numFmtId="0" fontId="31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3" fillId="0" borderId="0"/>
    <xf numFmtId="0" fontId="5" fillId="0" borderId="0"/>
    <xf numFmtId="0" fontId="5" fillId="0" borderId="0"/>
    <xf numFmtId="0" fontId="2" fillId="0" borderId="0"/>
    <xf numFmtId="164" fontId="3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1" fillId="0" borderId="0"/>
  </cellStyleXfs>
  <cellXfs count="227">
    <xf numFmtId="0" fontId="0" fillId="0" borderId="0" xfId="0"/>
    <xf numFmtId="0" fontId="5" fillId="0" borderId="0" xfId="0" applyFont="1"/>
    <xf numFmtId="0" fontId="0" fillId="0" borderId="0" xfId="0" applyAlignment="1">
      <alignment horizontal="left"/>
    </xf>
    <xf numFmtId="0" fontId="0" fillId="0" borderId="0" xfId="0" applyBorder="1"/>
    <xf numFmtId="0" fontId="5" fillId="4" borderId="2" xfId="0" applyFont="1" applyFill="1" applyBorder="1"/>
    <xf numFmtId="0" fontId="0" fillId="4" borderId="3" xfId="0" applyFill="1" applyBorder="1"/>
    <xf numFmtId="0" fontId="5" fillId="4" borderId="4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1" xfId="0" applyFill="1" applyBorder="1"/>
    <xf numFmtId="0" fontId="0" fillId="7" borderId="0" xfId="0" applyFill="1" applyBorder="1"/>
    <xf numFmtId="0" fontId="0" fillId="7" borderId="0" xfId="0" applyFill="1"/>
    <xf numFmtId="14" fontId="0" fillId="0" borderId="0" xfId="0" applyNumberFormat="1"/>
    <xf numFmtId="0" fontId="0" fillId="0" borderId="0" xfId="0" applyNumberFormat="1"/>
    <xf numFmtId="0" fontId="0" fillId="0" borderId="0" xfId="0" applyFont="1"/>
    <xf numFmtId="49" fontId="0" fillId="0" borderId="0" xfId="0" applyNumberFormat="1"/>
    <xf numFmtId="1" fontId="0" fillId="0" borderId="0" xfId="0" applyNumberFormat="1"/>
    <xf numFmtId="14" fontId="0" fillId="0" borderId="0" xfId="0" applyNumberFormat="1" applyBorder="1"/>
    <xf numFmtId="0" fontId="0" fillId="0" borderId="0" xfId="0" applyNumberFormat="1" applyBorder="1"/>
    <xf numFmtId="0" fontId="11" fillId="0" borderId="0" xfId="0" applyFont="1"/>
    <xf numFmtId="14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0" fontId="12" fillId="0" borderId="0" xfId="0" applyFont="1"/>
    <xf numFmtId="0" fontId="0" fillId="4" borderId="0" xfId="0" applyFill="1"/>
    <xf numFmtId="168" fontId="0" fillId="0" borderId="0" xfId="0" applyNumberFormat="1"/>
    <xf numFmtId="0" fontId="24" fillId="9" borderId="7" xfId="0" applyFont="1" applyFill="1" applyBorder="1"/>
    <xf numFmtId="0" fontId="24" fillId="9" borderId="8" xfId="0" applyFont="1" applyFill="1" applyBorder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14" borderId="0" xfId="0" applyFill="1" applyAlignment="1">
      <alignment horizontal="center" vertical="center" wrapText="1"/>
    </xf>
    <xf numFmtId="0" fontId="23" fillId="12" borderId="0" xfId="0" applyFont="1" applyFill="1" applyAlignment="1">
      <alignment horizontal="center" vertical="center" wrapText="1"/>
    </xf>
    <xf numFmtId="0" fontId="29" fillId="0" borderId="0" xfId="0" applyFont="1"/>
    <xf numFmtId="0" fontId="5" fillId="6" borderId="0" xfId="0" applyFont="1" applyFill="1" applyAlignment="1" applyProtection="1">
      <alignment horizontal="center" vertical="center" wrapText="1"/>
    </xf>
    <xf numFmtId="0" fontId="14" fillId="3" borderId="0" xfId="0" applyFont="1" applyFill="1" applyAlignment="1" applyProtection="1">
      <alignment horizontal="center" vertical="center" wrapText="1"/>
    </xf>
    <xf numFmtId="0" fontId="13" fillId="5" borderId="0" xfId="0" applyFont="1" applyFill="1" applyAlignment="1" applyProtection="1">
      <alignment horizontal="center" vertical="center"/>
    </xf>
    <xf numFmtId="0" fontId="15" fillId="3" borderId="0" xfId="0" applyFont="1" applyFill="1" applyAlignment="1" applyProtection="1">
      <alignment horizontal="center" vertical="center"/>
    </xf>
    <xf numFmtId="0" fontId="16" fillId="4" borderId="0" xfId="0" applyFont="1" applyFill="1" applyAlignment="1" applyProtection="1">
      <alignment horizontal="center" vertical="center"/>
    </xf>
    <xf numFmtId="0" fontId="17" fillId="8" borderId="0" xfId="0" applyFont="1" applyFill="1" applyAlignment="1" applyProtection="1">
      <alignment horizontal="center" vertical="center"/>
    </xf>
    <xf numFmtId="0" fontId="22" fillId="2" borderId="0" xfId="0" applyFont="1" applyFill="1" applyAlignment="1" applyProtection="1">
      <alignment horizontal="center" vertical="center"/>
    </xf>
    <xf numFmtId="0" fontId="31" fillId="0" borderId="0" xfId="4" applyAlignment="1" applyProtection="1"/>
    <xf numFmtId="0" fontId="5" fillId="0" borderId="0" xfId="0" quotePrefix="1" applyFont="1"/>
    <xf numFmtId="0" fontId="23" fillId="15" borderId="0" xfId="0" applyFont="1" applyFill="1" applyAlignment="1" applyProtection="1">
      <alignment horizontal="center" vertical="center" wrapText="1"/>
    </xf>
    <xf numFmtId="0" fontId="32" fillId="15" borderId="0" xfId="0" applyFont="1" applyFill="1" applyAlignment="1" applyProtection="1">
      <alignment horizontal="center" vertical="center" wrapText="1"/>
    </xf>
    <xf numFmtId="14" fontId="5" fillId="0" borderId="0" xfId="0" applyNumberFormat="1" applyFont="1" applyAlignment="1">
      <alignment wrapText="1"/>
    </xf>
    <xf numFmtId="0" fontId="0" fillId="0" borderId="0" xfId="0" applyAlignment="1">
      <alignment wrapText="1"/>
    </xf>
    <xf numFmtId="0" fontId="5" fillId="16" borderId="0" xfId="0" applyFont="1" applyFill="1" applyAlignment="1" applyProtection="1">
      <alignment horizontal="center" vertical="center" wrapText="1"/>
    </xf>
    <xf numFmtId="14" fontId="5" fillId="16" borderId="0" xfId="0" applyNumberFormat="1" applyFont="1" applyFill="1" applyAlignment="1" applyProtection="1">
      <alignment horizontal="center" vertical="center" wrapText="1"/>
    </xf>
    <xf numFmtId="0" fontId="0" fillId="0" borderId="0" xfId="0" quotePrefix="1"/>
    <xf numFmtId="0" fontId="25" fillId="17" borderId="0" xfId="0" applyFont="1" applyFill="1"/>
    <xf numFmtId="0" fontId="26" fillId="17" borderId="0" xfId="0" applyFont="1" applyFill="1" applyAlignment="1">
      <alignment horizontal="left"/>
    </xf>
    <xf numFmtId="0" fontId="19" fillId="17" borderId="0" xfId="0" applyFont="1" applyFill="1" applyAlignment="1">
      <alignment horizontal="center"/>
    </xf>
    <xf numFmtId="0" fontId="20" fillId="17" borderId="0" xfId="0" applyFont="1" applyFill="1"/>
    <xf numFmtId="0" fontId="25" fillId="17" borderId="0" xfId="0" applyFont="1" applyFill="1" applyAlignment="1">
      <alignment horizontal="left"/>
    </xf>
    <xf numFmtId="0" fontId="18" fillId="17" borderId="0" xfId="0" applyFont="1" applyFill="1" applyAlignment="1">
      <alignment horizontal="center"/>
    </xf>
    <xf numFmtId="0" fontId="21" fillId="17" borderId="0" xfId="0" applyFont="1" applyFill="1" applyAlignment="1">
      <alignment horizontal="center"/>
    </xf>
    <xf numFmtId="169" fontId="30" fillId="17" borderId="0" xfId="0" applyNumberFormat="1" applyFont="1" applyFill="1" applyAlignment="1">
      <alignment horizontal="left"/>
    </xf>
    <xf numFmtId="0" fontId="0" fillId="17" borderId="0" xfId="0" applyFill="1"/>
    <xf numFmtId="0" fontId="5" fillId="0" borderId="0" xfId="0" applyFont="1" applyBorder="1"/>
    <xf numFmtId="0" fontId="33" fillId="13" borderId="0" xfId="0" applyFont="1" applyFill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/>
    <xf numFmtId="0" fontId="0" fillId="0" borderId="0" xfId="0"/>
    <xf numFmtId="0" fontId="23" fillId="15" borderId="0" xfId="0" applyFont="1" applyFill="1"/>
    <xf numFmtId="0" fontId="23" fillId="18" borderId="0" xfId="0" applyFont="1" applyFill="1" applyAlignment="1" applyProtection="1">
      <alignment horizontal="center" vertical="center" wrapText="1"/>
    </xf>
    <xf numFmtId="0" fontId="23" fillId="19" borderId="0" xfId="0" applyFont="1" applyFill="1" applyAlignment="1" applyProtection="1">
      <alignment horizontal="center" vertical="center" wrapText="1"/>
    </xf>
    <xf numFmtId="0" fontId="5" fillId="7" borderId="0" xfId="0" applyFont="1" applyFill="1" applyBorder="1" applyAlignment="1" applyProtection="1">
      <alignment horizontal="center" vertical="center" wrapText="1"/>
    </xf>
    <xf numFmtId="0" fontId="5" fillId="7" borderId="0" xfId="0" applyFont="1" applyFill="1" applyAlignment="1" applyProtection="1">
      <alignment horizontal="center" vertical="center" wrapText="1"/>
    </xf>
    <xf numFmtId="0" fontId="23" fillId="20" borderId="0" xfId="0" applyFont="1" applyFill="1" applyAlignment="1" applyProtection="1">
      <alignment horizontal="center" vertical="center" wrapText="1"/>
    </xf>
    <xf numFmtId="14" fontId="0" fillId="0" borderId="0" xfId="0" applyNumberFormat="1"/>
    <xf numFmtId="14" fontId="0" fillId="0" borderId="0" xfId="0" applyNumberFormat="1"/>
    <xf numFmtId="0" fontId="23" fillId="21" borderId="0" xfId="0" applyFont="1" applyFill="1"/>
    <xf numFmtId="0" fontId="0" fillId="0" borderId="0" xfId="0" applyProtection="1"/>
    <xf numFmtId="14" fontId="0" fillId="0" borderId="0" xfId="0" applyNumberFormat="1"/>
    <xf numFmtId="14" fontId="5" fillId="0" borderId="0" xfId="0" applyNumberFormat="1" applyFont="1"/>
    <xf numFmtId="0" fontId="35" fillId="0" borderId="0" xfId="0" applyFont="1" applyFill="1"/>
    <xf numFmtId="0" fontId="20" fillId="0" borderId="0" xfId="0" applyFont="1" applyFill="1"/>
    <xf numFmtId="165" fontId="30" fillId="17" borderId="0" xfId="0" applyNumberFormat="1" applyFont="1" applyFill="1"/>
    <xf numFmtId="14" fontId="34" fillId="0" borderId="0" xfId="8" applyNumberFormat="1" applyFont="1" applyAlignment="1" applyProtection="1">
      <alignment horizontal="left" vertical="center" textRotation="180"/>
    </xf>
    <xf numFmtId="0" fontId="23" fillId="23" borderId="0" xfId="0" applyFont="1" applyFill="1" applyAlignment="1" applyProtection="1">
      <alignment horizontal="center" vertical="center" wrapText="1"/>
    </xf>
    <xf numFmtId="0" fontId="0" fillId="0" borderId="9" xfId="0" applyNumberFormat="1" applyBorder="1"/>
    <xf numFmtId="0" fontId="5" fillId="0" borderId="0" xfId="0" applyNumberFormat="1" applyFont="1"/>
    <xf numFmtId="14" fontId="0" fillId="0" borderId="0" xfId="0" applyNumberFormat="1"/>
    <xf numFmtId="0" fontId="36" fillId="0" borderId="0" xfId="0" applyFont="1" applyBorder="1"/>
    <xf numFmtId="14" fontId="0" fillId="0" borderId="0" xfId="0" applyNumberFormat="1"/>
    <xf numFmtId="0" fontId="37" fillId="0" borderId="0" xfId="0" applyFont="1"/>
    <xf numFmtId="0" fontId="0" fillId="0" borderId="0" xfId="0" applyAlignment="1">
      <alignment horizontal="center"/>
    </xf>
    <xf numFmtId="0" fontId="0" fillId="0" borderId="4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2" xfId="0" applyBorder="1"/>
    <xf numFmtId="0" fontId="0" fillId="0" borderId="17" xfId="0" applyBorder="1"/>
    <xf numFmtId="0" fontId="0" fillId="0" borderId="18" xfId="0" applyBorder="1"/>
    <xf numFmtId="0" fontId="5" fillId="0" borderId="3" xfId="0" applyFont="1" applyBorder="1"/>
    <xf numFmtId="171" fontId="0" fillId="0" borderId="0" xfId="0" applyNumberFormat="1"/>
    <xf numFmtId="0" fontId="0" fillId="0" borderId="1" xfId="0" applyBorder="1"/>
    <xf numFmtId="0" fontId="0" fillId="7" borderId="1" xfId="0" applyFill="1" applyBorder="1"/>
    <xf numFmtId="0" fontId="5" fillId="7" borderId="1" xfId="0" applyFont="1" applyFill="1" applyBorder="1"/>
    <xf numFmtId="0" fontId="0" fillId="24" borderId="1" xfId="0" applyFill="1" applyBorder="1"/>
    <xf numFmtId="0" fontId="5" fillId="24" borderId="1" xfId="0" applyFont="1" applyFill="1" applyBorder="1"/>
    <xf numFmtId="0" fontId="23" fillId="23" borderId="1" xfId="0" applyFont="1" applyFill="1" applyBorder="1"/>
    <xf numFmtId="0" fontId="23" fillId="3" borderId="1" xfId="0" applyFont="1" applyFill="1" applyBorder="1"/>
    <xf numFmtId="0" fontId="23" fillId="25" borderId="1" xfId="0" applyFont="1" applyFill="1" applyBorder="1"/>
    <xf numFmtId="0" fontId="0" fillId="0" borderId="1" xfId="0" applyBorder="1" applyAlignment="1">
      <alignment horizontal="center"/>
    </xf>
    <xf numFmtId="0" fontId="42" fillId="0" borderId="1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3" fillId="26" borderId="1" xfId="0" applyFont="1" applyFill="1" applyBorder="1"/>
    <xf numFmtId="0" fontId="0" fillId="0" borderId="0" xfId="0" applyAlignment="1">
      <alignment horizontal="centerContinuous"/>
    </xf>
    <xf numFmtId="0" fontId="5" fillId="0" borderId="0" xfId="0" applyFont="1" applyAlignment="1">
      <alignment horizontal="centerContinuous"/>
    </xf>
    <xf numFmtId="170" fontId="40" fillId="0" borderId="1" xfId="10" applyNumberFormat="1" applyFont="1" applyFill="1" applyBorder="1" applyAlignment="1">
      <alignment horizontal="center"/>
    </xf>
    <xf numFmtId="0" fontId="23" fillId="27" borderId="1" xfId="0" applyFont="1" applyFill="1" applyBorder="1"/>
    <xf numFmtId="0" fontId="23" fillId="28" borderId="1" xfId="0" applyFont="1" applyFill="1" applyBorder="1"/>
    <xf numFmtId="0" fontId="23" fillId="25" borderId="1" xfId="0" applyFont="1" applyFill="1" applyBorder="1" applyAlignment="1">
      <alignment horizontal="right"/>
    </xf>
    <xf numFmtId="0" fontId="41" fillId="22" borderId="12" xfId="0" applyNumberFormat="1" applyFont="1" applyFill="1" applyBorder="1" applyAlignment="1">
      <alignment horizontal="center"/>
    </xf>
    <xf numFmtId="0" fontId="38" fillId="0" borderId="1" xfId="0" applyFont="1" applyBorder="1" applyAlignment="1">
      <alignment horizontal="center"/>
    </xf>
    <xf numFmtId="0" fontId="23" fillId="27" borderId="13" xfId="0" applyFont="1" applyFill="1" applyBorder="1"/>
    <xf numFmtId="165" fontId="0" fillId="0" borderId="1" xfId="0" applyNumberFormat="1" applyBorder="1" applyAlignment="1">
      <alignment horizontal="center"/>
    </xf>
    <xf numFmtId="0" fontId="43" fillId="0" borderId="1" xfId="0" applyFont="1" applyBorder="1" applyAlignment="1">
      <alignment horizontal="center"/>
    </xf>
    <xf numFmtId="0" fontId="0" fillId="0" borderId="5" xfId="0" applyBorder="1"/>
    <xf numFmtId="0" fontId="0" fillId="0" borderId="19" xfId="0" applyBorder="1"/>
    <xf numFmtId="0" fontId="0" fillId="0" borderId="6" xfId="0" applyBorder="1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5" fillId="0" borderId="0" xfId="0" applyFont="1" applyProtection="1"/>
    <xf numFmtId="172" fontId="0" fillId="0" borderId="0" xfId="0" applyNumberFormat="1"/>
    <xf numFmtId="173" fontId="44" fillId="17" borderId="0" xfId="0" applyNumberFormat="1" applyFont="1" applyFill="1"/>
    <xf numFmtId="0" fontId="0" fillId="0" borderId="0" xfId="0" pivotButton="1"/>
    <xf numFmtId="174" fontId="0" fillId="0" borderId="0" xfId="0" applyNumberFormat="1" applyAlignment="1">
      <alignment horizontal="center"/>
    </xf>
    <xf numFmtId="0" fontId="5" fillId="7" borderId="13" xfId="0" applyFont="1" applyFill="1" applyBorder="1"/>
    <xf numFmtId="0" fontId="46" fillId="30" borderId="12" xfId="0" applyNumberFormat="1" applyFont="1" applyFill="1" applyBorder="1" applyAlignment="1">
      <alignment horizontal="center"/>
    </xf>
    <xf numFmtId="175" fontId="23" fillId="31" borderId="0" xfId="0" applyNumberFormat="1" applyFont="1" applyFill="1" applyAlignment="1">
      <alignment horizontal="left"/>
    </xf>
    <xf numFmtId="0" fontId="5" fillId="3" borderId="0" xfId="0" applyFont="1" applyFill="1" applyAlignment="1" applyProtection="1">
      <alignment horizontal="center" vertical="center" wrapText="1"/>
    </xf>
    <xf numFmtId="0" fontId="0" fillId="32" borderId="0" xfId="0" applyFill="1" applyAlignment="1">
      <alignment horizontal="right"/>
    </xf>
    <xf numFmtId="0" fontId="47" fillId="5" borderId="0" xfId="0" applyFont="1" applyFill="1" applyAlignment="1" applyProtection="1">
      <alignment horizontal="center" vertical="center" wrapText="1"/>
    </xf>
    <xf numFmtId="0" fontId="5" fillId="0" borderId="0" xfId="0" applyFont="1" applyFill="1" applyAlignment="1" applyProtection="1">
      <alignment horizontal="center" vertical="center" wrapText="1"/>
    </xf>
    <xf numFmtId="0" fontId="45" fillId="34" borderId="12" xfId="0" applyNumberFormat="1" applyFont="1" applyFill="1" applyBorder="1" applyAlignment="1">
      <alignment horizontal="center"/>
    </xf>
    <xf numFmtId="14" fontId="23" fillId="12" borderId="0" xfId="0" applyNumberFormat="1" applyFont="1" applyFill="1"/>
    <xf numFmtId="0" fontId="23" fillId="12" borderId="0" xfId="0" applyFont="1" applyFill="1"/>
    <xf numFmtId="0" fontId="23" fillId="36" borderId="0" xfId="0" applyFont="1" applyFill="1"/>
    <xf numFmtId="0" fontId="48" fillId="35" borderId="0" xfId="0" applyFont="1" applyFill="1" applyAlignment="1">
      <alignment vertical="center" wrapText="1"/>
    </xf>
    <xf numFmtId="0" fontId="49" fillId="22" borderId="12" xfId="0" applyNumberFormat="1" applyFont="1" applyFill="1" applyBorder="1" applyAlignment="1">
      <alignment horizontal="center"/>
    </xf>
    <xf numFmtId="0" fontId="45" fillId="37" borderId="12" xfId="0" applyNumberFormat="1" applyFont="1" applyFill="1" applyBorder="1" applyAlignment="1">
      <alignment horizontal="center"/>
    </xf>
    <xf numFmtId="0" fontId="50" fillId="0" borderId="0" xfId="0" applyFont="1" applyFill="1"/>
    <xf numFmtId="0" fontId="23" fillId="0" borderId="0" xfId="0" applyFont="1"/>
    <xf numFmtId="0" fontId="23" fillId="0" borderId="0" xfId="0" pivotButton="1" applyFont="1"/>
    <xf numFmtId="0" fontId="23" fillId="0" borderId="0" xfId="0" applyFont="1" applyAlignment="1">
      <alignment horizontal="left"/>
    </xf>
    <xf numFmtId="0" fontId="23" fillId="0" borderId="0" xfId="0" applyNumberFormat="1" applyFont="1"/>
    <xf numFmtId="0" fontId="23" fillId="0" borderId="0" xfId="0" applyFont="1" applyAlignment="1">
      <alignment horizontal="left" indent="1"/>
    </xf>
    <xf numFmtId="14" fontId="23" fillId="0" borderId="0" xfId="0" applyNumberFormat="1" applyFont="1" applyAlignment="1">
      <alignment horizontal="left" indent="2"/>
    </xf>
    <xf numFmtId="0" fontId="46" fillId="38" borderId="12" xfId="0" applyNumberFormat="1" applyFont="1" applyFill="1" applyBorder="1" applyAlignment="1">
      <alignment horizontal="center"/>
    </xf>
    <xf numFmtId="0" fontId="46" fillId="39" borderId="12" xfId="0" applyNumberFormat="1" applyFont="1" applyFill="1" applyBorder="1" applyAlignment="1">
      <alignment horizontal="center"/>
    </xf>
    <xf numFmtId="0" fontId="46" fillId="40" borderId="12" xfId="0" applyNumberFormat="1" applyFont="1" applyFill="1" applyBorder="1" applyAlignment="1">
      <alignment horizontal="center"/>
    </xf>
    <xf numFmtId="0" fontId="45" fillId="29" borderId="12" xfId="0" applyNumberFormat="1" applyFont="1" applyFill="1" applyBorder="1" applyAlignment="1">
      <alignment horizontal="center"/>
    </xf>
    <xf numFmtId="0" fontId="46" fillId="8" borderId="12" xfId="0" applyNumberFormat="1" applyFont="1" applyFill="1" applyBorder="1" applyAlignment="1">
      <alignment horizontal="center"/>
    </xf>
    <xf numFmtId="0" fontId="46" fillId="3" borderId="12" xfId="0" applyNumberFormat="1" applyFont="1" applyFill="1" applyBorder="1" applyAlignment="1">
      <alignment horizontal="center"/>
    </xf>
    <xf numFmtId="0" fontId="46" fillId="41" borderId="12" xfId="0" applyNumberFormat="1" applyFont="1" applyFill="1" applyBorder="1" applyAlignment="1">
      <alignment horizontal="center"/>
    </xf>
    <xf numFmtId="0" fontId="46" fillId="2" borderId="12" xfId="0" applyNumberFormat="1" applyFont="1" applyFill="1" applyBorder="1" applyAlignment="1">
      <alignment horizontal="center"/>
    </xf>
    <xf numFmtId="0" fontId="45" fillId="4" borderId="12" xfId="0" applyNumberFormat="1" applyFont="1" applyFill="1" applyBorder="1" applyAlignment="1">
      <alignment horizontal="center"/>
    </xf>
    <xf numFmtId="0" fontId="53" fillId="0" borderId="0" xfId="11"/>
    <xf numFmtId="0" fontId="5" fillId="0" borderId="0" xfId="0" applyFont="1" applyAlignment="1">
      <alignment horizontal="center" vertical="center" wrapText="1"/>
    </xf>
    <xf numFmtId="0" fontId="54" fillId="0" borderId="0" xfId="0" applyFont="1" applyFill="1"/>
    <xf numFmtId="0" fontId="0" fillId="0" borderId="0" xfId="0" applyFont="1" applyAlignment="1">
      <alignment horizontal="center" vertical="center" wrapText="1"/>
    </xf>
    <xf numFmtId="171" fontId="41" fillId="0" borderId="10" xfId="0" applyNumberFormat="1" applyFont="1" applyBorder="1" applyAlignment="1">
      <alignment horizontal="center" vertical="top" textRotation="180"/>
    </xf>
    <xf numFmtId="171" fontId="41" fillId="0" borderId="9" xfId="0" applyNumberFormat="1" applyFont="1" applyBorder="1" applyAlignment="1">
      <alignment horizontal="center" vertical="top" textRotation="180"/>
    </xf>
    <xf numFmtId="171" fontId="41" fillId="0" borderId="11" xfId="0" applyNumberFormat="1" applyFont="1" applyBorder="1" applyAlignment="1">
      <alignment horizontal="center" vertical="top" textRotation="180"/>
    </xf>
    <xf numFmtId="176" fontId="0" fillId="0" borderId="0" xfId="0" applyNumberFormat="1" applyAlignment="1">
      <alignment horizontal="center"/>
    </xf>
    <xf numFmtId="0" fontId="55" fillId="0" borderId="0" xfId="0" applyFont="1" applyFill="1"/>
    <xf numFmtId="0" fontId="5" fillId="0" borderId="0" xfId="0" applyFont="1" applyAlignment="1">
      <alignment horizontal="center"/>
    </xf>
    <xf numFmtId="49" fontId="56" fillId="0" borderId="0" xfId="0" applyNumberFormat="1" applyFont="1" applyFill="1" applyAlignment="1" applyProtection="1">
      <alignment horizontal="left" vertical="center"/>
      <protection locked="0"/>
    </xf>
    <xf numFmtId="49" fontId="56" fillId="0" borderId="0" xfId="0" applyNumberFormat="1" applyFont="1" applyFill="1" applyAlignment="1" applyProtection="1">
      <alignment horizontal="center" vertical="center"/>
      <protection locked="0"/>
    </xf>
    <xf numFmtId="49" fontId="56" fillId="0" borderId="0" xfId="0" applyNumberFormat="1" applyFont="1" applyFill="1" applyAlignment="1" applyProtection="1">
      <alignment horizontal="center" vertical="center"/>
    </xf>
    <xf numFmtId="0" fontId="56" fillId="0" borderId="0" xfId="0" applyNumberFormat="1" applyFont="1" applyFill="1" applyAlignment="1" applyProtection="1">
      <alignment horizontal="center" vertical="center"/>
      <protection hidden="1"/>
    </xf>
    <xf numFmtId="0" fontId="56" fillId="0" borderId="0" xfId="0" applyNumberFormat="1" applyFont="1" applyFill="1" applyProtection="1">
      <protection hidden="1"/>
    </xf>
    <xf numFmtId="170" fontId="56" fillId="0" borderId="0" xfId="0" applyNumberFormat="1" applyFont="1" applyFill="1" applyProtection="1">
      <protection hidden="1"/>
    </xf>
    <xf numFmtId="171" fontId="56" fillId="0" borderId="0" xfId="0" applyNumberFormat="1" applyFont="1" applyFill="1" applyProtection="1">
      <protection hidden="1"/>
    </xf>
    <xf numFmtId="49" fontId="57" fillId="6" borderId="0" xfId="0" applyNumberFormat="1" applyFont="1" applyFill="1" applyProtection="1">
      <protection locked="0"/>
    </xf>
    <xf numFmtId="0" fontId="56" fillId="0" borderId="0" xfId="0" applyNumberFormat="1" applyFont="1" applyFill="1" applyAlignment="1" applyProtection="1">
      <alignment horizontal="center"/>
    </xf>
    <xf numFmtId="0" fontId="5" fillId="0" borderId="0" xfId="0" applyNumberFormat="1" applyFont="1" applyFill="1" applyAlignment="1" applyProtection="1">
      <alignment horizontal="center"/>
    </xf>
    <xf numFmtId="0" fontId="5" fillId="0" borderId="0" xfId="0" applyNumberFormat="1" applyFont="1" applyProtection="1"/>
    <xf numFmtId="167" fontId="56" fillId="0" borderId="0" xfId="0" applyNumberFormat="1" applyFont="1" applyFill="1" applyAlignment="1" applyProtection="1">
      <alignment horizontal="center"/>
    </xf>
    <xf numFmtId="49" fontId="56" fillId="0" borderId="0" xfId="0" applyNumberFormat="1" applyFont="1" applyFill="1" applyAlignment="1" applyProtection="1">
      <alignment horizontal="left"/>
      <protection locked="0"/>
    </xf>
    <xf numFmtId="0" fontId="56" fillId="0" borderId="0" xfId="0" applyNumberFormat="1" applyFont="1" applyFill="1" applyAlignment="1" applyProtection="1">
      <alignment horizontal="center"/>
      <protection locked="0"/>
    </xf>
    <xf numFmtId="168" fontId="56" fillId="0" borderId="0" xfId="0" applyNumberFormat="1" applyFont="1" applyFill="1" applyAlignment="1" applyProtection="1">
      <alignment horizontal="center"/>
    </xf>
    <xf numFmtId="0" fontId="58" fillId="6" borderId="0" xfId="0" applyNumberFormat="1" applyFont="1" applyFill="1" applyBorder="1" applyAlignment="1" applyProtection="1">
      <alignment horizontal="center"/>
      <protection locked="0"/>
    </xf>
    <xf numFmtId="0" fontId="58" fillId="6" borderId="0" xfId="0" applyNumberFormat="1" applyFont="1" applyFill="1" applyAlignment="1" applyProtection="1">
      <alignment horizontal="center"/>
      <protection locked="0"/>
    </xf>
    <xf numFmtId="0" fontId="41" fillId="6" borderId="0" xfId="0" applyNumberFormat="1" applyFont="1" applyFill="1" applyAlignment="1" applyProtection="1">
      <alignment horizontal="center"/>
      <protection locked="0"/>
    </xf>
    <xf numFmtId="9" fontId="58" fillId="6" borderId="0" xfId="0" applyNumberFormat="1" applyFont="1" applyFill="1" applyAlignment="1" applyProtection="1">
      <alignment horizontal="center"/>
      <protection locked="0"/>
    </xf>
    <xf numFmtId="1" fontId="58" fillId="6" borderId="0" xfId="0" applyNumberFormat="1" applyFont="1" applyFill="1" applyAlignment="1" applyProtection="1">
      <alignment horizontal="center" vertical="center"/>
      <protection locked="0"/>
    </xf>
    <xf numFmtId="0" fontId="59" fillId="0" borderId="0" xfId="0" applyNumberFormat="1" applyFont="1" applyFill="1" applyBorder="1" applyAlignment="1" applyProtection="1">
      <alignment horizontal="center"/>
    </xf>
    <xf numFmtId="0" fontId="56" fillId="0" borderId="0" xfId="0" applyNumberFormat="1" applyFont="1" applyFill="1" applyBorder="1" applyAlignment="1" applyProtection="1">
      <alignment horizontal="center"/>
      <protection locked="0"/>
    </xf>
    <xf numFmtId="0" fontId="56" fillId="6" borderId="0" xfId="0" applyNumberFormat="1" applyFont="1" applyFill="1" applyAlignment="1" applyProtection="1">
      <alignment horizontal="center"/>
      <protection locked="0"/>
    </xf>
    <xf numFmtId="0" fontId="56" fillId="6" borderId="0" xfId="0" applyNumberFormat="1" applyFont="1" applyFill="1" applyBorder="1" applyAlignment="1" applyProtection="1">
      <alignment horizontal="center"/>
      <protection locked="0"/>
    </xf>
    <xf numFmtId="0" fontId="56" fillId="0" borderId="0" xfId="0" applyNumberFormat="1" applyFont="1" applyAlignment="1" applyProtection="1">
      <alignment horizontal="center"/>
    </xf>
    <xf numFmtId="9" fontId="56" fillId="0" borderId="0" xfId="0" applyNumberFormat="1" applyFont="1" applyAlignment="1" applyProtection="1">
      <alignment horizontal="center"/>
    </xf>
    <xf numFmtId="0" fontId="56" fillId="33" borderId="0" xfId="0" applyNumberFormat="1" applyFont="1" applyFill="1" applyAlignment="1" applyProtection="1">
      <alignment horizontal="center"/>
    </xf>
    <xf numFmtId="0" fontId="59" fillId="0" borderId="0" xfId="0" applyNumberFormat="1" applyFont="1" applyAlignment="1" applyProtection="1">
      <alignment horizontal="center"/>
    </xf>
    <xf numFmtId="1" fontId="56" fillId="0" borderId="0" xfId="0" applyNumberFormat="1" applyFont="1" applyAlignment="1" applyProtection="1">
      <alignment horizontal="center"/>
    </xf>
    <xf numFmtId="49" fontId="56" fillId="6" borderId="0" xfId="0" applyNumberFormat="1" applyFont="1" applyFill="1" applyAlignment="1" applyProtection="1">
      <alignment horizontal="center"/>
      <protection locked="0"/>
    </xf>
    <xf numFmtId="49" fontId="56" fillId="0" borderId="0" xfId="0" applyNumberFormat="1" applyFont="1" applyAlignment="1" applyProtection="1">
      <alignment horizontal="center"/>
      <protection locked="0"/>
    </xf>
    <xf numFmtId="0" fontId="56" fillId="0" borderId="0" xfId="0" applyNumberFormat="1" applyFont="1" applyAlignment="1" applyProtection="1">
      <alignment horizontal="left"/>
    </xf>
    <xf numFmtId="167" fontId="56" fillId="0" borderId="0" xfId="0" applyNumberFormat="1" applyFont="1" applyAlignment="1" applyProtection="1">
      <alignment horizontal="center"/>
    </xf>
    <xf numFmtId="166" fontId="56" fillId="0" borderId="0" xfId="0" applyNumberFormat="1" applyFont="1" applyAlignment="1" applyProtection="1">
      <alignment horizontal="center" vertical="center"/>
    </xf>
    <xf numFmtId="166" fontId="56" fillId="0" borderId="0" xfId="0" applyNumberFormat="1" applyFont="1" applyAlignment="1" applyProtection="1">
      <alignment horizontal="center" vertical="center"/>
      <protection locked="0"/>
    </xf>
    <xf numFmtId="166" fontId="56" fillId="0" borderId="0" xfId="0" applyNumberFormat="1" applyFont="1" applyAlignment="1" applyProtection="1">
      <alignment horizontal="center"/>
    </xf>
    <xf numFmtId="9" fontId="56" fillId="0" borderId="9" xfId="0" applyNumberFormat="1" applyFont="1" applyBorder="1" applyAlignment="1" applyProtection="1">
      <alignment horizontal="center"/>
    </xf>
    <xf numFmtId="0" fontId="49" fillId="0" borderId="12" xfId="0" applyNumberFormat="1" applyFont="1" applyBorder="1" applyAlignment="1">
      <alignment horizontal="center"/>
    </xf>
    <xf numFmtId="0" fontId="1" fillId="0" borderId="0" xfId="12"/>
    <xf numFmtId="14" fontId="1" fillId="0" borderId="0" xfId="12" applyNumberFormat="1"/>
    <xf numFmtId="0" fontId="1" fillId="0" borderId="0" xfId="12" applyNumberFormat="1"/>
    <xf numFmtId="0" fontId="1" fillId="0" borderId="0" xfId="12" applyAlignment="1">
      <alignment horizontal="center"/>
    </xf>
    <xf numFmtId="0" fontId="60" fillId="0" borderId="0" xfId="12" applyFont="1"/>
    <xf numFmtId="0" fontId="0" fillId="42" borderId="0" xfId="0" applyFill="1"/>
    <xf numFmtId="0" fontId="52" fillId="0" borderId="12" xfId="0" applyNumberFormat="1" applyFont="1" applyBorder="1" applyAlignment="1"/>
    <xf numFmtId="0" fontId="52" fillId="22" borderId="12" xfId="0" applyNumberFormat="1" applyFont="1" applyFill="1" applyBorder="1" applyAlignment="1"/>
    <xf numFmtId="0" fontId="52" fillId="0" borderId="12" xfId="0" applyNumberFormat="1" applyFont="1" applyBorder="1"/>
    <xf numFmtId="0" fontId="52" fillId="22" borderId="12" xfId="0" applyNumberFormat="1" applyFont="1" applyFill="1" applyBorder="1"/>
  </cellXfs>
  <cellStyles count="13">
    <cellStyle name="Cancel" xfId="1"/>
    <cellStyle name="Cancel 2" xfId="5"/>
    <cellStyle name="Cancel_Bodega" xfId="7"/>
    <cellStyle name="Hipervínculo" xfId="4" builtinId="8"/>
    <cellStyle name="Moneda" xfId="10" builtinId="4"/>
    <cellStyle name="Normal" xfId="0" builtinId="0"/>
    <cellStyle name="Normal 2" xfId="2"/>
    <cellStyle name="Normal 2 2" xfId="6"/>
    <cellStyle name="Normal 2_Bodega" xfId="9"/>
    <cellStyle name="Normal 3" xfId="3"/>
    <cellStyle name="Normal 4" xfId="12"/>
    <cellStyle name="Normal_Bodega" xfId="8"/>
    <cellStyle name="Título" xfId="11" builtinId="15"/>
  </cellStyles>
  <dxfs count="537"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numFmt numFmtId="0" formatCode="General"/>
    </dxf>
    <dxf>
      <numFmt numFmtId="171" formatCode="m/d/yyyy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171" formatCode="m/d/yyyy"/>
    </dxf>
    <dxf>
      <numFmt numFmtId="0" formatCode="General"/>
    </dxf>
    <dxf>
      <numFmt numFmtId="171" formatCode="m/d/yyyy"/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color theme="0"/>
      </font>
    </dxf>
    <dxf>
      <alignment horizontal="center" readingOrder="0"/>
    </dxf>
    <dxf>
      <alignment horizontal="center" readingOrder="0"/>
    </dxf>
    <dxf>
      <numFmt numFmtId="174" formatCode="mm\ /\ yyyy"/>
    </dxf>
    <dxf>
      <alignment horizontal="center" readingOrder="0"/>
    </dxf>
    <dxf>
      <alignment horizontal="center" readingOrder="0"/>
    </dxf>
    <dxf>
      <numFmt numFmtId="177" formatCode="mm/yyyy"/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006600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color theme="0"/>
      </font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rgb="FF9C0006"/>
      </font>
      <fill>
        <patternFill>
          <bgColor rgb="FFFFC7CE"/>
        </patternFill>
      </fill>
    </dxf>
    <dxf>
      <numFmt numFmtId="171" formatCode="m/d/yyyy"/>
      <alignment horizontal="center" vertical="bottom" textRotation="0" wrapText="0" relativeIndent="0" justifyLastLine="0" shrinkToFit="0" readingOrder="0"/>
    </dxf>
    <dxf>
      <numFmt numFmtId="171" formatCode="m/d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1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1" formatCode="m/d/yyyy"/>
      <alignment horizontal="center" vertical="top" textRotation="180" wrapText="0" relative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medium">
          <color theme="1"/>
        </bottom>
        <vertical/>
        <horizontal/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top" textRotation="180" wrapText="0" relative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numFmt numFmtId="172" formatCode="m/d/yyyy\ h:mm"/>
    </dxf>
    <dxf>
      <numFmt numFmtId="172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ill>
        <patternFill>
          <bgColor theme="1"/>
        </patternFill>
      </fill>
    </dxf>
    <dxf>
      <numFmt numFmtId="171" formatCode="m/d/yyyy"/>
    </dxf>
    <dxf>
      <numFmt numFmtId="171" formatCode="m/d/yyyy"/>
    </dxf>
    <dxf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Verdana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Verdana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Verdana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168" formatCode="yyyy\-mm\-dd;@"/>
    </dxf>
    <dxf>
      <numFmt numFmtId="168" formatCode="yyyy\-mm\-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 tint="-4.9989318521683403E-2"/>
      </font>
      <fill>
        <patternFill>
          <bgColor rgb="FFFF0000"/>
        </patternFill>
      </fill>
    </dxf>
    <dxf>
      <font>
        <color rgb="FFFFFF00"/>
      </font>
      <fill>
        <patternFill>
          <fgColor rgb="FFFF0000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6" formatCode="dd\-mmm\-yyyy"/>
      <alignment horizontal="center" vertical="bottom" textRotation="0" wrapText="0" indent="0" justifyLastLine="0" shrinkToFit="0" readingOrder="0"/>
    </dxf>
    <dxf>
      <numFmt numFmtId="176" formatCode="dd\-mmm\-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6" formatCode="dd\-mmm\-yyyy"/>
      <alignment horizontal="center" vertical="bottom" textRotation="0" wrapText="0" indent="0" justifyLastLine="0" shrinkToFit="0" readingOrder="0"/>
    </dxf>
    <dxf>
      <numFmt numFmtId="176" formatCode="dd\-mmm\-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u val="none"/>
      </font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fill>
        <patternFill patternType="solid">
          <fgColor indexed="64"/>
          <bgColor rgb="FFA5A5A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fill>
        <patternFill patternType="solid">
          <fgColor indexed="64"/>
          <bgColor rgb="FFA5A5A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fill>
        <patternFill patternType="solid">
          <fgColor indexed="64"/>
          <bgColor rgb="FFA5A5A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fill>
        <patternFill patternType="solid">
          <fgColor indexed="64"/>
          <bgColor rgb="FFA5A5A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fill>
        <patternFill patternType="solid">
          <fgColor indexed="64"/>
          <bgColor rgb="FFA5A5A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fill>
        <patternFill patternType="solid">
          <fgColor indexed="64"/>
          <bgColor rgb="FFA5A5A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fill>
        <patternFill patternType="solid">
          <fgColor indexed="64"/>
          <bgColor rgb="FFA5A5A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fill>
        <patternFill patternType="solid">
          <fgColor indexed="64"/>
          <bgColor rgb="FFA5A5A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  <protection locked="0" hidden="0"/>
    </dxf>
    <dxf>
      <numFmt numFmtId="0" formatCode="General"/>
      <border diagonalUp="0" diagonalDown="0" outline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>
        <left/>
        <right style="thin">
          <color theme="1"/>
        </right>
        <top/>
        <bottom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 diagonalUp="0" diagonalDown="0">
        <left/>
        <right style="thin">
          <color theme="1"/>
        </right>
        <top/>
        <bottom/>
        <vertical/>
        <horizontal/>
      </border>
    </dxf>
    <dxf>
      <numFmt numFmtId="0" formatCode="General"/>
      <border>
        <right style="thin">
          <color theme="1"/>
        </right>
      </border>
    </dxf>
    <dxf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66" formatCode="dd/mm/yy;@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3" formatCode="0%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" formatCode="0"/>
      <fill>
        <patternFill patternType="solid">
          <fgColor indexed="64"/>
          <bgColor theme="3" tint="0.59999389629810485"/>
        </patternFill>
      </fill>
      <alignment horizontal="center" vertical="center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3" formatCode="0%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\-mm\-dd;@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\-mm\-dd;@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8" formatCode="yyyy\-mm\-dd;@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  <protection locked="1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  <protection locked="0" hidden="0"/>
    </dxf>
    <dxf>
      <font>
        <b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1" formatCode="m/d/yyyy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1" formatCode="m/d/yyyy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&quot;$&quot;\ #,##0.00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&quot;$&quot;\ #,##0.00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&quot;$&quot;\ #,##0.00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scheme val="none"/>
      </font>
      <alignment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9"/>
        <name val="Arial"/>
        <scheme val="none"/>
      </font>
      <alignment horizontal="center" vertical="center" wrapText="0" indent="0" justifyLastLine="0" shrinkToFit="0" readingOrder="0"/>
      <protection locked="1" hidden="0"/>
    </dxf>
    <dxf>
      <font>
        <color auto="1"/>
      </font>
      <fill>
        <patternFill patternType="lightDown">
          <fgColor theme="9"/>
        </patternFill>
      </fill>
    </dxf>
    <dxf>
      <fill>
        <patternFill patternType="lightUp">
          <fgColor theme="9"/>
        </patternFill>
      </fill>
    </dxf>
    <dxf>
      <fill>
        <patternFill>
          <fgColor indexed="64"/>
          <bgColor theme="0"/>
        </patternFill>
      </fill>
    </dxf>
    <dxf>
      <font>
        <b val="0"/>
        <i val="0"/>
        <strike val="0"/>
        <color auto="1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006600"/>
      </font>
    </dxf>
    <dxf>
      <font>
        <color theme="1"/>
      </font>
      <fill>
        <patternFill>
          <bgColor theme="0" tint="-0.34998626667073579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66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CC"/>
        </patternFill>
      </fill>
    </dxf>
    <dxf>
      <font>
        <color rgb="FFFFFF00"/>
      </font>
      <fill>
        <patternFill>
          <bgColor rgb="FFC000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6600"/>
      </font>
    </dxf>
    <dxf>
      <font>
        <color theme="0"/>
      </font>
      <fill>
        <patternFill>
          <bgColor rgb="FF002060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000000"/>
      <color rgb="FFCBCBCB"/>
      <color rgb="FF0000FF"/>
      <color rgb="FFFF3300"/>
      <color rgb="FF006600"/>
      <color rgb="FF008000"/>
      <color rgb="FFCC0066"/>
      <color rgb="FF9966FF"/>
      <color rgb="FF3399FF"/>
      <color rgb="FF66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microsoft.com/office/2007/relationships/slicerCache" Target="slicerCaches/slicerCache7.xml"/><Relationship Id="rId6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pivotCacheDefinition" Target="pivotCache/pivotCacheDefinition1.xml"/><Relationship Id="rId58" Type="http://schemas.microsoft.com/office/2007/relationships/slicerCache" Target="slicerCaches/slicerCache2.xml"/><Relationship Id="rId66" Type="http://schemas.openxmlformats.org/officeDocument/2006/relationships/connections" Target="connections.xml"/><Relationship Id="rId5" Type="http://schemas.openxmlformats.org/officeDocument/2006/relationships/worksheet" Target="worksheets/sheet5.xml"/><Relationship Id="rId61" Type="http://schemas.microsoft.com/office/2007/relationships/slicerCache" Target="slicerCaches/slicerCache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4.xml"/><Relationship Id="rId64" Type="http://schemas.microsoft.com/office/2007/relationships/slicerCache" Target="slicerCaches/slicerCache8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7/relationships/slicerCache" Target="slicerCaches/slicerCache3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pivotCacheDefinition" Target="pivotCache/pivotCacheDefinition2.xml"/><Relationship Id="rId62" Type="http://schemas.microsoft.com/office/2007/relationships/slicerCache" Target="slicerCaches/slicerCache6.xml"/><Relationship Id="rId7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Relationship Id="rId60" Type="http://schemas.microsoft.com/office/2007/relationships/slicerCache" Target="slicerCaches/slicerCache4.xml"/><Relationship Id="rId65" Type="http://schemas.openxmlformats.org/officeDocument/2006/relationships/theme" Target="theme/theme1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Buffers.xlsm]GráficoDin!TD_Evolucion_Buffers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3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430" baseline="0">
                <a:solidFill>
                  <a:schemeClr val="bg1"/>
                </a:solidFill>
              </a:rPr>
              <a:t>110207181356778   MOTOSIERRA CS-680-70 CON BARRA Y CADENA</a:t>
            </a:r>
          </a:p>
        </c:rich>
      </c:tx>
      <c:layout>
        <c:manualLayout>
          <c:xMode val="edge"/>
          <c:yMode val="edge"/>
          <c:x val="5.5226392152783105E-2"/>
          <c:y val="1.92034439408475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3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rgbClr val="006600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4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rgbClr val="0066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  <c:pivotFmt>
        <c:idx val="7"/>
        <c:spPr>
          <a:solidFill>
            <a:srgbClr val="FFFF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34925" cap="rnd">
            <a:solidFill>
              <a:schemeClr val="accent4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2"/>
      </c:pivotFmt>
      <c:pivotFmt>
        <c:idx val="13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14"/>
      </c:pivotFmt>
      <c:pivotFmt>
        <c:idx val="15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</c:pivotFmt>
      <c:pivotFmt>
        <c:idx val="19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 w="25400" cap="rnd">
            <a:solidFill>
              <a:srgbClr val="6600CC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 w="38100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0711316257881556E-2"/>
          <c:y val="7.9153234258250604E-2"/>
          <c:w val="0.91288894412437438"/>
          <c:h val="0.66578950087532063"/>
        </c:manualLayout>
      </c:layout>
      <c:area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29109472"/>
        <c:axId val="429110560"/>
      </c:area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109472"/>
        <c:axId val="429110560"/>
      </c:lineChart>
      <c:catAx>
        <c:axId val="42910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110560"/>
        <c:crosses val="autoZero"/>
        <c:auto val="1"/>
        <c:lblAlgn val="ctr"/>
        <c:lblOffset val="80"/>
        <c:noMultiLvlLbl val="0"/>
      </c:catAx>
      <c:valAx>
        <c:axId val="42911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109472"/>
        <c:crosses val="autoZero"/>
        <c:crossBetween val="between"/>
      </c:valAx>
      <c:spPr>
        <a:solidFill>
          <a:schemeClr val="accent4">
            <a:lumMod val="60000"/>
            <a:lumOff val="4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lrMapOvr bg1="lt1" tx1="dk1" bg2="lt2" tx2="dk2" accent1="accent1" accent2="accent2" accent3="accent3" accent4="accent4" accent5="accent5" accent6="accent6" hlink="hlink" folHlink="folHlink"/>
  <c:pivotSource>
    <c:name>[Control Buffers.xlsm]GráficoDin!TD_Grafico_Dinamico</c:name>
    <c:fmtId val="0"/>
  </c:pivotSource>
  <c:chart>
    <c:title>
      <c:tx>
        <c:rich>
          <a:bodyPr/>
          <a:lstStyle/>
          <a:p>
            <a:pPr algn="ctr">
              <a:defRPr lang="en-US" sz="1600"/>
            </a:pPr>
            <a:r>
              <a:rPr lang="en-US" sz="1600"/>
              <a:t>10000000972   DESMALEZADORA B450R (B450EMC)</a:t>
            </a:r>
          </a:p>
        </c:rich>
      </c:tx>
      <c:layout>
        <c:manualLayout>
          <c:xMode val="edge"/>
          <c:yMode val="edge"/>
          <c:x val="2.1731534075163858E-3"/>
          <c:y val="1.4603716089960425E-2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marker>
          <c:symbol val="none"/>
        </c:marker>
      </c:pivotFmt>
      <c:pivotFmt>
        <c:idx val="163"/>
        <c:marker>
          <c:symbol val="none"/>
        </c:marker>
      </c:pivotFmt>
      <c:pivotFmt>
        <c:idx val="164"/>
        <c:marker>
          <c:symbol val="none"/>
        </c:marker>
      </c:pivotFmt>
      <c:pivotFmt>
        <c:idx val="165"/>
        <c:marker>
          <c:symbol val="none"/>
        </c:marker>
      </c:pivotFmt>
      <c:pivotFmt>
        <c:idx val="166"/>
        <c:marker>
          <c:symbol val="none"/>
        </c:marker>
      </c:pivotFmt>
      <c:pivotFmt>
        <c:idx val="167"/>
        <c:marker>
          <c:symbol val="none"/>
        </c:marker>
      </c:pivotFmt>
      <c:pivotFmt>
        <c:idx val="168"/>
        <c:spPr>
          <a:solidFill>
            <a:srgbClr val="3C8505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>
                  <a:solidFill>
                    <a:schemeClr val="tx1"/>
                  </a:solidFill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marker>
          <c:symbol val="none"/>
        </c:marker>
      </c:pivotFmt>
      <c:pivotFmt>
        <c:idx val="170"/>
        <c:marker>
          <c:symbol val="none"/>
        </c:marker>
      </c:pivotFmt>
      <c:pivotFmt>
        <c:idx val="171"/>
        <c:spPr>
          <a:ln w="38100">
            <a:solidFill>
              <a:sysClr val="windowText" lastClr="000000"/>
            </a:solidFill>
          </a:ln>
          <a:effectLst/>
        </c:spPr>
        <c:marker>
          <c:symbol val="none"/>
        </c:marker>
      </c:pivotFmt>
      <c:pivotFmt>
        <c:idx val="172"/>
        <c:spPr>
          <a:solidFill>
            <a:srgbClr val="FFFF00"/>
          </a:solidFill>
        </c:spPr>
        <c:marker>
          <c:symbol val="none"/>
        </c:marker>
      </c:pivotFmt>
      <c:pivotFmt>
        <c:idx val="173"/>
        <c:spPr>
          <a:solidFill>
            <a:srgbClr val="FF0000"/>
          </a:solidFill>
        </c:spPr>
        <c:marker>
          <c:symbol val="none"/>
        </c:marker>
      </c:pivotFmt>
      <c:pivotFmt>
        <c:idx val="174"/>
        <c:spPr>
          <a:ln w="28575" cmpd="sng">
            <a:solidFill>
              <a:srgbClr val="6600CC"/>
            </a:solidFill>
            <a:prstDash val="solid"/>
          </a:ln>
        </c:spPr>
        <c:marker>
          <c:symbol val="none"/>
        </c:marker>
      </c:pivotFmt>
      <c:pivotFmt>
        <c:idx val="175"/>
        <c:spPr>
          <a:ln w="38100">
            <a:solidFill>
              <a:srgbClr val="CC0066"/>
            </a:solidFill>
            <a:prstDash val="solid"/>
          </a:ln>
        </c:spPr>
        <c:marker>
          <c:symbol val="diamond"/>
          <c:size val="2"/>
          <c:spPr>
            <a:noFill/>
          </c:spPr>
        </c:marker>
      </c:pivotFmt>
      <c:pivotFmt>
        <c:idx val="176"/>
        <c:spPr>
          <a:ln w="31750" cmpd="sng">
            <a:solidFill>
              <a:srgbClr val="00FF99">
                <a:alpha val="76000"/>
              </a:srgbClr>
            </a:solidFill>
            <a:prstDash val="solid"/>
          </a:ln>
        </c:spPr>
        <c:marker>
          <c:symbol val="diamond"/>
          <c:size val="2"/>
        </c:marker>
      </c:pivotFmt>
      <c:pivotFmt>
        <c:idx val="17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Aumento por Estacionalidad</a:t>
                </a:r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dLbl>
          <c:idx val="0"/>
          <c:tx>
            <c:rich>
              <a:bodyPr/>
              <a:lstStyle/>
              <a:p>
                <a:endParaRPr lang="en-US"/>
              </a:p>
            </c:rich>
          </c:tx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dLbl>
          <c:idx val="0"/>
          <c:tx>
            <c:rich>
              <a:bodyPr anchor="t" anchorCtr="0"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Error de estimacion inicial de buffer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Buffer inicial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Buffer inicial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Bodega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dLbl>
          <c:idx val="0"/>
          <c:tx>
            <c:rich>
              <a:bodyPr wrap="square" lIns="38100" tIns="19050" rIns="38100" bIns="19050" anchor="ctr" anchorCtr="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Codigo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s-EC"/>
                  <a:t>Sugerencia aumento de buffer (GDB)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/>
                  <a:t>Frecuencia Mayor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s-EC"/>
                  <a:t>Buffer inicial</a:t>
                </a:r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C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dLbl>
          <c:idx val="0"/>
          <c:tx>
            <c:rich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rich>
          </c:tx>
          <c:spPr>
            <a:noFill/>
            <a:ln>
              <a:noFill/>
            </a:ln>
            <a:effectLst/>
          </c:sp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4458228346448545E-2"/>
          <c:y val="0.10138735302854585"/>
          <c:w val="0.93889975469657927"/>
          <c:h val="0.74299459397664802"/>
        </c:manualLayout>
      </c:layout>
      <c:areaChart>
        <c:grouping val="standard"/>
        <c:varyColors val="0"/>
        <c:ser>
          <c:idx val="3"/>
          <c:order val="0"/>
          <c:tx>
            <c:strRef>
              <c:f>GráficoDin!$AG$4:$AG$5</c:f>
              <c:strCache>
                <c:ptCount val="1"/>
                <c:pt idx="0">
                  <c:v>Buffer </c:v>
                </c:pt>
              </c:strCache>
            </c:strRef>
          </c:tx>
          <c:spPr>
            <a:solidFill>
              <a:srgbClr val="3C8505"/>
            </a:solidFill>
          </c:spP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GráficoDin!$AG$6:$AG$70</c:f>
              <c:numCache>
                <c:formatCode>General</c:formatCode>
                <c:ptCount val="59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500</c:v>
                </c:pt>
                <c:pt idx="31">
                  <c:v>500</c:v>
                </c:pt>
                <c:pt idx="32">
                  <c:v>500</c:v>
                </c:pt>
                <c:pt idx="33">
                  <c:v>500</c:v>
                </c:pt>
                <c:pt idx="34">
                  <c:v>500</c:v>
                </c:pt>
                <c:pt idx="35">
                  <c:v>500</c:v>
                </c:pt>
                <c:pt idx="36">
                  <c:v>500</c:v>
                </c:pt>
                <c:pt idx="37">
                  <c:v>500</c:v>
                </c:pt>
                <c:pt idx="38">
                  <c:v>500</c:v>
                </c:pt>
                <c:pt idx="39">
                  <c:v>500</c:v>
                </c:pt>
                <c:pt idx="40">
                  <c:v>500</c:v>
                </c:pt>
                <c:pt idx="41">
                  <c:v>500</c:v>
                </c:pt>
                <c:pt idx="42">
                  <c:v>500</c:v>
                </c:pt>
                <c:pt idx="43">
                  <c:v>500</c:v>
                </c:pt>
                <c:pt idx="44">
                  <c:v>500</c:v>
                </c:pt>
                <c:pt idx="45">
                  <c:v>500</c:v>
                </c:pt>
                <c:pt idx="46">
                  <c:v>500</c:v>
                </c:pt>
                <c:pt idx="47">
                  <c:v>500</c:v>
                </c:pt>
                <c:pt idx="48">
                  <c:v>500</c:v>
                </c:pt>
                <c:pt idx="49">
                  <c:v>500</c:v>
                </c:pt>
                <c:pt idx="50">
                  <c:v>500</c:v>
                </c:pt>
                <c:pt idx="51">
                  <c:v>500</c:v>
                </c:pt>
                <c:pt idx="52">
                  <c:v>500</c:v>
                </c:pt>
                <c:pt idx="53">
                  <c:v>500</c:v>
                </c:pt>
                <c:pt idx="54">
                  <c:v>500</c:v>
                </c:pt>
                <c:pt idx="55">
                  <c:v>500</c:v>
                </c:pt>
                <c:pt idx="56">
                  <c:v>500</c:v>
                </c:pt>
                <c:pt idx="57">
                  <c:v>500</c:v>
                </c:pt>
                <c:pt idx="58">
                  <c:v>500</c:v>
                </c:pt>
              </c:numCache>
            </c:numRef>
          </c:val>
        </c:ser>
        <c:ser>
          <c:idx val="0"/>
          <c:order val="1"/>
          <c:tx>
            <c:strRef>
              <c:f>GráficoDin!$AH$4:$AH$5</c:f>
              <c:strCache>
                <c:ptCount val="1"/>
                <c:pt idx="0">
                  <c:v>Amarillo</c:v>
                </c:pt>
              </c:strCache>
            </c:strRef>
          </c:tx>
          <c:spPr>
            <a:solidFill>
              <a:srgbClr val="FFFF00"/>
            </a:solidFill>
          </c:spP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GráficoDin!$AH$6:$AH$70</c:f>
              <c:numCache>
                <c:formatCode>General</c:formatCode>
                <c:ptCount val="59"/>
                <c:pt idx="0">
                  <c:v>333</c:v>
                </c:pt>
                <c:pt idx="1">
                  <c:v>333</c:v>
                </c:pt>
                <c:pt idx="2">
                  <c:v>333</c:v>
                </c:pt>
                <c:pt idx="3">
                  <c:v>333</c:v>
                </c:pt>
                <c:pt idx="4">
                  <c:v>333</c:v>
                </c:pt>
                <c:pt idx="5">
                  <c:v>333</c:v>
                </c:pt>
                <c:pt idx="6">
                  <c:v>333</c:v>
                </c:pt>
                <c:pt idx="7">
                  <c:v>333</c:v>
                </c:pt>
                <c:pt idx="8">
                  <c:v>333</c:v>
                </c:pt>
                <c:pt idx="9">
                  <c:v>333</c:v>
                </c:pt>
                <c:pt idx="10">
                  <c:v>333</c:v>
                </c:pt>
                <c:pt idx="11">
                  <c:v>333</c:v>
                </c:pt>
                <c:pt idx="12">
                  <c:v>333</c:v>
                </c:pt>
                <c:pt idx="13">
                  <c:v>333</c:v>
                </c:pt>
                <c:pt idx="14">
                  <c:v>333</c:v>
                </c:pt>
                <c:pt idx="15">
                  <c:v>333</c:v>
                </c:pt>
                <c:pt idx="16">
                  <c:v>333</c:v>
                </c:pt>
                <c:pt idx="17">
                  <c:v>333</c:v>
                </c:pt>
                <c:pt idx="18">
                  <c:v>333</c:v>
                </c:pt>
                <c:pt idx="19">
                  <c:v>333</c:v>
                </c:pt>
                <c:pt idx="20">
                  <c:v>333</c:v>
                </c:pt>
                <c:pt idx="21">
                  <c:v>333</c:v>
                </c:pt>
                <c:pt idx="22">
                  <c:v>333</c:v>
                </c:pt>
                <c:pt idx="23">
                  <c:v>333</c:v>
                </c:pt>
                <c:pt idx="24">
                  <c:v>333</c:v>
                </c:pt>
                <c:pt idx="25">
                  <c:v>333</c:v>
                </c:pt>
                <c:pt idx="26">
                  <c:v>333</c:v>
                </c:pt>
                <c:pt idx="27">
                  <c:v>333</c:v>
                </c:pt>
                <c:pt idx="28">
                  <c:v>333</c:v>
                </c:pt>
                <c:pt idx="29">
                  <c:v>333</c:v>
                </c:pt>
                <c:pt idx="30">
                  <c:v>333</c:v>
                </c:pt>
                <c:pt idx="31">
                  <c:v>333</c:v>
                </c:pt>
                <c:pt idx="32">
                  <c:v>333</c:v>
                </c:pt>
                <c:pt idx="33">
                  <c:v>333</c:v>
                </c:pt>
                <c:pt idx="34">
                  <c:v>333</c:v>
                </c:pt>
                <c:pt idx="35">
                  <c:v>333</c:v>
                </c:pt>
                <c:pt idx="36">
                  <c:v>333</c:v>
                </c:pt>
                <c:pt idx="37">
                  <c:v>333</c:v>
                </c:pt>
                <c:pt idx="38">
                  <c:v>333</c:v>
                </c:pt>
                <c:pt idx="39">
                  <c:v>333</c:v>
                </c:pt>
                <c:pt idx="40">
                  <c:v>333</c:v>
                </c:pt>
                <c:pt idx="41">
                  <c:v>333</c:v>
                </c:pt>
                <c:pt idx="42">
                  <c:v>333</c:v>
                </c:pt>
                <c:pt idx="43">
                  <c:v>333</c:v>
                </c:pt>
                <c:pt idx="44">
                  <c:v>333</c:v>
                </c:pt>
                <c:pt idx="45">
                  <c:v>333</c:v>
                </c:pt>
                <c:pt idx="46">
                  <c:v>333</c:v>
                </c:pt>
                <c:pt idx="47">
                  <c:v>333</c:v>
                </c:pt>
                <c:pt idx="48">
                  <c:v>333</c:v>
                </c:pt>
                <c:pt idx="49">
                  <c:v>333</c:v>
                </c:pt>
                <c:pt idx="50">
                  <c:v>333</c:v>
                </c:pt>
                <c:pt idx="51">
                  <c:v>333</c:v>
                </c:pt>
                <c:pt idx="52">
                  <c:v>333</c:v>
                </c:pt>
                <c:pt idx="53">
                  <c:v>333</c:v>
                </c:pt>
                <c:pt idx="54">
                  <c:v>333</c:v>
                </c:pt>
                <c:pt idx="55">
                  <c:v>333</c:v>
                </c:pt>
                <c:pt idx="56">
                  <c:v>333</c:v>
                </c:pt>
                <c:pt idx="57">
                  <c:v>333</c:v>
                </c:pt>
                <c:pt idx="58">
                  <c:v>333</c:v>
                </c:pt>
              </c:numCache>
            </c:numRef>
          </c:val>
        </c:ser>
        <c:ser>
          <c:idx val="1"/>
          <c:order val="2"/>
          <c:tx>
            <c:strRef>
              <c:f>GráficoDin!$AI$4:$AI$5</c:f>
              <c:strCache>
                <c:ptCount val="1"/>
                <c:pt idx="0">
                  <c:v>Rojo</c:v>
                </c:pt>
              </c:strCache>
            </c:strRef>
          </c:tx>
          <c:spPr>
            <a:solidFill>
              <a:srgbClr val="FF0000"/>
            </a:solidFill>
          </c:spP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GráficoDin!$AI$6:$AI$70</c:f>
              <c:numCache>
                <c:formatCode>General</c:formatCode>
                <c:ptCount val="59"/>
                <c:pt idx="0">
                  <c:v>165</c:v>
                </c:pt>
                <c:pt idx="1">
                  <c:v>165</c:v>
                </c:pt>
                <c:pt idx="2">
                  <c:v>165</c:v>
                </c:pt>
                <c:pt idx="3">
                  <c:v>165</c:v>
                </c:pt>
                <c:pt idx="4">
                  <c:v>165</c:v>
                </c:pt>
                <c:pt idx="5">
                  <c:v>165</c:v>
                </c:pt>
                <c:pt idx="6">
                  <c:v>165</c:v>
                </c:pt>
                <c:pt idx="7">
                  <c:v>165</c:v>
                </c:pt>
                <c:pt idx="8">
                  <c:v>165</c:v>
                </c:pt>
                <c:pt idx="9">
                  <c:v>165</c:v>
                </c:pt>
                <c:pt idx="10">
                  <c:v>165</c:v>
                </c:pt>
                <c:pt idx="11">
                  <c:v>165</c:v>
                </c:pt>
                <c:pt idx="12">
                  <c:v>165</c:v>
                </c:pt>
                <c:pt idx="13">
                  <c:v>165</c:v>
                </c:pt>
                <c:pt idx="14">
                  <c:v>165</c:v>
                </c:pt>
                <c:pt idx="15">
                  <c:v>165</c:v>
                </c:pt>
                <c:pt idx="16">
                  <c:v>165</c:v>
                </c:pt>
                <c:pt idx="17">
                  <c:v>165</c:v>
                </c:pt>
                <c:pt idx="18">
                  <c:v>165</c:v>
                </c:pt>
                <c:pt idx="19">
                  <c:v>165</c:v>
                </c:pt>
                <c:pt idx="20">
                  <c:v>165</c:v>
                </c:pt>
                <c:pt idx="21">
                  <c:v>165</c:v>
                </c:pt>
                <c:pt idx="22">
                  <c:v>165</c:v>
                </c:pt>
                <c:pt idx="23">
                  <c:v>165</c:v>
                </c:pt>
                <c:pt idx="24">
                  <c:v>165</c:v>
                </c:pt>
                <c:pt idx="25">
                  <c:v>165</c:v>
                </c:pt>
                <c:pt idx="26">
                  <c:v>165</c:v>
                </c:pt>
                <c:pt idx="27">
                  <c:v>165</c:v>
                </c:pt>
                <c:pt idx="28">
                  <c:v>165</c:v>
                </c:pt>
                <c:pt idx="29">
                  <c:v>165</c:v>
                </c:pt>
                <c:pt idx="30">
                  <c:v>165</c:v>
                </c:pt>
                <c:pt idx="31">
                  <c:v>165</c:v>
                </c:pt>
                <c:pt idx="32">
                  <c:v>165</c:v>
                </c:pt>
                <c:pt idx="33">
                  <c:v>165</c:v>
                </c:pt>
                <c:pt idx="34">
                  <c:v>165</c:v>
                </c:pt>
                <c:pt idx="35">
                  <c:v>165</c:v>
                </c:pt>
                <c:pt idx="36">
                  <c:v>165</c:v>
                </c:pt>
                <c:pt idx="37">
                  <c:v>165</c:v>
                </c:pt>
                <c:pt idx="38">
                  <c:v>165</c:v>
                </c:pt>
                <c:pt idx="39">
                  <c:v>165</c:v>
                </c:pt>
                <c:pt idx="40">
                  <c:v>165</c:v>
                </c:pt>
                <c:pt idx="41">
                  <c:v>165</c:v>
                </c:pt>
                <c:pt idx="42">
                  <c:v>165</c:v>
                </c:pt>
                <c:pt idx="43">
                  <c:v>165</c:v>
                </c:pt>
                <c:pt idx="44">
                  <c:v>165</c:v>
                </c:pt>
                <c:pt idx="45">
                  <c:v>165</c:v>
                </c:pt>
                <c:pt idx="46">
                  <c:v>165</c:v>
                </c:pt>
                <c:pt idx="47">
                  <c:v>165</c:v>
                </c:pt>
                <c:pt idx="48">
                  <c:v>165</c:v>
                </c:pt>
                <c:pt idx="49">
                  <c:v>165</c:v>
                </c:pt>
                <c:pt idx="50">
                  <c:v>165</c:v>
                </c:pt>
                <c:pt idx="51">
                  <c:v>165</c:v>
                </c:pt>
                <c:pt idx="52">
                  <c:v>165</c:v>
                </c:pt>
                <c:pt idx="53">
                  <c:v>165</c:v>
                </c:pt>
                <c:pt idx="54">
                  <c:v>165</c:v>
                </c:pt>
                <c:pt idx="55">
                  <c:v>165</c:v>
                </c:pt>
                <c:pt idx="56">
                  <c:v>165</c:v>
                </c:pt>
                <c:pt idx="57">
                  <c:v>165</c:v>
                </c:pt>
                <c:pt idx="58">
                  <c:v>165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113280"/>
        <c:axId val="1339712896"/>
      </c:areaChart>
      <c:lineChart>
        <c:grouping val="standard"/>
        <c:varyColors val="0"/>
        <c:ser>
          <c:idx val="2"/>
          <c:order val="3"/>
          <c:tx>
            <c:strRef>
              <c:f>GráficoDin!$AJ$4:$AJ$5</c:f>
              <c:strCache>
                <c:ptCount val="1"/>
                <c:pt idx="0">
                  <c:v>Salidas </c:v>
                </c:pt>
              </c:strCache>
            </c:strRef>
          </c:tx>
          <c:spPr>
            <a:ln w="31750" cmpd="sng">
              <a:solidFill>
                <a:srgbClr val="00FF99">
                  <a:alpha val="76000"/>
                </a:srgbClr>
              </a:solidFill>
              <a:prstDash val="solid"/>
            </a:ln>
          </c:spPr>
          <c:marker>
            <c:symbol val="diamond"/>
            <c:size val="2"/>
          </c:marke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GráficoDin!$AJ$6:$AJ$70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GráficoDin!$AK$4:$AK$5</c:f>
              <c:strCache>
                <c:ptCount val="1"/>
                <c:pt idx="0">
                  <c:v>Entradas </c:v>
                </c:pt>
              </c:strCache>
            </c:strRef>
          </c:tx>
          <c:spPr>
            <a:ln w="38100">
              <a:solidFill>
                <a:srgbClr val="CC0066"/>
              </a:solidFill>
              <a:prstDash val="solid"/>
            </a:ln>
          </c:spPr>
          <c:marker>
            <c:symbol val="diamond"/>
            <c:size val="2"/>
            <c:spPr>
              <a:noFill/>
            </c:spPr>
          </c:marke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GráficoDin!$AK$6:$AK$70</c:f>
              <c:numCache>
                <c:formatCode>General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GráficoDin!$AL$4:$AL$5</c:f>
              <c:strCache>
                <c:ptCount val="1"/>
                <c:pt idx="0">
                  <c:v>Proyectado</c:v>
                </c:pt>
              </c:strCache>
            </c:strRef>
          </c:tx>
          <c:spPr>
            <a:ln w="28575" cmpd="sng">
              <a:solidFill>
                <a:srgbClr val="6600CC"/>
              </a:solidFill>
              <a:prstDash val="solid"/>
            </a:ln>
          </c:spPr>
          <c:marker>
            <c:symbol val="none"/>
          </c:marke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GráficoDin!$AL$6:$AL$70</c:f>
              <c:numCache>
                <c:formatCode>General</c:formatCode>
                <c:ptCount val="59"/>
                <c:pt idx="0">
                  <c:v>494</c:v>
                </c:pt>
                <c:pt idx="1">
                  <c:v>538</c:v>
                </c:pt>
                <c:pt idx="2">
                  <c:v>521</c:v>
                </c:pt>
                <c:pt idx="3">
                  <c:v>459</c:v>
                </c:pt>
                <c:pt idx="4">
                  <c:v>450</c:v>
                </c:pt>
                <c:pt idx="5">
                  <c:v>450</c:v>
                </c:pt>
                <c:pt idx="6">
                  <c:v>450</c:v>
                </c:pt>
                <c:pt idx="7">
                  <c:v>450</c:v>
                </c:pt>
                <c:pt idx="8">
                  <c:v>434</c:v>
                </c:pt>
                <c:pt idx="9">
                  <c:v>432</c:v>
                </c:pt>
                <c:pt idx="10">
                  <c:v>487</c:v>
                </c:pt>
                <c:pt idx="11">
                  <c:v>480</c:v>
                </c:pt>
                <c:pt idx="12">
                  <c:v>480</c:v>
                </c:pt>
                <c:pt idx="13">
                  <c:v>480</c:v>
                </c:pt>
                <c:pt idx="14">
                  <c:v>480</c:v>
                </c:pt>
                <c:pt idx="15">
                  <c:v>549</c:v>
                </c:pt>
                <c:pt idx="16">
                  <c:v>473</c:v>
                </c:pt>
                <c:pt idx="17">
                  <c:v>457</c:v>
                </c:pt>
                <c:pt idx="18">
                  <c:v>457</c:v>
                </c:pt>
                <c:pt idx="19">
                  <c:v>457</c:v>
                </c:pt>
                <c:pt idx="20">
                  <c:v>457</c:v>
                </c:pt>
                <c:pt idx="21">
                  <c:v>453</c:v>
                </c:pt>
                <c:pt idx="22">
                  <c:v>437</c:v>
                </c:pt>
                <c:pt idx="23">
                  <c:v>437</c:v>
                </c:pt>
                <c:pt idx="24">
                  <c:v>427</c:v>
                </c:pt>
                <c:pt idx="25">
                  <c:v>427</c:v>
                </c:pt>
                <c:pt idx="26">
                  <c:v>426</c:v>
                </c:pt>
                <c:pt idx="27">
                  <c:v>426</c:v>
                </c:pt>
                <c:pt idx="28">
                  <c:v>426</c:v>
                </c:pt>
                <c:pt idx="29">
                  <c:v>426</c:v>
                </c:pt>
                <c:pt idx="30">
                  <c:v>426</c:v>
                </c:pt>
                <c:pt idx="31">
                  <c:v>495</c:v>
                </c:pt>
                <c:pt idx="32">
                  <c:v>494</c:v>
                </c:pt>
                <c:pt idx="33">
                  <c:v>494</c:v>
                </c:pt>
                <c:pt idx="34">
                  <c:v>494</c:v>
                </c:pt>
                <c:pt idx="35">
                  <c:v>492</c:v>
                </c:pt>
                <c:pt idx="36">
                  <c:v>490</c:v>
                </c:pt>
                <c:pt idx="37">
                  <c:v>471</c:v>
                </c:pt>
                <c:pt idx="38">
                  <c:v>472</c:v>
                </c:pt>
                <c:pt idx="39">
                  <c:v>472</c:v>
                </c:pt>
                <c:pt idx="40">
                  <c:v>472</c:v>
                </c:pt>
                <c:pt idx="41">
                  <c:v>467</c:v>
                </c:pt>
                <c:pt idx="42">
                  <c:v>467</c:v>
                </c:pt>
                <c:pt idx="43">
                  <c:v>437</c:v>
                </c:pt>
                <c:pt idx="44">
                  <c:v>462</c:v>
                </c:pt>
                <c:pt idx="45">
                  <c:v>458</c:v>
                </c:pt>
                <c:pt idx="46">
                  <c:v>170</c:v>
                </c:pt>
                <c:pt idx="47">
                  <c:v>458</c:v>
                </c:pt>
                <c:pt idx="48">
                  <c:v>458</c:v>
                </c:pt>
                <c:pt idx="49">
                  <c:v>436</c:v>
                </c:pt>
                <c:pt idx="50">
                  <c:v>435</c:v>
                </c:pt>
                <c:pt idx="51">
                  <c:v>264</c:v>
                </c:pt>
                <c:pt idx="52">
                  <c:v>264</c:v>
                </c:pt>
                <c:pt idx="53">
                  <c:v>434</c:v>
                </c:pt>
                <c:pt idx="54">
                  <c:v>417</c:v>
                </c:pt>
                <c:pt idx="55">
                  <c:v>409</c:v>
                </c:pt>
                <c:pt idx="56">
                  <c:v>495</c:v>
                </c:pt>
                <c:pt idx="57">
                  <c:v>490</c:v>
                </c:pt>
                <c:pt idx="58">
                  <c:v>434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GráficoDin!$AM$4:$AM$5</c:f>
              <c:strCache>
                <c:ptCount val="1"/>
                <c:pt idx="0">
                  <c:v>Físico</c:v>
                </c:pt>
              </c:strCache>
            </c:strRef>
          </c:tx>
          <c:spPr>
            <a:ln w="38100">
              <a:solidFill>
                <a:sysClr val="windowText" lastClr="000000"/>
              </a:solidFill>
            </a:ln>
            <a:effectLst/>
          </c:spPr>
          <c:marker>
            <c:symbol val="none"/>
          </c:marker>
          <c:cat>
            <c:multiLvlStrRef>
              <c:f>GráficoDin!$AF$6:$AF$70</c:f>
              <c:multiLvlStrCache>
                <c:ptCount val="59"/>
                <c:lvl>
                  <c:pt idx="0">
                    <c:v>31-Ene</c:v>
                  </c:pt>
                  <c:pt idx="1">
                    <c:v>01-Feb</c:v>
                  </c:pt>
                  <c:pt idx="2">
                    <c:v>02-Feb</c:v>
                  </c:pt>
                  <c:pt idx="3">
                    <c:v>03-Feb</c:v>
                  </c:pt>
                  <c:pt idx="4">
                    <c:v>04-Feb</c:v>
                  </c:pt>
                  <c:pt idx="5">
                    <c:v>05-Feb</c:v>
                  </c:pt>
                  <c:pt idx="6">
                    <c:v>06-Feb</c:v>
                  </c:pt>
                  <c:pt idx="7">
                    <c:v>07-Feb</c:v>
                  </c:pt>
                  <c:pt idx="8">
                    <c:v>08-Feb</c:v>
                  </c:pt>
                  <c:pt idx="9">
                    <c:v>09-Feb</c:v>
                  </c:pt>
                  <c:pt idx="10">
                    <c:v>10-Feb</c:v>
                  </c:pt>
                  <c:pt idx="11">
                    <c:v>11-Feb</c:v>
                  </c:pt>
                  <c:pt idx="12">
                    <c:v>12-Feb</c:v>
                  </c:pt>
                  <c:pt idx="13">
                    <c:v>13-Feb</c:v>
                  </c:pt>
                  <c:pt idx="14">
                    <c:v>14-Feb</c:v>
                  </c:pt>
                  <c:pt idx="15">
                    <c:v>15-Feb</c:v>
                  </c:pt>
                  <c:pt idx="16">
                    <c:v>16-Feb</c:v>
                  </c:pt>
                  <c:pt idx="17">
                    <c:v>17-Feb</c:v>
                  </c:pt>
                  <c:pt idx="18">
                    <c:v>18-Feb</c:v>
                  </c:pt>
                  <c:pt idx="19">
                    <c:v>19-Feb</c:v>
                  </c:pt>
                  <c:pt idx="20">
                    <c:v>20-Feb</c:v>
                  </c:pt>
                  <c:pt idx="21">
                    <c:v>21-Feb</c:v>
                  </c:pt>
                  <c:pt idx="22">
                    <c:v>22-Feb</c:v>
                  </c:pt>
                  <c:pt idx="23">
                    <c:v>23-Feb</c:v>
                  </c:pt>
                  <c:pt idx="24">
                    <c:v>24-Feb</c:v>
                  </c:pt>
                  <c:pt idx="25">
                    <c:v>25-Feb</c:v>
                  </c:pt>
                  <c:pt idx="26">
                    <c:v>26-Feb</c:v>
                  </c:pt>
                  <c:pt idx="27">
                    <c:v>27-Feb</c:v>
                  </c:pt>
                  <c:pt idx="28">
                    <c:v>28-Feb</c:v>
                  </c:pt>
                  <c:pt idx="29">
                    <c:v>01-Mar</c:v>
                  </c:pt>
                  <c:pt idx="30">
                    <c:v>02-Mar</c:v>
                  </c:pt>
                  <c:pt idx="31">
                    <c:v>03-Mar</c:v>
                  </c:pt>
                  <c:pt idx="32">
                    <c:v>04-Mar</c:v>
                  </c:pt>
                  <c:pt idx="33">
                    <c:v>05-Mar</c:v>
                  </c:pt>
                  <c:pt idx="34">
                    <c:v>06-Mar</c:v>
                  </c:pt>
                  <c:pt idx="35">
                    <c:v>07-Mar</c:v>
                  </c:pt>
                  <c:pt idx="36">
                    <c:v>08-Mar</c:v>
                  </c:pt>
                  <c:pt idx="37">
                    <c:v>09-Mar</c:v>
                  </c:pt>
                  <c:pt idx="38">
                    <c:v>10-Mar</c:v>
                  </c:pt>
                  <c:pt idx="39">
                    <c:v>11-Mar</c:v>
                  </c:pt>
                  <c:pt idx="40">
                    <c:v>12-Mar</c:v>
                  </c:pt>
                  <c:pt idx="41">
                    <c:v>14-Mar</c:v>
                  </c:pt>
                  <c:pt idx="42">
                    <c:v>15-Mar</c:v>
                  </c:pt>
                  <c:pt idx="43">
                    <c:v>16-Mar</c:v>
                  </c:pt>
                  <c:pt idx="44">
                    <c:v>17-Mar</c:v>
                  </c:pt>
                  <c:pt idx="45">
                    <c:v>18-Mar</c:v>
                  </c:pt>
                  <c:pt idx="46">
                    <c:v>19-Mar</c:v>
                  </c:pt>
                  <c:pt idx="47">
                    <c:v>20-Mar</c:v>
                  </c:pt>
                  <c:pt idx="48">
                    <c:v>21-Mar</c:v>
                  </c:pt>
                  <c:pt idx="49">
                    <c:v>22-Mar</c:v>
                  </c:pt>
                  <c:pt idx="50">
                    <c:v>23-Mar</c:v>
                  </c:pt>
                  <c:pt idx="51">
                    <c:v>25-Mar</c:v>
                  </c:pt>
                  <c:pt idx="52">
                    <c:v>26-Mar</c:v>
                  </c:pt>
                  <c:pt idx="53">
                    <c:v>27-Mar</c:v>
                  </c:pt>
                  <c:pt idx="54">
                    <c:v>28-Mar</c:v>
                  </c:pt>
                  <c:pt idx="55">
                    <c:v>29-Mar</c:v>
                  </c:pt>
                  <c:pt idx="56">
                    <c:v>30-Mar</c:v>
                  </c:pt>
                  <c:pt idx="57">
                    <c:v>31-Mar</c:v>
                  </c:pt>
                  <c:pt idx="58">
                    <c:v>01-Abr</c:v>
                  </c:pt>
                </c:lvl>
                <c:lvl>
                  <c:pt idx="0">
                    <c:v>Ene</c:v>
                  </c:pt>
                  <c:pt idx="1">
                    <c:v>Feb</c:v>
                  </c:pt>
                  <c:pt idx="29">
                    <c:v>Mar</c:v>
                  </c:pt>
                  <c:pt idx="58">
                    <c:v>Abr</c:v>
                  </c:pt>
                </c:lvl>
                <c:lvl>
                  <c:pt idx="0">
                    <c:v>2017</c:v>
                  </c:pt>
                </c:lvl>
              </c:multiLvlStrCache>
            </c:multiLvlStrRef>
          </c:cat>
          <c:val>
            <c:numRef>
              <c:f>GráficoDin!$AM$6:$AM$70</c:f>
              <c:numCache>
                <c:formatCode>General</c:formatCode>
                <c:ptCount val="59"/>
                <c:pt idx="0">
                  <c:v>309</c:v>
                </c:pt>
                <c:pt idx="1">
                  <c:v>353</c:v>
                </c:pt>
                <c:pt idx="2">
                  <c:v>336</c:v>
                </c:pt>
                <c:pt idx="3">
                  <c:v>324</c:v>
                </c:pt>
                <c:pt idx="4">
                  <c:v>315</c:v>
                </c:pt>
                <c:pt idx="5">
                  <c:v>315</c:v>
                </c:pt>
                <c:pt idx="6">
                  <c:v>315</c:v>
                </c:pt>
                <c:pt idx="7">
                  <c:v>315</c:v>
                </c:pt>
                <c:pt idx="8">
                  <c:v>299</c:v>
                </c:pt>
                <c:pt idx="9">
                  <c:v>297</c:v>
                </c:pt>
                <c:pt idx="10">
                  <c:v>284</c:v>
                </c:pt>
                <c:pt idx="11">
                  <c:v>277</c:v>
                </c:pt>
                <c:pt idx="12">
                  <c:v>277</c:v>
                </c:pt>
                <c:pt idx="13">
                  <c:v>277</c:v>
                </c:pt>
                <c:pt idx="14">
                  <c:v>277</c:v>
                </c:pt>
                <c:pt idx="15">
                  <c:v>346</c:v>
                </c:pt>
                <c:pt idx="16">
                  <c:v>345</c:v>
                </c:pt>
                <c:pt idx="17">
                  <c:v>329</c:v>
                </c:pt>
                <c:pt idx="18">
                  <c:v>329</c:v>
                </c:pt>
                <c:pt idx="19">
                  <c:v>329</c:v>
                </c:pt>
                <c:pt idx="20">
                  <c:v>329</c:v>
                </c:pt>
                <c:pt idx="21">
                  <c:v>325</c:v>
                </c:pt>
                <c:pt idx="22">
                  <c:v>309</c:v>
                </c:pt>
                <c:pt idx="23">
                  <c:v>309</c:v>
                </c:pt>
                <c:pt idx="24">
                  <c:v>299</c:v>
                </c:pt>
                <c:pt idx="25">
                  <c:v>299</c:v>
                </c:pt>
                <c:pt idx="26">
                  <c:v>298</c:v>
                </c:pt>
                <c:pt idx="27">
                  <c:v>298</c:v>
                </c:pt>
                <c:pt idx="28">
                  <c:v>298</c:v>
                </c:pt>
                <c:pt idx="29">
                  <c:v>298</c:v>
                </c:pt>
                <c:pt idx="30">
                  <c:v>298</c:v>
                </c:pt>
                <c:pt idx="31">
                  <c:v>293</c:v>
                </c:pt>
                <c:pt idx="32">
                  <c:v>292</c:v>
                </c:pt>
                <c:pt idx="33">
                  <c:v>292</c:v>
                </c:pt>
                <c:pt idx="34">
                  <c:v>292</c:v>
                </c:pt>
                <c:pt idx="35">
                  <c:v>290</c:v>
                </c:pt>
                <c:pt idx="36">
                  <c:v>288</c:v>
                </c:pt>
                <c:pt idx="37">
                  <c:v>329</c:v>
                </c:pt>
                <c:pt idx="38">
                  <c:v>330</c:v>
                </c:pt>
                <c:pt idx="39">
                  <c:v>330</c:v>
                </c:pt>
                <c:pt idx="40">
                  <c:v>330</c:v>
                </c:pt>
                <c:pt idx="41">
                  <c:v>325</c:v>
                </c:pt>
                <c:pt idx="42">
                  <c:v>325</c:v>
                </c:pt>
                <c:pt idx="43">
                  <c:v>295</c:v>
                </c:pt>
                <c:pt idx="44">
                  <c:v>292</c:v>
                </c:pt>
                <c:pt idx="45">
                  <c:v>288</c:v>
                </c:pt>
                <c:pt idx="46">
                  <c:v>0</c:v>
                </c:pt>
                <c:pt idx="47">
                  <c:v>288</c:v>
                </c:pt>
                <c:pt idx="48">
                  <c:v>288</c:v>
                </c:pt>
                <c:pt idx="49">
                  <c:v>266</c:v>
                </c:pt>
                <c:pt idx="50">
                  <c:v>265</c:v>
                </c:pt>
                <c:pt idx="51">
                  <c:v>264</c:v>
                </c:pt>
                <c:pt idx="52">
                  <c:v>264</c:v>
                </c:pt>
                <c:pt idx="53">
                  <c:v>264</c:v>
                </c:pt>
                <c:pt idx="54">
                  <c:v>247</c:v>
                </c:pt>
                <c:pt idx="55">
                  <c:v>239</c:v>
                </c:pt>
                <c:pt idx="56">
                  <c:v>233</c:v>
                </c:pt>
                <c:pt idx="57">
                  <c:v>228</c:v>
                </c:pt>
                <c:pt idx="58">
                  <c:v>292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113280"/>
        <c:axId val="1339712896"/>
      </c:lineChart>
      <c:catAx>
        <c:axId val="4291132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339712896"/>
        <c:crosses val="autoZero"/>
        <c:auto val="1"/>
        <c:lblAlgn val="ctr"/>
        <c:lblOffset val="100"/>
        <c:noMultiLvlLbl val="0"/>
      </c:catAx>
      <c:valAx>
        <c:axId val="133971289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29113280"/>
        <c:crosses val="autoZero"/>
        <c:crossBetween val="between"/>
      </c:valAx>
      <c:spPr>
        <a:solidFill>
          <a:schemeClr val="accent4">
            <a:lumMod val="60000"/>
            <a:lumOff val="40000"/>
          </a:schemeClr>
        </a:solidFill>
      </c:spPr>
    </c:plotArea>
    <c:legend>
      <c:legendPos val="t"/>
      <c:layout>
        <c:manualLayout>
          <c:xMode val="edge"/>
          <c:yMode val="edge"/>
          <c:x val="0.68789520297390394"/>
          <c:y val="1.1025805647920354E-2"/>
          <c:w val="0.29857182268386206"/>
          <c:h val="8.2956198434221043E-2"/>
        </c:manualLayout>
      </c:layout>
      <c:overlay val="1"/>
    </c:legend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png"/><Relationship Id="rId13" Type="http://schemas.openxmlformats.org/officeDocument/2006/relationships/image" Target="../media/image57.png"/><Relationship Id="rId18" Type="http://schemas.openxmlformats.org/officeDocument/2006/relationships/image" Target="../media/image62.png"/><Relationship Id="rId3" Type="http://schemas.openxmlformats.org/officeDocument/2006/relationships/image" Target="../media/image47.png"/><Relationship Id="rId21" Type="http://schemas.openxmlformats.org/officeDocument/2006/relationships/image" Target="../media/image65.png"/><Relationship Id="rId7" Type="http://schemas.openxmlformats.org/officeDocument/2006/relationships/image" Target="../media/image51.png"/><Relationship Id="rId12" Type="http://schemas.openxmlformats.org/officeDocument/2006/relationships/image" Target="../media/image56.png"/><Relationship Id="rId17" Type="http://schemas.openxmlformats.org/officeDocument/2006/relationships/image" Target="../media/image61.png"/><Relationship Id="rId2" Type="http://schemas.openxmlformats.org/officeDocument/2006/relationships/image" Target="../media/image46.png"/><Relationship Id="rId16" Type="http://schemas.openxmlformats.org/officeDocument/2006/relationships/image" Target="../media/image60.png"/><Relationship Id="rId20" Type="http://schemas.openxmlformats.org/officeDocument/2006/relationships/image" Target="../media/image64.png"/><Relationship Id="rId1" Type="http://schemas.openxmlformats.org/officeDocument/2006/relationships/image" Target="../media/image45.png"/><Relationship Id="rId6" Type="http://schemas.openxmlformats.org/officeDocument/2006/relationships/image" Target="../media/image50.pn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5" Type="http://schemas.openxmlformats.org/officeDocument/2006/relationships/image" Target="../media/image59.png"/><Relationship Id="rId10" Type="http://schemas.openxmlformats.org/officeDocument/2006/relationships/image" Target="../media/image54.png"/><Relationship Id="rId19" Type="http://schemas.openxmlformats.org/officeDocument/2006/relationships/image" Target="../media/image63.png"/><Relationship Id="rId4" Type="http://schemas.openxmlformats.org/officeDocument/2006/relationships/image" Target="../media/image48.png"/><Relationship Id="rId9" Type="http://schemas.openxmlformats.org/officeDocument/2006/relationships/image" Target="../media/image53.png"/><Relationship Id="rId14" Type="http://schemas.openxmlformats.org/officeDocument/2006/relationships/image" Target="../media/image58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6.emf"/><Relationship Id="rId18" Type="http://schemas.openxmlformats.org/officeDocument/2006/relationships/image" Target="../media/image28.emf"/><Relationship Id="rId26" Type="http://schemas.openxmlformats.org/officeDocument/2006/relationships/image" Target="../media/image6.emf"/><Relationship Id="rId21" Type="http://schemas.openxmlformats.org/officeDocument/2006/relationships/image" Target="../media/image9.emf"/><Relationship Id="rId34" Type="http://schemas.openxmlformats.org/officeDocument/2006/relationships/image" Target="../media/image1.emf"/><Relationship Id="rId7" Type="http://schemas.openxmlformats.org/officeDocument/2006/relationships/image" Target="../media/image17.emf"/><Relationship Id="rId12" Type="http://schemas.openxmlformats.org/officeDocument/2006/relationships/image" Target="../media/image25.emf"/><Relationship Id="rId17" Type="http://schemas.openxmlformats.org/officeDocument/2006/relationships/image" Target="../media/image11.emf"/><Relationship Id="rId25" Type="http://schemas.openxmlformats.org/officeDocument/2006/relationships/image" Target="../media/image7.emf"/><Relationship Id="rId33" Type="http://schemas.openxmlformats.org/officeDocument/2006/relationships/image" Target="../media/image34.emf"/><Relationship Id="rId2" Type="http://schemas.openxmlformats.org/officeDocument/2006/relationships/image" Target="../media/image19.emf"/><Relationship Id="rId16" Type="http://schemas.openxmlformats.org/officeDocument/2006/relationships/image" Target="../media/image12.emf"/><Relationship Id="rId20" Type="http://schemas.openxmlformats.org/officeDocument/2006/relationships/image" Target="../media/image10.emf"/><Relationship Id="rId29" Type="http://schemas.openxmlformats.org/officeDocument/2006/relationships/image" Target="../media/image3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1" Type="http://schemas.openxmlformats.org/officeDocument/2006/relationships/image" Target="../media/image14.emf"/><Relationship Id="rId24" Type="http://schemas.openxmlformats.org/officeDocument/2006/relationships/image" Target="../media/image8.emf"/><Relationship Id="rId32" Type="http://schemas.openxmlformats.org/officeDocument/2006/relationships/image" Target="../media/image33.emf"/><Relationship Id="rId37" Type="http://schemas.openxmlformats.org/officeDocument/2006/relationships/image" Target="../media/image40.emf"/><Relationship Id="rId5" Type="http://schemas.openxmlformats.org/officeDocument/2006/relationships/image" Target="../media/image22.emf"/><Relationship Id="rId15" Type="http://schemas.openxmlformats.org/officeDocument/2006/relationships/image" Target="../media/image13.emf"/><Relationship Id="rId23" Type="http://schemas.openxmlformats.org/officeDocument/2006/relationships/image" Target="../media/image31.emf"/><Relationship Id="rId28" Type="http://schemas.openxmlformats.org/officeDocument/2006/relationships/image" Target="../media/image4.emf"/><Relationship Id="rId36" Type="http://schemas.openxmlformats.org/officeDocument/2006/relationships/image" Target="../media/image39.emf"/><Relationship Id="rId10" Type="http://schemas.openxmlformats.org/officeDocument/2006/relationships/image" Target="../media/image24.emf"/><Relationship Id="rId19" Type="http://schemas.openxmlformats.org/officeDocument/2006/relationships/image" Target="../media/image29.emf"/><Relationship Id="rId31" Type="http://schemas.openxmlformats.org/officeDocument/2006/relationships/image" Target="../media/image32.emf"/><Relationship Id="rId4" Type="http://schemas.openxmlformats.org/officeDocument/2006/relationships/image" Target="../media/image21.emf"/><Relationship Id="rId9" Type="http://schemas.openxmlformats.org/officeDocument/2006/relationships/image" Target="../media/image15.emf"/><Relationship Id="rId14" Type="http://schemas.openxmlformats.org/officeDocument/2006/relationships/image" Target="../media/image27.emf"/><Relationship Id="rId22" Type="http://schemas.openxmlformats.org/officeDocument/2006/relationships/image" Target="../media/image30.emf"/><Relationship Id="rId27" Type="http://schemas.openxmlformats.org/officeDocument/2006/relationships/image" Target="../media/image5.emf"/><Relationship Id="rId30" Type="http://schemas.openxmlformats.org/officeDocument/2006/relationships/image" Target="../media/image2.emf"/><Relationship Id="rId35" Type="http://schemas.openxmlformats.org/officeDocument/2006/relationships/image" Target="../media/image38.emf"/><Relationship Id="rId8" Type="http://schemas.openxmlformats.org/officeDocument/2006/relationships/image" Target="../media/image16.emf"/><Relationship Id="rId3" Type="http://schemas.openxmlformats.org/officeDocument/2006/relationships/image" Target="../media/image20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983456</xdr:colOff>
          <xdr:row>0</xdr:row>
          <xdr:rowOff>0</xdr:rowOff>
        </xdr:from>
        <xdr:to>
          <xdr:col>4</xdr:col>
          <xdr:colOff>511968</xdr:colOff>
          <xdr:row>0</xdr:row>
          <xdr:rowOff>892969</xdr:rowOff>
        </xdr:to>
        <xdr:pic>
          <xdr:nvPicPr>
            <xdr:cNvPr id="1341" name="fotAlertas"/>
            <xdr:cNvPicPr>
              <a:picLocks noChangeAspect="1" noChangeArrowheads="1"/>
              <a:extLst>
                <a:ext uri="{84589F7E-364E-4C9E-8A38-B11213B215E9}">
                  <a14:cameraTool cellRange="NoBorrar!$V$1:$V$7" spid="_x0000_s7470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626769" y="0"/>
              <a:ext cx="1290637" cy="892969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28575</xdr:rowOff>
        </xdr:from>
        <xdr:to>
          <xdr:col>3</xdr:col>
          <xdr:colOff>988218</xdr:colOff>
          <xdr:row>0</xdr:row>
          <xdr:rowOff>628650</xdr:rowOff>
        </xdr:to>
        <xdr:pic macro="[0]!Devuelve_Controles_Varias_Hojas">
          <xdr:nvPicPr>
            <xdr:cNvPr id="1085" name="fotInfoBodega"/>
            <xdr:cNvPicPr>
              <a:picLocks noChangeAspect="1" noChangeArrowheads="1"/>
              <a:extLst>
                <a:ext uri="{84589F7E-364E-4C9E-8A38-B11213B215E9}">
                  <a14:cameraTool cellRange="NoBorrar!N1:S4" spid="_x0000_s74704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28575"/>
              <a:ext cx="4638675" cy="6000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428625</xdr:colOff>
          <xdr:row>0</xdr:row>
          <xdr:rowOff>647700</xdr:rowOff>
        </xdr:from>
        <xdr:to>
          <xdr:col>1</xdr:col>
          <xdr:colOff>723900</xdr:colOff>
          <xdr:row>0</xdr:row>
          <xdr:rowOff>885825</xdr:rowOff>
        </xdr:to>
        <xdr:sp macro="" textlink="">
          <xdr:nvSpPr>
            <xdr:cNvPr id="1082" name="cmdControl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647700</xdr:rowOff>
        </xdr:from>
        <xdr:to>
          <xdr:col>2</xdr:col>
          <xdr:colOff>295275</xdr:colOff>
          <xdr:row>0</xdr:row>
          <xdr:rowOff>885825</xdr:rowOff>
        </xdr:to>
        <xdr:sp macro="" textlink="">
          <xdr:nvSpPr>
            <xdr:cNvPr id="1106" name="cmdTransitoDetallado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0</xdr:row>
          <xdr:rowOff>885825</xdr:rowOff>
        </xdr:from>
        <xdr:to>
          <xdr:col>0</xdr:col>
          <xdr:colOff>781050</xdr:colOff>
          <xdr:row>0</xdr:row>
          <xdr:rowOff>1123950</xdr:rowOff>
        </xdr:to>
        <xdr:sp macro="" textlink="">
          <xdr:nvSpPr>
            <xdr:cNvPr id="1111" name="cmdOcultaColumna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0</xdr:row>
          <xdr:rowOff>885825</xdr:rowOff>
        </xdr:from>
        <xdr:to>
          <xdr:col>0</xdr:col>
          <xdr:colOff>523875</xdr:colOff>
          <xdr:row>0</xdr:row>
          <xdr:rowOff>1123950</xdr:rowOff>
        </xdr:to>
        <xdr:sp macro="" textlink="">
          <xdr:nvSpPr>
            <xdr:cNvPr id="1118" name="cmdVistas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628650</xdr:colOff>
          <xdr:row>0</xdr:row>
          <xdr:rowOff>885825</xdr:rowOff>
        </xdr:from>
        <xdr:to>
          <xdr:col>1</xdr:col>
          <xdr:colOff>914400</xdr:colOff>
          <xdr:row>0</xdr:row>
          <xdr:rowOff>1123950</xdr:rowOff>
        </xdr:to>
        <xdr:sp macro="" textlink="">
          <xdr:nvSpPr>
            <xdr:cNvPr id="1166" name="cmdHOY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885825</xdr:rowOff>
        </xdr:from>
        <xdr:to>
          <xdr:col>1</xdr:col>
          <xdr:colOff>352425</xdr:colOff>
          <xdr:row>0</xdr:row>
          <xdr:rowOff>1123950</xdr:rowOff>
        </xdr:to>
        <xdr:sp macro="" textlink="">
          <xdr:nvSpPr>
            <xdr:cNvPr id="1167" name="cmdBufferHoy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895350</xdr:colOff>
          <xdr:row>0</xdr:row>
          <xdr:rowOff>885825</xdr:rowOff>
        </xdr:from>
        <xdr:to>
          <xdr:col>1</xdr:col>
          <xdr:colOff>1181100</xdr:colOff>
          <xdr:row>0</xdr:row>
          <xdr:rowOff>1123950</xdr:rowOff>
        </xdr:to>
        <xdr:sp macro="" textlink="">
          <xdr:nvSpPr>
            <xdr:cNvPr id="1168" name="cmdIrInicioHorizonte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514350</xdr:colOff>
          <xdr:row>0</xdr:row>
          <xdr:rowOff>647700</xdr:rowOff>
        </xdr:from>
        <xdr:to>
          <xdr:col>2</xdr:col>
          <xdr:colOff>733425</xdr:colOff>
          <xdr:row>0</xdr:row>
          <xdr:rowOff>885825</xdr:rowOff>
        </xdr:to>
        <xdr:sp macro="" textlink="">
          <xdr:nvSpPr>
            <xdr:cNvPr id="1175" name="cmdCambiaBuffer" hidden="1">
              <a:extLst>
                <a:ext uri="{63B3BB69-23CF-44E3-9099-C40C66FF867C}">
                  <a14:compatExt spid="_x0000_s1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0</xdr:row>
          <xdr:rowOff>647700</xdr:rowOff>
        </xdr:from>
        <xdr:to>
          <xdr:col>2</xdr:col>
          <xdr:colOff>523875</xdr:colOff>
          <xdr:row>0</xdr:row>
          <xdr:rowOff>885825</xdr:rowOff>
        </xdr:to>
        <xdr:sp macro="" textlink="">
          <xdr:nvSpPr>
            <xdr:cNvPr id="1186" name="cmdAccionesEstacionalidad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942975</xdr:colOff>
          <xdr:row>0</xdr:row>
          <xdr:rowOff>647700</xdr:rowOff>
        </xdr:from>
        <xdr:to>
          <xdr:col>2</xdr:col>
          <xdr:colOff>1171575</xdr:colOff>
          <xdr:row>0</xdr:row>
          <xdr:rowOff>885825</xdr:rowOff>
        </xdr:to>
        <xdr:sp macro="" textlink="">
          <xdr:nvSpPr>
            <xdr:cNvPr id="1193" name="cmdGraficoDinamico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990600</xdr:colOff>
          <xdr:row>0</xdr:row>
          <xdr:rowOff>647700</xdr:rowOff>
        </xdr:from>
        <xdr:to>
          <xdr:col>2</xdr:col>
          <xdr:colOff>57150</xdr:colOff>
          <xdr:row>0</xdr:row>
          <xdr:rowOff>885825</xdr:rowOff>
        </xdr:to>
        <xdr:sp macro="" textlink="">
          <xdr:nvSpPr>
            <xdr:cNvPr id="1194" name="cmdRefrescaFormulas" hidden="1">
              <a:extLst>
                <a:ext uri="{63B3BB69-23CF-44E3-9099-C40C66FF867C}">
                  <a14:compatExt spid="_x0000_s1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723900</xdr:colOff>
          <xdr:row>0</xdr:row>
          <xdr:rowOff>647700</xdr:rowOff>
        </xdr:from>
        <xdr:to>
          <xdr:col>1</xdr:col>
          <xdr:colOff>981075</xdr:colOff>
          <xdr:row>0</xdr:row>
          <xdr:rowOff>885825</xdr:rowOff>
        </xdr:to>
        <xdr:sp macro="" textlink="">
          <xdr:nvSpPr>
            <xdr:cNvPr id="1196" name="cmdRefrescaTodo" hidden="1">
              <a:extLst>
                <a:ext uri="{63B3BB69-23CF-44E3-9099-C40C66FF867C}">
                  <a14:compatExt spid="_x0000_s1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504825</xdr:colOff>
          <xdr:row>0</xdr:row>
          <xdr:rowOff>885825</xdr:rowOff>
        </xdr:from>
        <xdr:to>
          <xdr:col>3</xdr:col>
          <xdr:colOff>876300</xdr:colOff>
          <xdr:row>0</xdr:row>
          <xdr:rowOff>1114425</xdr:rowOff>
        </xdr:to>
        <xdr:sp macro="" textlink="">
          <xdr:nvSpPr>
            <xdr:cNvPr id="1199" name="txtBusqueda" hidden="1">
              <a:extLst>
                <a:ext uri="{63B3BB69-23CF-44E3-9099-C40C66FF867C}">
                  <a14:compatExt spid="_x0000_s1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0</xdr:row>
          <xdr:rowOff>1104900</xdr:rowOff>
        </xdr:from>
        <xdr:to>
          <xdr:col>0</xdr:col>
          <xdr:colOff>466725</xdr:colOff>
          <xdr:row>0</xdr:row>
          <xdr:rowOff>1343025</xdr:rowOff>
        </xdr:to>
        <xdr:sp macro="" textlink="">
          <xdr:nvSpPr>
            <xdr:cNvPr id="1204" name="cmdQuitaFiltros" hidden="1">
              <a:extLst>
                <a:ext uri="{63B3BB69-23CF-44E3-9099-C40C66FF867C}">
                  <a14:compatExt spid="_x0000_s1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0</xdr:row>
          <xdr:rowOff>885825</xdr:rowOff>
        </xdr:from>
        <xdr:to>
          <xdr:col>2</xdr:col>
          <xdr:colOff>504825</xdr:colOff>
          <xdr:row>0</xdr:row>
          <xdr:rowOff>1123950</xdr:rowOff>
        </xdr:to>
        <xdr:sp macro="" textlink="">
          <xdr:nvSpPr>
            <xdr:cNvPr id="1244" name="cmdFiltraErrores" hidden="1">
              <a:extLst>
                <a:ext uri="{63B3BB69-23CF-44E3-9099-C40C66FF867C}">
                  <a14:compatExt spid="_x0000_s1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1152525</xdr:colOff>
          <xdr:row>0</xdr:row>
          <xdr:rowOff>885825</xdr:rowOff>
        </xdr:from>
        <xdr:to>
          <xdr:col>2</xdr:col>
          <xdr:colOff>257175</xdr:colOff>
          <xdr:row>0</xdr:row>
          <xdr:rowOff>1123950</xdr:rowOff>
        </xdr:to>
        <xdr:sp macro="" textlink="">
          <xdr:nvSpPr>
            <xdr:cNvPr id="1249" name="cmdIrFinHorizonte" hidden="1">
              <a:extLst>
                <a:ext uri="{63B3BB69-23CF-44E3-9099-C40C66FF867C}">
                  <a14:compatExt spid="_x0000_s1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352425</xdr:colOff>
          <xdr:row>0</xdr:row>
          <xdr:rowOff>885825</xdr:rowOff>
        </xdr:from>
        <xdr:to>
          <xdr:col>1</xdr:col>
          <xdr:colOff>638175</xdr:colOff>
          <xdr:row>0</xdr:row>
          <xdr:rowOff>1123950</xdr:rowOff>
        </xdr:to>
        <xdr:sp macro="" textlink="">
          <xdr:nvSpPr>
            <xdr:cNvPr id="1259" name="cmdIrPrimerCampo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781050</xdr:colOff>
          <xdr:row>0</xdr:row>
          <xdr:rowOff>885825</xdr:rowOff>
        </xdr:from>
        <xdr:to>
          <xdr:col>0</xdr:col>
          <xdr:colOff>971550</xdr:colOff>
          <xdr:row>0</xdr:row>
          <xdr:rowOff>1123950</xdr:rowOff>
        </xdr:to>
        <xdr:sp macro="" textlink="">
          <xdr:nvSpPr>
            <xdr:cNvPr id="1284" name="cmdAnadeRegistro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962025</xdr:colOff>
          <xdr:row>0</xdr:row>
          <xdr:rowOff>885825</xdr:rowOff>
        </xdr:from>
        <xdr:to>
          <xdr:col>0</xdr:col>
          <xdr:colOff>1152525</xdr:colOff>
          <xdr:row>0</xdr:row>
          <xdr:rowOff>1123950</xdr:rowOff>
        </xdr:to>
        <xdr:sp macro="" textlink="">
          <xdr:nvSpPr>
            <xdr:cNvPr id="1285" name="cmdBorraRegistro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466725</xdr:colOff>
          <xdr:row>0</xdr:row>
          <xdr:rowOff>1104900</xdr:rowOff>
        </xdr:from>
        <xdr:to>
          <xdr:col>0</xdr:col>
          <xdr:colOff>638175</xdr:colOff>
          <xdr:row>0</xdr:row>
          <xdr:rowOff>1343025</xdr:rowOff>
        </xdr:to>
        <xdr:sp macro="" textlink="">
          <xdr:nvSpPr>
            <xdr:cNvPr id="1287" name="cmdAscendente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628650</xdr:colOff>
          <xdr:row>0</xdr:row>
          <xdr:rowOff>1104900</xdr:rowOff>
        </xdr:from>
        <xdr:to>
          <xdr:col>0</xdr:col>
          <xdr:colOff>800100</xdr:colOff>
          <xdr:row>0</xdr:row>
          <xdr:rowOff>1343025</xdr:rowOff>
        </xdr:to>
        <xdr:sp macro="" textlink="">
          <xdr:nvSpPr>
            <xdr:cNvPr id="1289" name="cmdDescendente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1152525</xdr:colOff>
          <xdr:row>0</xdr:row>
          <xdr:rowOff>885825</xdr:rowOff>
        </xdr:from>
        <xdr:to>
          <xdr:col>1</xdr:col>
          <xdr:colOff>76200</xdr:colOff>
          <xdr:row>0</xdr:row>
          <xdr:rowOff>1123950</xdr:rowOff>
        </xdr:to>
        <xdr:sp macro="" textlink="">
          <xdr:nvSpPr>
            <xdr:cNvPr id="1292" name="cmdEliminaColumnaHorizonte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647700</xdr:rowOff>
        </xdr:from>
        <xdr:to>
          <xdr:col>2</xdr:col>
          <xdr:colOff>933450</xdr:colOff>
          <xdr:row>0</xdr:row>
          <xdr:rowOff>885825</xdr:rowOff>
        </xdr:to>
        <xdr:sp macro="" textlink="">
          <xdr:nvSpPr>
            <xdr:cNvPr id="1352" name="cmdPosponer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0</xdr:row>
          <xdr:rowOff>647700</xdr:rowOff>
        </xdr:from>
        <xdr:to>
          <xdr:col>1</xdr:col>
          <xdr:colOff>400050</xdr:colOff>
          <xdr:row>0</xdr:row>
          <xdr:rowOff>809625</xdr:rowOff>
        </xdr:to>
        <xdr:pic macro="[0]!Guarda_Controles_Varias_Hojas">
          <xdr:nvPicPr>
            <xdr:cNvPr id="1358" name="fotUsuario"/>
            <xdr:cNvPicPr>
              <a:picLocks noChangeAspect="1" noChangeArrowheads="1"/>
              <a:extLst>
                <a:ext uri="{84589F7E-364E-4C9E-8A38-B11213B215E9}">
                  <a14:cameraTool cellRange="USUARIO" spid="_x0000_s747049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8575" y="647700"/>
              <a:ext cx="1638300" cy="1619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504825</xdr:colOff>
          <xdr:row>0</xdr:row>
          <xdr:rowOff>1095375</xdr:rowOff>
        </xdr:from>
        <xdr:to>
          <xdr:col>3</xdr:col>
          <xdr:colOff>876300</xdr:colOff>
          <xdr:row>0</xdr:row>
          <xdr:rowOff>1323975</xdr:rowOff>
        </xdr:to>
        <xdr:sp macro="" textlink="">
          <xdr:nvSpPr>
            <xdr:cNvPr id="1366" name="cboCampos" hidden="1">
              <a:extLst>
                <a:ext uri="{63B3BB69-23CF-44E3-9099-C40C66FF867C}">
                  <a14:compatExt spid="_x0000_s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628650</xdr:colOff>
          <xdr:row>0</xdr:row>
          <xdr:rowOff>647700</xdr:rowOff>
        </xdr:from>
        <xdr:to>
          <xdr:col>3</xdr:col>
          <xdr:colOff>876300</xdr:colOff>
          <xdr:row>0</xdr:row>
          <xdr:rowOff>885825</xdr:rowOff>
        </xdr:to>
        <xdr:sp macro="" textlink="">
          <xdr:nvSpPr>
            <xdr:cNvPr id="46011" name="cmdAyuda" hidden="1">
              <a:extLst>
                <a:ext uri="{63B3BB69-23CF-44E3-9099-C40C66FF867C}">
                  <a14:compatExt spid="_x0000_s46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647700</xdr:rowOff>
        </xdr:from>
        <xdr:to>
          <xdr:col>3</xdr:col>
          <xdr:colOff>447675</xdr:colOff>
          <xdr:row>0</xdr:row>
          <xdr:rowOff>885825</xdr:rowOff>
        </xdr:to>
        <xdr:sp macro="" textlink="">
          <xdr:nvSpPr>
            <xdr:cNvPr id="352980" name="txtDiasGrafico" hidden="1">
              <a:extLst>
                <a:ext uri="{63B3BB69-23CF-44E3-9099-C40C66FF867C}">
                  <a14:compatExt spid="_x0000_s352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685800</xdr:colOff>
          <xdr:row>0</xdr:row>
          <xdr:rowOff>904875</xdr:rowOff>
        </xdr:from>
        <xdr:to>
          <xdr:col>3</xdr:col>
          <xdr:colOff>876300</xdr:colOff>
          <xdr:row>0</xdr:row>
          <xdr:rowOff>1095375</xdr:rowOff>
        </xdr:to>
        <xdr:sp macro="" textlink="">
          <xdr:nvSpPr>
            <xdr:cNvPr id="399810" name="cmdBuscarTexto" hidden="1">
              <a:extLst>
                <a:ext uri="{63B3BB69-23CF-44E3-9099-C40C66FF867C}">
                  <a14:compatExt spid="_x0000_s399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28575</xdr:colOff>
          <xdr:row>0</xdr:row>
          <xdr:rowOff>1104900</xdr:rowOff>
        </xdr:from>
        <xdr:to>
          <xdr:col>1</xdr:col>
          <xdr:colOff>266700</xdr:colOff>
          <xdr:row>0</xdr:row>
          <xdr:rowOff>1343025</xdr:rowOff>
        </xdr:to>
        <xdr:sp macro="" textlink="">
          <xdr:nvSpPr>
            <xdr:cNvPr id="400005" name="cmdDuplicados" hidden="1">
              <a:extLst>
                <a:ext uri="{63B3BB69-23CF-44E3-9099-C40C66FF867C}">
                  <a14:compatExt spid="_x0000_s400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342900</xdr:colOff>
          <xdr:row>0</xdr:row>
          <xdr:rowOff>1104900</xdr:rowOff>
        </xdr:from>
        <xdr:to>
          <xdr:col>1</xdr:col>
          <xdr:colOff>581025</xdr:colOff>
          <xdr:row>0</xdr:row>
          <xdr:rowOff>1343025</xdr:rowOff>
        </xdr:to>
        <xdr:sp macro="" textlink="">
          <xdr:nvSpPr>
            <xdr:cNvPr id="400139" name="cmdCeldasVisibles" hidden="1">
              <a:extLst>
                <a:ext uri="{63B3BB69-23CF-44E3-9099-C40C66FF867C}">
                  <a14:compatExt spid="_x0000_s400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581025</xdr:colOff>
          <xdr:row>0</xdr:row>
          <xdr:rowOff>1104900</xdr:rowOff>
        </xdr:from>
        <xdr:to>
          <xdr:col>1</xdr:col>
          <xdr:colOff>819150</xdr:colOff>
          <xdr:row>0</xdr:row>
          <xdr:rowOff>1343025</xdr:rowOff>
        </xdr:to>
        <xdr:sp macro="" textlink="">
          <xdr:nvSpPr>
            <xdr:cNvPr id="400160" name="cmdCeldasBlanco" hidden="1">
              <a:extLst>
                <a:ext uri="{63B3BB69-23CF-44E3-9099-C40C66FF867C}">
                  <a14:compatExt spid="_x0000_s400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962025</xdr:colOff>
          <xdr:row>0</xdr:row>
          <xdr:rowOff>885825</xdr:rowOff>
        </xdr:from>
        <xdr:to>
          <xdr:col>0</xdr:col>
          <xdr:colOff>1152525</xdr:colOff>
          <xdr:row>0</xdr:row>
          <xdr:rowOff>1123950</xdr:rowOff>
        </xdr:to>
        <xdr:sp macro="" textlink="">
          <xdr:nvSpPr>
            <xdr:cNvPr id="400204" name="cmdDesprotege" hidden="1">
              <a:extLst>
                <a:ext uri="{63B3BB69-23CF-44E3-9099-C40C66FF867C}">
                  <a14:compatExt spid="_x0000_s400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1038225</xdr:colOff>
          <xdr:row>0</xdr:row>
          <xdr:rowOff>1104900</xdr:rowOff>
        </xdr:from>
        <xdr:to>
          <xdr:col>1</xdr:col>
          <xdr:colOff>28575</xdr:colOff>
          <xdr:row>0</xdr:row>
          <xdr:rowOff>1343025</xdr:rowOff>
        </xdr:to>
        <xdr:sp macro="" textlink="">
          <xdr:nvSpPr>
            <xdr:cNvPr id="1298" name="cmdOrdenaColores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800100</xdr:colOff>
          <xdr:row>0</xdr:row>
          <xdr:rowOff>1104900</xdr:rowOff>
        </xdr:from>
        <xdr:to>
          <xdr:col>0</xdr:col>
          <xdr:colOff>1057275</xdr:colOff>
          <xdr:row>0</xdr:row>
          <xdr:rowOff>1343025</xdr:rowOff>
        </xdr:to>
        <xdr:sp macro="" textlink="">
          <xdr:nvSpPr>
            <xdr:cNvPr id="1324" name="cmdOrdenamientoMultiple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107155</xdr:colOff>
      <xdr:row>0</xdr:row>
      <xdr:rowOff>23811</xdr:rowOff>
    </xdr:from>
    <xdr:to>
      <xdr:col>5</xdr:col>
      <xdr:colOff>1632655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BODEG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ODEG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03218" y="23811"/>
              <a:ext cx="1525500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6</xdr:col>
      <xdr:colOff>1020690</xdr:colOff>
      <xdr:row>0</xdr:row>
      <xdr:rowOff>23811</xdr:rowOff>
    </xdr:from>
    <xdr:to>
      <xdr:col>7</xdr:col>
      <xdr:colOff>583402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Estatu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90909" y="23811"/>
              <a:ext cx="1015274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7</xdr:col>
      <xdr:colOff>595308</xdr:colOff>
      <xdr:row>0</xdr:row>
      <xdr:rowOff>23811</xdr:rowOff>
    </xdr:from>
    <xdr:to>
      <xdr:col>8</xdr:col>
      <xdr:colOff>238123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Clasificació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ifica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18089" y="23811"/>
              <a:ext cx="1154909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5</xdr:col>
      <xdr:colOff>1643179</xdr:colOff>
      <xdr:row>0</xdr:row>
      <xdr:rowOff>23811</xdr:rowOff>
    </xdr:from>
    <xdr:to>
      <xdr:col>6</xdr:col>
      <xdr:colOff>94157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Responsabl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sponsabl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39242" y="23811"/>
              <a:ext cx="1225134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8</xdr:col>
      <xdr:colOff>250029</xdr:colOff>
      <xdr:row>0</xdr:row>
      <xdr:rowOff>23811</xdr:rowOff>
    </xdr:from>
    <xdr:to>
      <xdr:col>9</xdr:col>
      <xdr:colOff>263161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Provee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e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584904" y="23811"/>
              <a:ext cx="1525226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9</xdr:col>
      <xdr:colOff>273683</xdr:colOff>
      <xdr:row>0</xdr:row>
      <xdr:rowOff>23811</xdr:rowOff>
    </xdr:from>
    <xdr:to>
      <xdr:col>10</xdr:col>
      <xdr:colOff>273837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Perfil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fi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20652" y="23811"/>
              <a:ext cx="1512248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6</xdr:col>
      <xdr:colOff>104681</xdr:colOff>
      <xdr:row>0</xdr:row>
      <xdr:rowOff>23811</xdr:rowOff>
    </xdr:from>
    <xdr:to>
      <xdr:col>6</xdr:col>
      <xdr:colOff>1000125</xdr:colOff>
      <xdr:row>0</xdr:row>
      <xdr:rowOff>1319811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Col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74900" y="23811"/>
              <a:ext cx="895444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10</xdr:col>
      <xdr:colOff>292894</xdr:colOff>
      <xdr:row>0</xdr:row>
      <xdr:rowOff>23812</xdr:rowOff>
    </xdr:from>
    <xdr:to>
      <xdr:col>11</xdr:col>
      <xdr:colOff>119063</xdr:colOff>
      <xdr:row>0</xdr:row>
      <xdr:rowOff>1319812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Ult Cambi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lt Camb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51957" y="23812"/>
              <a:ext cx="1338262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 de tabla. La segmentación de datos de tabla se admite en Excel 2013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 fLocksWithSheet="0"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1038225</xdr:colOff>
          <xdr:row>0</xdr:row>
          <xdr:rowOff>1104900</xdr:rowOff>
        </xdr:from>
        <xdr:to>
          <xdr:col>2</xdr:col>
          <xdr:colOff>104775</xdr:colOff>
          <xdr:row>0</xdr:row>
          <xdr:rowOff>1343025</xdr:rowOff>
        </xdr:to>
        <xdr:sp macro="" textlink="">
          <xdr:nvSpPr>
            <xdr:cNvPr id="651144" name="cmdMalAtendidos" hidden="1">
              <a:extLst>
                <a:ext uri="{63B3BB69-23CF-44E3-9099-C40C66FF867C}">
                  <a14:compatExt spid="_x0000_s65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0</xdr:row>
          <xdr:rowOff>142875</xdr:rowOff>
        </xdr:from>
        <xdr:to>
          <xdr:col>2</xdr:col>
          <xdr:colOff>752475</xdr:colOff>
          <xdr:row>2</xdr:row>
          <xdr:rowOff>9525</xdr:rowOff>
        </xdr:to>
        <xdr:sp macro="" textlink="">
          <xdr:nvSpPr>
            <xdr:cNvPr id="763905" name="cmd_Volver" hidden="1">
              <a:extLst>
                <a:ext uri="{63B3BB69-23CF-44E3-9099-C40C66FF867C}">
                  <a14:compatExt spid="_x0000_s76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2</xdr:row>
          <xdr:rowOff>19050</xdr:rowOff>
        </xdr:from>
        <xdr:to>
          <xdr:col>2</xdr:col>
          <xdr:colOff>742950</xdr:colOff>
          <xdr:row>3</xdr:row>
          <xdr:rowOff>123825</xdr:rowOff>
        </xdr:to>
        <xdr:sp macro="" textlink="">
          <xdr:nvSpPr>
            <xdr:cNvPr id="763906" name="cmdIr" hidden="1">
              <a:extLst>
                <a:ext uri="{63B3BB69-23CF-44E3-9099-C40C66FF867C}">
                  <a14:compatExt spid="_x0000_s763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38100</xdr:rowOff>
        </xdr:from>
        <xdr:to>
          <xdr:col>7</xdr:col>
          <xdr:colOff>180975</xdr:colOff>
          <xdr:row>0</xdr:row>
          <xdr:rowOff>266700</xdr:rowOff>
        </xdr:to>
        <xdr:sp macro="" textlink="">
          <xdr:nvSpPr>
            <xdr:cNvPr id="698369" name="volver" hidden="1">
              <a:extLst>
                <a:ext uri="{63B3BB69-23CF-44E3-9099-C40C66FF867C}">
                  <a14:compatExt spid="_x0000_s69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38100</xdr:rowOff>
        </xdr:from>
        <xdr:to>
          <xdr:col>7</xdr:col>
          <xdr:colOff>180975</xdr:colOff>
          <xdr:row>0</xdr:row>
          <xdr:rowOff>266700</xdr:rowOff>
        </xdr:to>
        <xdr:sp macro="" textlink="">
          <xdr:nvSpPr>
            <xdr:cNvPr id="755713" name="volver" hidden="1">
              <a:extLst>
                <a:ext uri="{63B3BB69-23CF-44E3-9099-C40C66FF867C}">
                  <a14:compatExt spid="_x0000_s755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0</xdr:row>
          <xdr:rowOff>9525</xdr:rowOff>
        </xdr:from>
        <xdr:to>
          <xdr:col>6</xdr:col>
          <xdr:colOff>161925</xdr:colOff>
          <xdr:row>1</xdr:row>
          <xdr:rowOff>38100</xdr:rowOff>
        </xdr:to>
        <xdr:sp macro="" textlink="">
          <xdr:nvSpPr>
            <xdr:cNvPr id="404481" name="cmdVolver" hidden="1">
              <a:extLst>
                <a:ext uri="{63B3BB69-23CF-44E3-9099-C40C66FF867C}">
                  <a14:compatExt spid="_x0000_s404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38099</xdr:rowOff>
    </xdr:from>
    <xdr:to>
      <xdr:col>7</xdr:col>
      <xdr:colOff>371475</xdr:colOff>
      <xdr:row>11</xdr:row>
      <xdr:rowOff>19049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61949"/>
          <a:ext cx="5876925" cy="1438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0</xdr:col>
          <xdr:colOff>466725</xdr:colOff>
          <xdr:row>1</xdr:row>
          <xdr:rowOff>133350</xdr:rowOff>
        </xdr:to>
        <xdr:sp macro="" textlink="">
          <xdr:nvSpPr>
            <xdr:cNvPr id="87045" name="cmdVolver" hidden="1">
              <a:extLst>
                <a:ext uri="{63B3BB69-23CF-44E3-9099-C40C66FF867C}">
                  <a14:compatExt spid="_x0000_s87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800100</xdr:colOff>
      <xdr:row>5</xdr:row>
      <xdr:rowOff>19050</xdr:rowOff>
    </xdr:from>
    <xdr:to>
      <xdr:col>0</xdr:col>
      <xdr:colOff>1009650</xdr:colOff>
      <xdr:row>6</xdr:row>
      <xdr:rowOff>76200</xdr:rowOff>
    </xdr:to>
    <xdr:sp macro="" textlink="">
      <xdr:nvSpPr>
        <xdr:cNvPr id="15" name="Llamada con línea 1 (sin borde) 14"/>
        <xdr:cNvSpPr/>
      </xdr:nvSpPr>
      <xdr:spPr>
        <a:xfrm>
          <a:off x="800100" y="828675"/>
          <a:ext cx="209550" cy="219075"/>
        </a:xfrm>
        <a:prstGeom prst="callout1">
          <a:avLst>
            <a:gd name="adj1" fmla="val 49184"/>
            <a:gd name="adj2" fmla="val 14393"/>
            <a:gd name="adj3" fmla="val 112499"/>
            <a:gd name="adj4" fmla="val -74697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4</a:t>
          </a:r>
        </a:p>
      </xdr:txBody>
    </xdr:sp>
    <xdr:clientData/>
  </xdr:twoCellAnchor>
  <xdr:twoCellAnchor>
    <xdr:from>
      <xdr:col>2</xdr:col>
      <xdr:colOff>0</xdr:colOff>
      <xdr:row>0</xdr:row>
      <xdr:rowOff>152400</xdr:rowOff>
    </xdr:from>
    <xdr:to>
      <xdr:col>2</xdr:col>
      <xdr:colOff>209550</xdr:colOff>
      <xdr:row>2</xdr:row>
      <xdr:rowOff>47625</xdr:rowOff>
    </xdr:to>
    <xdr:sp macro="" textlink="">
      <xdr:nvSpPr>
        <xdr:cNvPr id="29" name="Llamada con línea 1 (sin borde) 28"/>
        <xdr:cNvSpPr/>
      </xdr:nvSpPr>
      <xdr:spPr>
        <a:xfrm>
          <a:off x="1581150" y="152400"/>
          <a:ext cx="209550" cy="219075"/>
        </a:xfrm>
        <a:prstGeom prst="callout1">
          <a:avLst>
            <a:gd name="adj1" fmla="val 49184"/>
            <a:gd name="adj2" fmla="val 14393"/>
            <a:gd name="adj3" fmla="val 112499"/>
            <a:gd name="adj4" fmla="val -74697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1</a:t>
          </a:r>
        </a:p>
      </xdr:txBody>
    </xdr:sp>
    <xdr:clientData/>
  </xdr:twoCellAnchor>
  <xdr:twoCellAnchor>
    <xdr:from>
      <xdr:col>2</xdr:col>
      <xdr:colOff>447675</xdr:colOff>
      <xdr:row>2</xdr:row>
      <xdr:rowOff>9525</xdr:rowOff>
    </xdr:from>
    <xdr:to>
      <xdr:col>2</xdr:col>
      <xdr:colOff>657225</xdr:colOff>
      <xdr:row>3</xdr:row>
      <xdr:rowOff>66675</xdr:rowOff>
    </xdr:to>
    <xdr:sp macro="" textlink="">
      <xdr:nvSpPr>
        <xdr:cNvPr id="30" name="Llamada con línea 1 (sin borde) 29"/>
        <xdr:cNvSpPr/>
      </xdr:nvSpPr>
      <xdr:spPr>
        <a:xfrm>
          <a:off x="2143125" y="333375"/>
          <a:ext cx="209550" cy="219075"/>
        </a:xfrm>
        <a:prstGeom prst="callout1">
          <a:avLst>
            <a:gd name="adj1" fmla="val 49184"/>
            <a:gd name="adj2" fmla="val 14393"/>
            <a:gd name="adj3" fmla="val 112499"/>
            <a:gd name="adj4" fmla="val -74697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2</a:t>
          </a:r>
        </a:p>
      </xdr:txBody>
    </xdr:sp>
    <xdr:clientData/>
  </xdr:twoCellAnchor>
  <xdr:twoCellAnchor>
    <xdr:from>
      <xdr:col>3</xdr:col>
      <xdr:colOff>333375</xdr:colOff>
      <xdr:row>1</xdr:row>
      <xdr:rowOff>114300</xdr:rowOff>
    </xdr:from>
    <xdr:to>
      <xdr:col>3</xdr:col>
      <xdr:colOff>542925</xdr:colOff>
      <xdr:row>3</xdr:row>
      <xdr:rowOff>9525</xdr:rowOff>
    </xdr:to>
    <xdr:sp macro="" textlink="">
      <xdr:nvSpPr>
        <xdr:cNvPr id="31" name="Llamada con línea 1 (sin borde) 30"/>
        <xdr:cNvSpPr/>
      </xdr:nvSpPr>
      <xdr:spPr>
        <a:xfrm>
          <a:off x="2676525" y="276225"/>
          <a:ext cx="209550" cy="219075"/>
        </a:xfrm>
        <a:prstGeom prst="callout1">
          <a:avLst>
            <a:gd name="adj1" fmla="val 49184"/>
            <a:gd name="adj2" fmla="val 14393"/>
            <a:gd name="adj3" fmla="val 112499"/>
            <a:gd name="adj4" fmla="val -74697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3</a:t>
          </a:r>
        </a:p>
      </xdr:txBody>
    </xdr:sp>
    <xdr:clientData/>
  </xdr:twoCellAnchor>
  <xdr:twoCellAnchor>
    <xdr:from>
      <xdr:col>2</xdr:col>
      <xdr:colOff>133350</xdr:colOff>
      <xdr:row>4</xdr:row>
      <xdr:rowOff>114300</xdr:rowOff>
    </xdr:from>
    <xdr:to>
      <xdr:col>3</xdr:col>
      <xdr:colOff>47625</xdr:colOff>
      <xdr:row>6</xdr:row>
      <xdr:rowOff>9525</xdr:rowOff>
    </xdr:to>
    <xdr:sp macro="" textlink="">
      <xdr:nvSpPr>
        <xdr:cNvPr id="32" name="Llamada con línea 1 (sin borde) 31"/>
        <xdr:cNvSpPr/>
      </xdr:nvSpPr>
      <xdr:spPr>
        <a:xfrm>
          <a:off x="1828800" y="762000"/>
          <a:ext cx="676275" cy="219075"/>
        </a:xfrm>
        <a:prstGeom prst="callout1">
          <a:avLst>
            <a:gd name="adj1" fmla="val 49184"/>
            <a:gd name="adj2" fmla="val 14393"/>
            <a:gd name="adj3" fmla="val 16847"/>
            <a:gd name="adj4" fmla="val -101970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5</a:t>
          </a:r>
        </a:p>
      </xdr:txBody>
    </xdr:sp>
    <xdr:clientData/>
  </xdr:twoCellAnchor>
  <xdr:twoCellAnchor>
    <xdr:from>
      <xdr:col>6</xdr:col>
      <xdr:colOff>66675</xdr:colOff>
      <xdr:row>9</xdr:row>
      <xdr:rowOff>133349</xdr:rowOff>
    </xdr:from>
    <xdr:to>
      <xdr:col>6</xdr:col>
      <xdr:colOff>409575</xdr:colOff>
      <xdr:row>11</xdr:row>
      <xdr:rowOff>104775</xdr:rowOff>
    </xdr:to>
    <xdr:sp macro="" textlink="">
      <xdr:nvSpPr>
        <xdr:cNvPr id="50" name="Llamada con línea 1 (sin borde) 49"/>
        <xdr:cNvSpPr/>
      </xdr:nvSpPr>
      <xdr:spPr>
        <a:xfrm>
          <a:off x="4810125" y="1590674"/>
          <a:ext cx="342900" cy="295276"/>
        </a:xfrm>
        <a:prstGeom prst="callout1">
          <a:avLst>
            <a:gd name="adj1" fmla="val 5499"/>
            <a:gd name="adj2" fmla="val 38549"/>
            <a:gd name="adj3" fmla="val -63658"/>
            <a:gd name="adj4" fmla="val -44099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6</a:t>
          </a:r>
        </a:p>
      </xdr:txBody>
    </xdr:sp>
    <xdr:clientData/>
  </xdr:twoCellAnchor>
  <xdr:twoCellAnchor>
    <xdr:from>
      <xdr:col>5</xdr:col>
      <xdr:colOff>142875</xdr:colOff>
      <xdr:row>10</xdr:row>
      <xdr:rowOff>152399</xdr:rowOff>
    </xdr:from>
    <xdr:to>
      <xdr:col>5</xdr:col>
      <xdr:colOff>485775</xdr:colOff>
      <xdr:row>12</xdr:row>
      <xdr:rowOff>19050</xdr:rowOff>
    </xdr:to>
    <xdr:sp macro="" textlink="">
      <xdr:nvSpPr>
        <xdr:cNvPr id="51" name="Llamada con línea 1 (sin borde) 50"/>
        <xdr:cNvSpPr/>
      </xdr:nvSpPr>
      <xdr:spPr>
        <a:xfrm>
          <a:off x="4010025" y="1771649"/>
          <a:ext cx="342900" cy="190501"/>
        </a:xfrm>
        <a:prstGeom prst="callout1">
          <a:avLst>
            <a:gd name="adj1" fmla="val 5499"/>
            <a:gd name="adj2" fmla="val 38549"/>
            <a:gd name="adj3" fmla="val -70110"/>
            <a:gd name="adj4" fmla="val 8679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7</a:t>
          </a:r>
        </a:p>
      </xdr:txBody>
    </xdr:sp>
    <xdr:clientData/>
  </xdr:twoCellAnchor>
  <xdr:twoCellAnchor editAs="oneCell">
    <xdr:from>
      <xdr:col>0</xdr:col>
      <xdr:colOff>916945</xdr:colOff>
      <xdr:row>22</xdr:row>
      <xdr:rowOff>37233</xdr:rowOff>
    </xdr:from>
    <xdr:to>
      <xdr:col>0</xdr:col>
      <xdr:colOff>1133395</xdr:colOff>
      <xdr:row>23</xdr:row>
      <xdr:rowOff>843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6945" y="3437658"/>
          <a:ext cx="216450" cy="173160"/>
        </a:xfrm>
        <a:prstGeom prst="rect">
          <a:avLst/>
        </a:prstGeom>
      </xdr:spPr>
    </xdr:pic>
    <xdr:clientData/>
  </xdr:twoCellAnchor>
  <xdr:twoCellAnchor editAs="oneCell">
    <xdr:from>
      <xdr:col>0</xdr:col>
      <xdr:colOff>925170</xdr:colOff>
      <xdr:row>24</xdr:row>
      <xdr:rowOff>35117</xdr:rowOff>
    </xdr:from>
    <xdr:to>
      <xdr:col>0</xdr:col>
      <xdr:colOff>1125170</xdr:colOff>
      <xdr:row>25</xdr:row>
      <xdr:rowOff>6519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5170" y="3854642"/>
          <a:ext cx="200000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914290</xdr:colOff>
      <xdr:row>25</xdr:row>
      <xdr:rowOff>33193</xdr:rowOff>
    </xdr:from>
    <xdr:to>
      <xdr:col>0</xdr:col>
      <xdr:colOff>1114290</xdr:colOff>
      <xdr:row>26</xdr:row>
      <xdr:rowOff>4595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4290" y="4062268"/>
          <a:ext cx="200000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933338</xdr:colOff>
      <xdr:row>26</xdr:row>
      <xdr:rowOff>31269</xdr:rowOff>
    </xdr:from>
    <xdr:to>
      <xdr:col>0</xdr:col>
      <xdr:colOff>1114290</xdr:colOff>
      <xdr:row>26</xdr:row>
      <xdr:rowOff>202698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33338" y="4269894"/>
          <a:ext cx="180952" cy="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933338</xdr:colOff>
      <xdr:row>27</xdr:row>
      <xdr:rowOff>19822</xdr:rowOff>
    </xdr:from>
    <xdr:to>
      <xdr:col>0</xdr:col>
      <xdr:colOff>1114290</xdr:colOff>
      <xdr:row>27</xdr:row>
      <xdr:rowOff>200774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33338" y="4467997"/>
          <a:ext cx="180952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961909</xdr:colOff>
      <xdr:row>28</xdr:row>
      <xdr:rowOff>17898</xdr:rowOff>
    </xdr:from>
    <xdr:to>
      <xdr:col>0</xdr:col>
      <xdr:colOff>1114290</xdr:colOff>
      <xdr:row>28</xdr:row>
      <xdr:rowOff>198850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61909" y="4675623"/>
          <a:ext cx="152381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923814</xdr:colOff>
      <xdr:row>29</xdr:row>
      <xdr:rowOff>15974</xdr:rowOff>
    </xdr:from>
    <xdr:to>
      <xdr:col>0</xdr:col>
      <xdr:colOff>1114290</xdr:colOff>
      <xdr:row>29</xdr:row>
      <xdr:rowOff>206450</xdr:rowOff>
    </xdr:to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23814" y="4883249"/>
          <a:ext cx="190476" cy="1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923814</xdr:colOff>
      <xdr:row>30</xdr:row>
      <xdr:rowOff>23574</xdr:rowOff>
    </xdr:from>
    <xdr:to>
      <xdr:col>0</xdr:col>
      <xdr:colOff>1114290</xdr:colOff>
      <xdr:row>31</xdr:row>
      <xdr:rowOff>14024</xdr:rowOff>
    </xdr:to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23814" y="5100399"/>
          <a:ext cx="190476" cy="2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876195</xdr:colOff>
      <xdr:row>31</xdr:row>
      <xdr:rowOff>40695</xdr:rowOff>
    </xdr:from>
    <xdr:to>
      <xdr:col>0</xdr:col>
      <xdr:colOff>1114290</xdr:colOff>
      <xdr:row>32</xdr:row>
      <xdr:rowOff>12097</xdr:rowOff>
    </xdr:to>
    <xdr:pic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76195" y="5327070"/>
          <a:ext cx="238095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933338</xdr:colOff>
      <xdr:row>32</xdr:row>
      <xdr:rowOff>58879</xdr:rowOff>
    </xdr:from>
    <xdr:to>
      <xdr:col>0</xdr:col>
      <xdr:colOff>1114290</xdr:colOff>
      <xdr:row>33</xdr:row>
      <xdr:rowOff>1710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33338" y="5554804"/>
          <a:ext cx="180952" cy="1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819052</xdr:colOff>
      <xdr:row>33</xdr:row>
      <xdr:rowOff>38967</xdr:rowOff>
    </xdr:from>
    <xdr:to>
      <xdr:col>0</xdr:col>
      <xdr:colOff>1114290</xdr:colOff>
      <xdr:row>34</xdr:row>
      <xdr:rowOff>846</xdr:rowOff>
    </xdr:to>
    <xdr:pic>
      <xdr:nvPicPr>
        <xdr:cNvPr id="18" name="Imagen 17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19052" y="5744442"/>
          <a:ext cx="295238" cy="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35</xdr:row>
      <xdr:rowOff>28575</xdr:rowOff>
    </xdr:from>
    <xdr:to>
      <xdr:col>0</xdr:col>
      <xdr:colOff>1114290</xdr:colOff>
      <xdr:row>36</xdr:row>
      <xdr:rowOff>19025</xdr:rowOff>
    </xdr:to>
    <xdr:pic>
      <xdr:nvPicPr>
        <xdr:cNvPr id="19" name="Imagen 18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8100" y="6153150"/>
          <a:ext cx="1076190" cy="2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933338</xdr:colOff>
      <xdr:row>41</xdr:row>
      <xdr:rowOff>57150</xdr:rowOff>
    </xdr:from>
    <xdr:to>
      <xdr:col>0</xdr:col>
      <xdr:colOff>1114290</xdr:colOff>
      <xdr:row>42</xdr:row>
      <xdr:rowOff>19029</xdr:rowOff>
    </xdr:to>
    <xdr:pic>
      <xdr:nvPicPr>
        <xdr:cNvPr id="20" name="Imagen 19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33338" y="7439025"/>
          <a:ext cx="180952" cy="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923814</xdr:colOff>
      <xdr:row>42</xdr:row>
      <xdr:rowOff>19050</xdr:rowOff>
    </xdr:from>
    <xdr:to>
      <xdr:col>0</xdr:col>
      <xdr:colOff>1114290</xdr:colOff>
      <xdr:row>42</xdr:row>
      <xdr:rowOff>209526</xdr:rowOff>
    </xdr:to>
    <xdr:pic>
      <xdr:nvPicPr>
        <xdr:cNvPr id="21" name="Imagen 20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3814" y="8029575"/>
          <a:ext cx="190476" cy="1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857147</xdr:colOff>
      <xdr:row>43</xdr:row>
      <xdr:rowOff>47623</xdr:rowOff>
    </xdr:from>
    <xdr:to>
      <xdr:col>0</xdr:col>
      <xdr:colOff>1114290</xdr:colOff>
      <xdr:row>44</xdr:row>
      <xdr:rowOff>9502</xdr:rowOff>
    </xdr:to>
    <xdr:pic>
      <xdr:nvPicPr>
        <xdr:cNvPr id="22" name="Imagen 21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857147" y="8267698"/>
          <a:ext cx="257143" cy="1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914290</xdr:colOff>
      <xdr:row>44</xdr:row>
      <xdr:rowOff>57150</xdr:rowOff>
    </xdr:from>
    <xdr:to>
      <xdr:col>0</xdr:col>
      <xdr:colOff>1114290</xdr:colOff>
      <xdr:row>45</xdr:row>
      <xdr:rowOff>9505</xdr:rowOff>
    </xdr:to>
    <xdr:pic>
      <xdr:nvPicPr>
        <xdr:cNvPr id="24" name="Imagen 23"/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14290" y="8067675"/>
          <a:ext cx="200000" cy="161905"/>
        </a:xfrm>
        <a:prstGeom prst="rect">
          <a:avLst/>
        </a:prstGeom>
      </xdr:spPr>
    </xdr:pic>
    <xdr:clientData/>
  </xdr:twoCellAnchor>
  <xdr:twoCellAnchor>
    <xdr:from>
      <xdr:col>7</xdr:col>
      <xdr:colOff>295275</xdr:colOff>
      <xdr:row>6</xdr:row>
      <xdr:rowOff>57149</xdr:rowOff>
    </xdr:from>
    <xdr:to>
      <xdr:col>7</xdr:col>
      <xdr:colOff>638175</xdr:colOff>
      <xdr:row>8</xdr:row>
      <xdr:rowOff>28575</xdr:rowOff>
    </xdr:to>
    <xdr:sp macro="" textlink="">
      <xdr:nvSpPr>
        <xdr:cNvPr id="57" name="Llamada con línea 1 (sin borde) 56"/>
        <xdr:cNvSpPr/>
      </xdr:nvSpPr>
      <xdr:spPr>
        <a:xfrm>
          <a:off x="5686425" y="1028699"/>
          <a:ext cx="342900" cy="295276"/>
        </a:xfrm>
        <a:prstGeom prst="callout1">
          <a:avLst>
            <a:gd name="adj1" fmla="val 5499"/>
            <a:gd name="adj2" fmla="val 38549"/>
            <a:gd name="adj3" fmla="val -63658"/>
            <a:gd name="adj4" fmla="val -44099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8</a:t>
          </a:r>
        </a:p>
      </xdr:txBody>
    </xdr:sp>
    <xdr:clientData/>
  </xdr:twoCellAnchor>
  <xdr:twoCellAnchor editAs="oneCell">
    <xdr:from>
      <xdr:col>0</xdr:col>
      <xdr:colOff>971433</xdr:colOff>
      <xdr:row>34</xdr:row>
      <xdr:rowOff>28575</xdr:rowOff>
    </xdr:from>
    <xdr:to>
      <xdr:col>0</xdr:col>
      <xdr:colOff>1114290</xdr:colOff>
      <xdr:row>34</xdr:row>
      <xdr:rowOff>209527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71433" y="5943600"/>
          <a:ext cx="142857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923814</xdr:colOff>
      <xdr:row>45</xdr:row>
      <xdr:rowOff>28575</xdr:rowOff>
    </xdr:from>
    <xdr:to>
      <xdr:col>0</xdr:col>
      <xdr:colOff>1114290</xdr:colOff>
      <xdr:row>45</xdr:row>
      <xdr:rowOff>209527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23814" y="8248650"/>
          <a:ext cx="190476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929932</xdr:colOff>
      <xdr:row>23</xdr:row>
      <xdr:rowOff>38100</xdr:rowOff>
    </xdr:from>
    <xdr:to>
      <xdr:col>0</xdr:col>
      <xdr:colOff>1120408</xdr:colOff>
      <xdr:row>24</xdr:row>
      <xdr:rowOff>9502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9932" y="3648075"/>
          <a:ext cx="190476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914400</xdr:colOff>
      <xdr:row>46</xdr:row>
      <xdr:rowOff>9510</xdr:rowOff>
    </xdr:from>
    <xdr:to>
      <xdr:col>0</xdr:col>
      <xdr:colOff>1133475</xdr:colOff>
      <xdr:row>46</xdr:row>
      <xdr:rowOff>209535</xdr:rowOff>
    </xdr:to>
    <xdr:pic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r="66172" b="-5013"/>
        <a:stretch/>
      </xdr:blipFill>
      <xdr:spPr>
        <a:xfrm>
          <a:off x="914400" y="8439135"/>
          <a:ext cx="219075" cy="200025"/>
        </a:xfrm>
        <a:prstGeom prst="rect">
          <a:avLst/>
        </a:prstGeom>
      </xdr:spPr>
    </xdr:pic>
    <xdr:clientData/>
  </xdr:twoCellAnchor>
  <xdr:twoCellAnchor editAs="oneCell">
    <xdr:from>
      <xdr:col>0</xdr:col>
      <xdr:colOff>904875</xdr:colOff>
      <xdr:row>47</xdr:row>
      <xdr:rowOff>9518</xdr:rowOff>
    </xdr:from>
    <xdr:to>
      <xdr:col>0</xdr:col>
      <xdr:colOff>1104900</xdr:colOff>
      <xdr:row>47</xdr:row>
      <xdr:rowOff>161918</xdr:rowOff>
    </xdr:to>
    <xdr:pic>
      <xdr:nvPicPr>
        <xdr:cNvPr id="33" name="Imagen 32"/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9711" t="10001" r="29403" b="9989"/>
        <a:stretch/>
      </xdr:blipFill>
      <xdr:spPr>
        <a:xfrm>
          <a:off x="904875" y="8648693"/>
          <a:ext cx="200025" cy="152400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914400</xdr:colOff>
      <xdr:row>47</xdr:row>
      <xdr:rowOff>171450</xdr:rowOff>
    </xdr:from>
    <xdr:to>
      <xdr:col>0</xdr:col>
      <xdr:colOff>1104819</xdr:colOff>
      <xdr:row>48</xdr:row>
      <xdr:rowOff>152376</xdr:rowOff>
    </xdr:to>
    <xdr:pic>
      <xdr:nvPicPr>
        <xdr:cNvPr id="34" name="Imagen 33"/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70597"/>
        <a:stretch/>
      </xdr:blipFill>
      <xdr:spPr>
        <a:xfrm>
          <a:off x="914400" y="8810625"/>
          <a:ext cx="190419" cy="190476"/>
        </a:xfrm>
        <a:prstGeom prst="rect">
          <a:avLst/>
        </a:prstGeom>
      </xdr:spPr>
    </xdr:pic>
    <xdr:clientData/>
  </xdr:twoCellAnchor>
  <xdr:twoCellAnchor>
    <xdr:from>
      <xdr:col>0</xdr:col>
      <xdr:colOff>371475</xdr:colOff>
      <xdr:row>7</xdr:row>
      <xdr:rowOff>9524</xdr:rowOff>
    </xdr:from>
    <xdr:to>
      <xdr:col>0</xdr:col>
      <xdr:colOff>714375</xdr:colOff>
      <xdr:row>8</xdr:row>
      <xdr:rowOff>142875</xdr:rowOff>
    </xdr:to>
    <xdr:sp macro="" textlink="">
      <xdr:nvSpPr>
        <xdr:cNvPr id="35" name="Llamada con línea 1 (sin borde) 34"/>
        <xdr:cNvSpPr/>
      </xdr:nvSpPr>
      <xdr:spPr>
        <a:xfrm>
          <a:off x="371475" y="1142999"/>
          <a:ext cx="342900" cy="295276"/>
        </a:xfrm>
        <a:prstGeom prst="callout1">
          <a:avLst>
            <a:gd name="adj1" fmla="val 5499"/>
            <a:gd name="adj2" fmla="val 38549"/>
            <a:gd name="adj3" fmla="val -63658"/>
            <a:gd name="adj4" fmla="val -44099"/>
          </a:avLst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100">
              <a:ln>
                <a:solidFill>
                  <a:schemeClr val="tx1"/>
                </a:solidFill>
              </a:ln>
            </a:rPr>
            <a:t>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5</xdr:row>
          <xdr:rowOff>66675</xdr:rowOff>
        </xdr:from>
        <xdr:to>
          <xdr:col>29</xdr:col>
          <xdr:colOff>561975</xdr:colOff>
          <xdr:row>7</xdr:row>
          <xdr:rowOff>104775</xdr:rowOff>
        </xdr:to>
        <xdr:sp macro="" textlink="">
          <xdr:nvSpPr>
            <xdr:cNvPr id="605186" name="Button 2" hidden="1">
              <a:extLst>
                <a:ext uri="{63B3BB69-23CF-44E3-9099-C40C66FF867C}">
                  <a14:compatExt spid="_x0000_s605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Range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10</xdr:row>
          <xdr:rowOff>85725</xdr:rowOff>
        </xdr:from>
        <xdr:to>
          <xdr:col>29</xdr:col>
          <xdr:colOff>561975</xdr:colOff>
          <xdr:row>12</xdr:row>
          <xdr:rowOff>123825</xdr:rowOff>
        </xdr:to>
        <xdr:sp macro="" textlink="">
          <xdr:nvSpPr>
            <xdr:cNvPr id="605187" name="Button 3" hidden="1">
              <a:extLst>
                <a:ext uri="{63B3BB69-23CF-44E3-9099-C40C66FF867C}">
                  <a14:compatExt spid="_x0000_s605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7</xdr:row>
          <xdr:rowOff>152400</xdr:rowOff>
        </xdr:from>
        <xdr:to>
          <xdr:col>29</xdr:col>
          <xdr:colOff>561975</xdr:colOff>
          <xdr:row>10</xdr:row>
          <xdr:rowOff>28575</xdr:rowOff>
        </xdr:to>
        <xdr:sp macro="" textlink="">
          <xdr:nvSpPr>
            <xdr:cNvPr id="605188" name="Button 4" hidden="1">
              <a:extLst>
                <a:ext uri="{63B3BB69-23CF-44E3-9099-C40C66FF867C}">
                  <a14:compatExt spid="_x0000_s605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Recalc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104775</xdr:colOff>
          <xdr:row>13</xdr:row>
          <xdr:rowOff>0</xdr:rowOff>
        </xdr:from>
        <xdr:to>
          <xdr:col>29</xdr:col>
          <xdr:colOff>561975</xdr:colOff>
          <xdr:row>15</xdr:row>
          <xdr:rowOff>47625</xdr:rowOff>
        </xdr:to>
        <xdr:sp macro="" textlink="">
          <xdr:nvSpPr>
            <xdr:cNvPr id="605189" name="Button 5" hidden="1">
              <a:extLst>
                <a:ext uri="{63B3BB69-23CF-44E3-9099-C40C66FF867C}">
                  <a14:compatExt spid="_x0000_s605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Full Calc Timer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16</xdr:row>
          <xdr:rowOff>38100</xdr:rowOff>
        </xdr:from>
        <xdr:to>
          <xdr:col>2</xdr:col>
          <xdr:colOff>4057650</xdr:colOff>
          <xdr:row>18</xdr:row>
          <xdr:rowOff>85725</xdr:rowOff>
        </xdr:to>
        <xdr:sp macro="" textlink="">
          <xdr:nvSpPr>
            <xdr:cNvPr id="607233" name="Button 1" hidden="1">
              <a:extLst>
                <a:ext uri="{63B3BB69-23CF-44E3-9099-C40C66FF867C}">
                  <a14:compatExt spid="_x0000_s60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Range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21</xdr:row>
          <xdr:rowOff>85725</xdr:rowOff>
        </xdr:from>
        <xdr:to>
          <xdr:col>2</xdr:col>
          <xdr:colOff>4057650</xdr:colOff>
          <xdr:row>23</xdr:row>
          <xdr:rowOff>133350</xdr:rowOff>
        </xdr:to>
        <xdr:sp macro="" textlink="">
          <xdr:nvSpPr>
            <xdr:cNvPr id="607234" name="Button 2" hidden="1">
              <a:extLst>
                <a:ext uri="{63B3BB69-23CF-44E3-9099-C40C66FF867C}">
                  <a14:compatExt spid="_x0000_s60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18</xdr:row>
          <xdr:rowOff>133350</xdr:rowOff>
        </xdr:from>
        <xdr:to>
          <xdr:col>2</xdr:col>
          <xdr:colOff>4057650</xdr:colOff>
          <xdr:row>21</xdr:row>
          <xdr:rowOff>19050</xdr:rowOff>
        </xdr:to>
        <xdr:sp macro="" textlink="">
          <xdr:nvSpPr>
            <xdr:cNvPr id="607235" name="Button 3" hidden="1">
              <a:extLst>
                <a:ext uri="{63B3BB69-23CF-44E3-9099-C40C66FF867C}">
                  <a14:compatExt spid="_x0000_s60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Recalc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24</xdr:row>
          <xdr:rowOff>9525</xdr:rowOff>
        </xdr:from>
        <xdr:to>
          <xdr:col>2</xdr:col>
          <xdr:colOff>4057650</xdr:colOff>
          <xdr:row>26</xdr:row>
          <xdr:rowOff>57150</xdr:rowOff>
        </xdr:to>
        <xdr:sp macro="" textlink="">
          <xdr:nvSpPr>
            <xdr:cNvPr id="607236" name="Button 4" hidden="1">
              <a:extLst>
                <a:ext uri="{63B3BB69-23CF-44E3-9099-C40C66FF867C}">
                  <a14:compatExt spid="_x0000_s60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Full Calc Timer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1419225</xdr:colOff>
          <xdr:row>0</xdr:row>
          <xdr:rowOff>0</xdr:rowOff>
        </xdr:from>
        <xdr:to>
          <xdr:col>10</xdr:col>
          <xdr:colOff>781050</xdr:colOff>
          <xdr:row>1</xdr:row>
          <xdr:rowOff>0</xdr:rowOff>
        </xdr:to>
        <xdr:sp macro="" textlink="">
          <xdr:nvSpPr>
            <xdr:cNvPr id="2049" name="cmdVolve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752475</xdr:colOff>
          <xdr:row>0</xdr:row>
          <xdr:rowOff>9525</xdr:rowOff>
        </xdr:from>
        <xdr:to>
          <xdr:col>10</xdr:col>
          <xdr:colOff>1476375</xdr:colOff>
          <xdr:row>1</xdr:row>
          <xdr:rowOff>19050</xdr:rowOff>
        </xdr:to>
        <xdr:sp macro="" textlink="">
          <xdr:nvSpPr>
            <xdr:cNvPr id="2050" name="cmdRefrescarDatos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9</xdr:col>
      <xdr:colOff>1323976</xdr:colOff>
      <xdr:row>31</xdr:row>
      <xdr:rowOff>73822</xdr:rowOff>
    </xdr:to>
    <xdr:graphicFrame macro="">
      <xdr:nvGraphicFramePr>
        <xdr:cNvPr id="3" name="Grafico_Dinamico_Buffer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0</xdr:row>
      <xdr:rowOff>0</xdr:rowOff>
    </xdr:from>
    <xdr:to>
      <xdr:col>9</xdr:col>
      <xdr:colOff>1345406</xdr:colOff>
      <xdr:row>31</xdr:row>
      <xdr:rowOff>88638</xdr:rowOff>
    </xdr:to>
    <xdr:graphicFrame macro="">
      <xdr:nvGraphicFramePr>
        <xdr:cNvPr id="2" name="Gráfico Zonas Buffer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RAMCAS\RAM%20CAS\MEJORA%20CONTINUA\CENTRAL%20CONTROL%20BUFF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OCONTROL"/>
      <sheetName val="Ayuda"/>
      <sheetName val="Todas"/>
      <sheetName val="Fechas_Refrescado"/>
      <sheetName val="Directorios"/>
      <sheetName val="EMPRESA"/>
      <sheetName val="EMPRESABODEGA"/>
      <sheetName val="ARCHIVOSCB"/>
      <sheetName val="ARCHIVOSBODEGAS"/>
      <sheetName val="PERFIL"/>
      <sheetName val="PROVEEDORES"/>
      <sheetName val="DIAS_RESTANTES"/>
      <sheetName val="NUMERO_ITEMS"/>
      <sheetName val="TRANSFERENCIAS"/>
      <sheetName val="ITEMS_EMPRESA"/>
      <sheetName val="PATH"/>
      <sheetName val="AUX"/>
      <sheetName val="BorraTransfer"/>
      <sheetName val="ITEMS_SELECCIONADOS"/>
      <sheetName val="DURACION"/>
      <sheetName val="Parametros"/>
      <sheetName val="Alertas"/>
      <sheetName val="USER"/>
      <sheetName val="ArchivosPermitidos"/>
      <sheetName val="CENTRAL CONTROL BUFFERS"/>
    </sheetNames>
    <definedNames>
      <definedName name="FECHAINVFISICO"/>
      <definedName name="FINPERIODO"/>
      <definedName name="INIPERIOD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RAMCAS" refreshedDate="42815.421181481484" refreshedVersion="5" recordCount="0">
  <cacheSource type="external" connectionId="3"/>
  <cacheFields count="16">
    <cacheField name="EMPRESA_CODIGO" numFmtId="0" sqlType="12">
      <sharedItems containsSemiMixedTypes="0" containsString="0"/>
    </cacheField>
    <cacheField name="EMPRESA_NOMBRE" numFmtId="0" sqlType="12">
      <sharedItems containsSemiMixedTypes="0" containsString="0"/>
    </cacheField>
    <cacheField name="BODEGA_CODIGO" numFmtId="0" sqlType="12">
      <sharedItems containsSemiMixedTypes="0" containsString="0"/>
    </cacheField>
    <cacheField name="BODEGA_NOMBRE" numFmtId="0" sqlType="12">
      <sharedItems count="2">
        <s v="Bodega Central Agrota" u="1"/>
        <s v="PRODUCTO TERMINADO" u="1"/>
      </sharedItems>
    </cacheField>
    <cacheField name="CODIGO" numFmtId="0" sqlType="12">
      <sharedItems count="3229">
        <s v="140122102054280" u="1"/>
        <s v="110107110548734" u="1"/>
        <s v="111201094307160" u="1"/>
        <s v="140604161114866" u="1"/>
        <s v="120123155040006" u="1"/>
        <s v="140327095900069" u="1"/>
        <s v="110126114541063" u="1"/>
        <s v="110107110815546" u="1"/>
        <s v="131111173946208" u="1"/>
        <s v="110126132712013" u="1"/>
        <s v="10102013241613" u="1"/>
        <s v="140401152605554" u="1"/>
        <s v="150513161013961" u="1"/>
        <s v="130916150108684" u="1"/>
        <s v="10102013245567" u="1"/>
        <s v="110105215355796" u="1"/>
        <s v="131118120003275" u="1"/>
        <s v="110106111802732" u="1"/>
        <s v="10102013242221" u="1"/>
        <s v="131119152723591" u="1"/>
        <s v="120328131554850" u="1"/>
        <s v="120320125208697" u="1"/>
        <s v="110225141644947" u="1"/>
        <s v="131126085021458" u="1"/>
        <s v="111123131103177" u="1"/>
        <s v="110105205057920" u="1"/>
        <s v="110126162900542" u="1"/>
        <s v="110209123918947" u="1"/>
        <s v="131118115455502" u="1"/>
        <s v="110113123107690" u="1"/>
        <s v="130503122035092" u="1"/>
        <s v="10000000980" u="1"/>
        <s v="10000000040" u="1"/>
        <s v="10000000981" u="1"/>
        <s v="10000000041" u="1"/>
        <s v="140910160027476" u="1"/>
        <s v="110111173831205" u="1"/>
        <s v="110105211245146" u="1"/>
        <s v="131120090232556" u="1"/>
        <s v="10000000042" u="1"/>
        <s v="130515111717443" u="1"/>
        <s v="110126160604660" u="1"/>
        <s v="130805090633873" u="1"/>
        <s v="130503111903960" u="1"/>
        <s v="10000000043" u="1"/>
        <s v="150522083907926" u="1"/>
        <s v="120320105017647" u="1"/>
        <s v="10000000044" u="1"/>
        <s v="110105171732203" u="1"/>
        <s v="131118130621384" u="1"/>
        <s v="131118120204830" u="1"/>
        <s v="10000000045" u="1"/>
        <s v="121126103900103" u="1"/>
        <s v="10000000046" u="1"/>
        <s v="130628083902733" u="1"/>
        <s v="120123145046694" u="1"/>
        <s v="130503104209244" u="1"/>
        <s v="10000000987" u="1"/>
        <s v="10000000047" u="1"/>
        <s v="131126104723595" u="1"/>
        <s v="130916144003790" u="1"/>
        <s v="10000000988" u="1"/>
        <s v="10000000048" u="1"/>
        <s v="150522100645187" u="1"/>
        <s v="140217080845018" u="1"/>
        <s v="10000000049" u="1"/>
        <s v="110118105908685" u="1"/>
        <s v="110325164337346" u="1"/>
        <s v="100913120847882" u="1"/>
        <s v="110106111102856" u="1"/>
        <s v="130523092412492" u="1"/>
        <s v="110112173348634" u="1"/>
        <s v="111123124815001" u="1"/>
        <s v="120523171105266" u="1"/>
        <s v="131119092549248" u="1"/>
        <s v="110126144022973" u="1"/>
        <s v="101217153512609" u="1"/>
        <s v="110105210242576" u="1"/>
        <s v="110106143509208" u="1"/>
        <s v="101020132532120" u="1"/>
        <s v="130606162741708" u="1"/>
        <s v="110323112839023" u="1"/>
        <s v="110621161932458" u="1"/>
        <s v="111122101846687" u="1"/>
        <s v="110323115103681" u="1"/>
        <s v="100913130553892" u="1"/>
        <s v="120124095933470" u="1"/>
        <s v="141022123405149" u="1"/>
        <s v="110106114209860" u="1"/>
        <s v="110104131959172" u="1"/>
        <s v="140729110043225" u="1"/>
        <s v="110106120941933" u="1"/>
        <s v="120425112840235" u="1"/>
        <s v="130703162933131" u="1"/>
        <s v="110218171718047" u="1"/>
        <s v="10000001049" u="1"/>
        <s v="120611175609126" u="1"/>
        <s v="110105214450307" u="1"/>
        <s v="130916101410138" u="1"/>
        <s v="131119145628720" u="1"/>
        <s v="120801103554669" u="1"/>
        <s v="10000001210" u="1"/>
        <s v="110107170027670" u="1"/>
        <s v="110105165407024" u="1"/>
        <s v="131118160647565" u="1"/>
        <s v="120210154703370" u="1"/>
        <s v="120426093146248" u="1"/>
        <s v="141022124915992" u="1"/>
        <s v="110126180034320" u="1"/>
        <s v="10000001212" u="1"/>
        <s v="130503124229813" u="1"/>
        <s v="140401151706212" u="1"/>
        <s v="120210155750166" u="1"/>
        <s v="130805083946386" u="1"/>
        <s v="130627130952017" u="1"/>
        <s v="10000001214" u="1"/>
        <s v="110217132120659" u="1"/>
        <s v="110126180343767" u="1"/>
        <s v="130812093905344" u="1"/>
        <s v="10000000181" u="1"/>
        <s v="10000001215" u="1"/>
        <s v="130109122816499" u="1"/>
        <s v="130513095400341" u="1"/>
        <s v="120328150933014" u="1"/>
        <s v="10000000182" u="1"/>
        <s v="111221102419308" u="1"/>
        <s v="130513184909591" u="1"/>
        <s v="130513152649968" u="1"/>
        <s v="10000000183" u="1"/>
        <s v="131118095819869" u="1"/>
        <s v="120905133516910" u="1"/>
        <s v="130523095504181" u="1"/>
        <s v="10000000184" u="1"/>
        <s v="131118100710004" u="1"/>
        <s v="10000001218" u="1"/>
        <s v="10000000185" u="1"/>
        <s v="10000001219" u="1"/>
        <s v="110106172235566" u="1"/>
        <s v="10000000186" u="1"/>
        <s v="110127160348626" u="1"/>
        <s v="10000000187" u="1"/>
        <s v="131119094604441" u="1"/>
        <s v="120217110845693" u="1"/>
        <s v="110126172516512" u="1"/>
        <s v="10000000188" u="1"/>
        <s v="140910155416989" u="1"/>
        <s v="130805104110946" u="1"/>
        <s v="110112171850589" u="1"/>
        <s v="10000000189" u="1"/>
        <s v="110113100735421" u="1"/>
        <s v="150519165106973" u="1"/>
        <s v="150522085128292" u="1"/>
        <s v="10000000350" u="1"/>
        <s v="140522131248911" u="1"/>
        <s v="150108090328081" u="1"/>
        <s v="131210145149947" u="1"/>
        <s v="140217112047268" u="1"/>
        <s v="110503092442470" u="1"/>
        <s v="150408152245723" u="1"/>
        <s v="150521170039790" u="1"/>
        <s v="10000000353" u="1"/>
        <s v="110106120339036" u="1"/>
        <s v="130226093709618" u="1"/>
        <s v="120426093642180" u="1"/>
        <s v="101217151800881" u="1"/>
        <s v="131119152938671" u="1"/>
        <s v="130916162533786" u="1"/>
        <s v="10000000355" u="1"/>
        <s v="131119093439929" u="1"/>
        <s v="110127133808202" u="1"/>
        <s v="130802172940673" u="1"/>
        <s v="10000000357" u="1"/>
        <s v="110126172002701" u="1"/>
        <s v="110106171756605" u="1"/>
        <s v="110110092001059" u="1"/>
        <s v="131119101010686" u="1"/>
        <s v="10000001182" u="1"/>
        <s v="10000001183" u="1"/>
        <s v="130307095408508" u="1"/>
        <s v="140218102342690" u="1"/>
        <s v="10000000520" u="1"/>
        <s v="120402153346301" u="1"/>
        <s v="10000001185" u="1"/>
        <s v="10102013242627" u="1"/>
        <s v="10000000521" u="1"/>
        <s v="110126112458203" u="1"/>
        <s v="10000001186" u="1"/>
        <s v="131119071641205" u="1"/>
        <s v="110105193407528" u="1"/>
        <s v="110126112327831" u="1"/>
        <s v="10000001187" u="1"/>
        <s v="10000000523" u="1"/>
        <s v="140225175353187" u="1"/>
        <s v="10000001188" u="1"/>
        <s v="10000000524" u="1"/>
        <s v="130821085638842" u="1"/>
        <s v="100913123035786" u="1"/>
        <s v="10000001189" u="1"/>
        <s v="110126124659691" u="1"/>
        <s v="10000000525" u="1"/>
        <s v="111108174133778" u="1"/>
        <s v="10000000526" u="1"/>
        <s v="10000000527" u="1"/>
        <s v="10000000528" u="1"/>
        <s v="140604165325421" u="1"/>
        <s v="10000000529" u="1"/>
        <s v="130326101501191" u="1"/>
        <s v="131118115221733" u="1"/>
        <s v="110107165342819" u="1"/>
        <s v="140729111957570" u="1"/>
        <s v="121026173722201" u="1"/>
        <s v="110106162311692" u="1"/>
        <s v="140108170451722" u="1"/>
        <s v="121206144224546" u="1"/>
        <s v="110323115857252" u="1"/>
        <s v="130821090638459" u="1"/>
        <s v="140108171225136" u="1"/>
        <s v="130628082649564" u="1"/>
        <s v="110106171716201" u="1"/>
        <s v="121205092543068" u="1"/>
        <s v="140606105044513" u="1"/>
        <s v="110126171845137" u="1"/>
        <s v="130511065424499" u="1"/>
        <s v="110113131355326" u="1"/>
        <s v="140729113619269" u="1"/>
        <s v="130125120821472" u="1"/>
        <s v="10000000490" u="1"/>
        <s v="150522095737970" u="1"/>
        <s v="110126131819363" u="1"/>
        <s v="110105193654793" u="1"/>
        <s v="10000000492" u="1"/>
        <s v="111024162509834" u="1"/>
        <s v="130517083908102" u="1"/>
        <s v="150612110458216" u="1"/>
        <s v="150709151123674" u="1"/>
        <s v="120914153926961" u="1"/>
        <s v="10000000494" u="1"/>
        <s v="140108155706362" u="1"/>
        <s v="110126163027107" u="1"/>
        <s v="140327100916554" u="1"/>
        <s v="111221093549322" u="1"/>
        <s v="131126102714299" u="1"/>
        <s v="110127124827195" u="1"/>
        <s v="131118092112252" u="1"/>
        <s v="10000000497" u="1"/>
        <s v="10000000498" u="1"/>
        <s v="130314151641046" u="1"/>
        <s v="110111120944100" u="1"/>
        <s v="131119093511394" u="1"/>
        <s v="140220165708125" u="1"/>
        <s v="130913104436158" u="1"/>
        <s v="140616162349889" u="1"/>
        <s v="131120114206666" u="1"/>
        <s v="131030145746277" u="1"/>
        <s v="130805082637806" u="1"/>
        <s v="10000000661" u="1"/>
        <s v="141022123219380" u="1"/>
        <s v="131120091641867" u="1"/>
        <s v="110104131426531" u="1"/>
        <s v="10000000663" u="1"/>
        <s v="130705131335363" u="1"/>
        <s v="131023153755184" u="1"/>
        <s v="140606164748895" u="1"/>
        <s v="110126124405017" u="1"/>
        <s v="110118113349987" u="1"/>
        <s v="110217122004972" u="1"/>
        <s v="131118122504946" u="1"/>
        <s v="121010113006246" u="1"/>
        <s v="10000000667" u="1"/>
        <s v="140424165418046" u="1"/>
        <s v="110106155120023" u="1"/>
        <s v="130913114222244" u="1"/>
        <s v="130913092408036" u="1"/>
        <s v="110127134358331" u="1"/>
        <s v="10000000830" u="1"/>
        <s v="141027090702161" u="1"/>
        <s v="130627094455782" u="1"/>
        <s v="140729112523690" u="1"/>
        <s v="140729104704048" u="1"/>
        <s v="10000000831" u="1"/>
        <s v="150420092705113" u="1"/>
        <s v="10000000832" u="1"/>
        <s v="110106094545703" u="1"/>
        <s v="110106112007112" u="1"/>
        <s v="10000000833" u="1"/>
        <s v="100913124628463" u="1"/>
        <s v="10000000834" u="1"/>
        <s v="130916142755004" u="1"/>
        <s v="10000000835" u="1"/>
        <s v="110225140418939" u="1"/>
        <s v="10000000836" u="1"/>
        <s v="130114102919287" u="1"/>
        <s v="131119155722053" u="1"/>
        <s v="110217131600438" u="1"/>
        <s v="150210110558354" u="1"/>
        <s v="10000000837" u="1"/>
        <s v="140214091018253" u="1"/>
        <s v="10000000838" u="1"/>
        <s v="10000000839" u="1"/>
        <s v="110110163909836" u="1"/>
        <s v="110106152555374" u="1"/>
        <s v="130511194902844" u="1"/>
        <s v="140514155840716" u="1"/>
        <s v="120123133836091" u="1"/>
        <s v="120703113354899" u="1"/>
        <s v="110112160243767" u="1"/>
        <s v="130513094234732" u="1"/>
        <s v="120425112521101" u="1"/>
        <s v="110106142454230" u="1"/>
        <s v="140808100847592" u="1"/>
        <s v="150313115435254" u="1"/>
        <s v="110801133620826" u="1"/>
        <s v="140521125131995" u="1"/>
        <s v="131118085129359" u="1"/>
        <s v="140515110036761" u="1"/>
        <s v="150312112813283" u="1"/>
        <s v="131118091658986" u="1"/>
        <s v="130913090113286" u="1"/>
        <s v="131119053757479" u="1"/>
        <s v="140910104138977" u="1"/>
        <s v="130916162023096" u="1"/>
        <s v="110112173554448" u="1"/>
        <s v="131118193412341" u="1"/>
        <s v="10102013244249" u="1"/>
        <s v="110105212956187" u="1"/>
        <s v="131119124227778" u="1"/>
        <s v="130913113536925" u="1"/>
        <s v="111101101209321" u="1"/>
        <s v="140606094427221" u="1"/>
        <s v="10000000030" u="1"/>
        <s v="130626104252816" u="1"/>
        <s v="110126114527865" u="1"/>
        <s v="131118175317825" u="1"/>
        <s v="10000000971" u="1"/>
        <s v="10000000031" u="1"/>
        <s v="140604172157516" u="1"/>
        <s v="120919131900783" u="1"/>
        <s v="131119101706083" u="1"/>
        <s v="10000000972" u="1"/>
        <s v="130916163247591" u="1"/>
        <s v="10000000973" u="1"/>
        <s v="140606120316020" u="1"/>
        <s v="10000000974" u="1"/>
        <s v="131205101434898" u="1"/>
        <s v="110705154709610" u="1"/>
        <s v="130511062851773" u="1"/>
        <s v="110127124405862" u="1"/>
        <s v="10000000975" u="1"/>
        <s v="10000000035" u="1"/>
        <s v="10000000976" u="1"/>
        <s v="10000000036" u="1"/>
        <s v="131118153458266" u="1"/>
        <s v="110914174411637" u="1"/>
        <s v="10000000977" u="1"/>
        <s v="10000000037" u="1"/>
        <s v="150226125715019" u="1"/>
        <s v="10000000978" u="1"/>
        <s v="130828111833609" u="1"/>
        <s v="111108123846541" u="1"/>
        <s v="10000000979" u="1"/>
        <s v="141027121210712" u="1"/>
        <s v="140522094728389" u="1"/>
        <s v="10000000200" u="1"/>
        <s v="110126113129328" u="1"/>
        <s v="130607111523884" u="1"/>
        <s v="10102013251191" u="1"/>
        <s v="110126133219803" u="1"/>
        <s v="110106153746784" u="1"/>
        <s v="130913113159633" u="1"/>
        <s v="140910114554463" u="1"/>
        <s v="140606093451967" u="1"/>
        <s v="10102013243844" u="1"/>
        <s v="140522091731054" u="1"/>
        <s v="131121084652726" u="1"/>
        <s v="120724153131468" u="1"/>
        <s v="10000000209" u="1"/>
        <s v="131126095119455" u="1"/>
        <s v="140807090225511" u="1"/>
        <s v="110330105745219" u="1"/>
        <s v="150522104248346" u="1"/>
        <s v="121017084846897" u="1"/>
        <s v="131118173154272" u="1"/>
        <s v="130513091841094" u="1"/>
        <s v="10102013245060" u="1"/>
        <s v="131210132227759" u="1"/>
        <s v="110105204952508" u="1"/>
        <s v="131118131252367" u="1"/>
        <s v="110503094926669" u="1"/>
        <s v="150508120114962" u="1"/>
        <s v="120210115047310" u="1"/>
        <s v="10000001200" u="1"/>
        <s v="131118171835084" u="1"/>
        <s v="131203122544373" u="1"/>
        <s v="10000001201" u="1"/>
        <s v="120312090143857" u="1"/>
        <s v="110106161816960" u="1"/>
        <s v="10000001202" u="1"/>
        <s v="111221093247500" u="1"/>
        <s v="150220091013096" u="1"/>
        <s v="10000001203" u="1"/>
        <s v="141217172348163" u="1"/>
        <s v="130827155149762" u="1"/>
        <s v="10000000170" u="1"/>
        <s v="10000001204" u="1"/>
        <s v="110106150932702" u="1"/>
        <s v="100913105001270" u="1"/>
        <s v="131118111338191" u="1"/>
        <s v="110106105348101" u="1"/>
        <s v="10000000171" u="1"/>
        <s v="10000001205" u="1"/>
        <s v="131118145813533" u="1"/>
        <s v="150108112758523" u="1"/>
        <s v="10000000172" u="1"/>
        <s v="10000001206" u="1"/>
        <s v="110107104910156" u="1"/>
        <s v="130916151708755" u="1"/>
        <s v="10000000173" u="1"/>
        <s v="110803154842600" u="1"/>
        <s v="10000001207" u="1"/>
        <s v="110502163021051" u="1"/>
        <s v="110705164529991" u="1"/>
        <s v="110126112836807" u="1"/>
        <s v="10000000174" u="1"/>
        <s v="10000001208" u="1"/>
        <s v="111108161853414" u="1"/>
        <s v="150521170541753" u="1"/>
        <s v="10000000175" u="1"/>
        <s v="10000001209" u="1"/>
        <s v="110107110302078" u="1"/>
        <s v="10000000176" u="1"/>
        <s v="121206143812715" u="1"/>
        <s v="131126100712646" u="1"/>
        <s v="10000000177" u="1"/>
        <s v="110118105634946" u="1"/>
        <s v="110502164329381" u="1"/>
        <s v="10000000178" u="1"/>
        <s v="131121084100571" u="1"/>
        <s v="10000000179" u="1"/>
        <s v="131220170344544" u="1"/>
        <s v="110110155708080" u="1"/>
        <s v="130913105808154" u="1"/>
        <s v="110106152456633" u="1"/>
        <s v="131210132942282" u="1"/>
        <s v="140307084059389" u="1"/>
        <s v="131119153345573" u="1"/>
        <s v="10000000344" u="1"/>
        <s v="110929102013837" u="1"/>
        <s v="150309160747628" u="1"/>
        <s v="130513092107581" u="1"/>
        <s v="110106093616330" u="1"/>
        <s v="130314152411951" u="1"/>
        <s v="140402092930188" u="1"/>
        <s v="141029091807099" u="1"/>
        <s v="121211163243684" u="1"/>
        <s v="141029092740059" u="1"/>
        <s v="110126114248026" u="1"/>
        <s v="110318093938783" u="1"/>
        <s v="111114104908529" u="1"/>
        <s v="10000001172" u="1"/>
        <s v="10000000348" u="1"/>
        <s v="110126174721367" u="1"/>
        <s v="10000001173" u="1"/>
        <s v="10000000349" u="1"/>
        <s v="10000001174" u="1"/>
        <s v="10000000510" u="1"/>
        <s v="110126125249679" u="1"/>
        <s v="101217103839104" u="1"/>
        <s v="140701101943167" u="1"/>
        <s v="10000000511" u="1"/>
        <s v="131025153321308" u="1"/>
        <s v="10000000512" u="1"/>
        <s v="10000001178" u="1"/>
        <s v="110803133128992" u="1"/>
        <s v="140808100108887" u="1"/>
        <s v="131119085607635" u="1"/>
        <s v="111108154001682" u="1"/>
        <s v="140603170653952" u="1"/>
        <s v="131119111347679" u="1"/>
        <s v="120131153504232" u="1"/>
        <s v="10000000516" u="1"/>
        <s v="140702104429310" u="1"/>
        <s v="10000000517" u="1"/>
        <s v="140402083013225" u="1"/>
        <s v="110106171513600" u="1"/>
        <s v="140729111311531" u="1"/>
        <s v="10000000519" u="1"/>
        <s v="110106102140693" u="1"/>
        <s v="150427100949728" u="1"/>
        <s v="110503095617246" u="1"/>
        <s v="120425175535172" u="1"/>
        <s v="10000001346" u="1"/>
        <s v="110803133606829" u="1"/>
        <s v="131023151209427" u="1"/>
        <s v="10000001347" u="1"/>
        <s v="120127101801881" u="1"/>
        <s v="150226130756901" u="1"/>
        <s v="10000001348" u="1"/>
        <s v="110106121648572" u="1"/>
        <s v="130827111412595" u="1"/>
        <s v="110106123053182" u="1"/>
        <s v="110919123956230" u="1"/>
        <s v="110928152623158" u="1"/>
        <s v="130805082221015" u="1"/>
        <s v="141104111525970" u="1"/>
        <s v="110113125209582" u="1"/>
        <s v="110225140857259" u="1"/>
        <s v="110323113919204" u="1"/>
        <s v="100913125343609" u="1"/>
        <s v="131119122923207" u="1"/>
        <s v="140218101808396" u="1"/>
        <s v="10000000480" u="1"/>
        <s v="110106174528671" u="1"/>
        <s v="110126134928848" u="1"/>
        <s v="110113101101467" u="1"/>
        <s v="110126174358160" u="1"/>
        <s v="10000000482" u="1"/>
        <s v="110107100524062" u="1"/>
        <s v="150427102304506" u="1"/>
        <s v="131118114114942" u="1"/>
        <s v="10000000484" u="1"/>
        <s v="150521164820198" u="1"/>
        <s v="10000000485" u="1"/>
        <s v="110106100836991" u="1"/>
        <s v="131119054201760" u="1"/>
        <s v="10000000486" u="1"/>
        <s v="111109101758103" u="1"/>
        <s v="10102013244858" u="1"/>
        <s v="110113102119527" u="1"/>
        <s v="10000000487" u="1"/>
        <s v="110107092353062" u="1"/>
        <s v="110502155236976" u="1"/>
        <s v="131023125119453" u="1"/>
        <s v="150427101533043" u="1"/>
        <s v="10000000489" u="1"/>
        <s v="110126153441182" u="1"/>
        <s v="110106152241867" u="1"/>
        <s v="140605130457332" u="1"/>
        <s v="10000000650" u="1"/>
        <s v="10102013245466" u="1"/>
        <s v="110429154625768" u="1"/>
        <s v="130503105131967" u="1"/>
        <s v="110531081248449" u="1"/>
        <s v="10000000651" u="1"/>
        <s v="10102013242120" u="1"/>
        <s v="130513093254055" u="1"/>
        <s v="10000000652" u="1"/>
        <s v="10000000653" u="1"/>
        <s v="10000000654" u="1"/>
        <s v="150210144524009" u="1"/>
        <s v="131119155339160" u="1"/>
        <s v="10000000657" u="1"/>
        <s v="110126150100139" u="1"/>
        <s v="110105213223577" u="1"/>
        <s v="140606091459277" u="1"/>
        <s v="10000000659" u="1"/>
        <s v="150226120437267" u="1"/>
        <s v="120210161103338" u="1"/>
        <s v="10000000820" u="1"/>
        <s v="10000000821" u="1"/>
        <s v="130513132127091" u="1"/>
        <s v="10000000822" u="1"/>
        <s v="120425131924431" u="1"/>
        <s v="130913112733715" u="1"/>
        <s v="131119103235578" u="1"/>
        <s v="10000000823" u="1"/>
        <s v="110106093253435" u="1"/>
        <s v="131023152543731" u="1"/>
        <s v="131010165026454" u="1"/>
        <s v="10000000824" u="1"/>
        <s v="10000000825" u="1"/>
        <s v="110106155650361" u="1"/>
        <s v="121026130345182" u="1"/>
        <s v="10000000827" u="1"/>
        <s v="110324125102848" u="1"/>
        <s v="110126172453393" u="1"/>
        <s v="100913121242460" u="1"/>
        <s v="10000000828" u="1"/>
        <s v="10000000829" u="1"/>
        <s v="120515154145070" u="1"/>
        <s v="10102013251697" u="1"/>
        <s v="110311102339030" u="1"/>
        <s v="130115103632475" u="1"/>
        <s v="131118160545649" u="1"/>
        <s v="130215172602142" u="1"/>
        <s v="110107093816234" u="1"/>
        <s v="110301111356283" u="1"/>
        <s v="130822112629082" u="1"/>
        <s v="140731150418633" u="1"/>
        <s v="130503115225393" u="1"/>
        <s v="140522092530399" u="1"/>
        <s v="130805110335566" u="1"/>
        <s v="140702102532281" u="1"/>
        <s v="130325132538563" u="1"/>
        <s v="140812144431714" u="1"/>
        <s v="130913084428553" u="1"/>
        <s v="110110163513581" u="1"/>
        <s v="131121083518853" u="1"/>
        <s v="150312115922769" u="1"/>
        <s v="130318161753257" u="1"/>
        <s v="110127124044964" u="1"/>
        <s v="110126144232781" u="1"/>
        <s v="110330104544825" u="1"/>
        <s v="140605130837855" u="1"/>
        <s v="120123153436590" u="1"/>
        <s v="130513100741321" u="1"/>
        <s v="10000000795" u="1"/>
        <s v="101220095714038" u="1"/>
        <s v="131120170515672" u="1"/>
        <s v="140910115446208" u="1"/>
        <s v="10000000796" u="1"/>
        <s v="140107090803139" u="1"/>
        <s v="150626120608080" u="1"/>
        <s v="110503093042767" u="1"/>
        <s v="130703160541784" u="1"/>
        <s v="131120112412513" u="1"/>
        <s v="10000000797" u="1"/>
        <s v="111216154633048" u="1"/>
        <s v="110323120338996" u="1"/>
        <s v="130812093416136" u="1"/>
        <s v="10000000798" u="1"/>
        <s v="110324091945213" u="1"/>
        <s v="110106121031931" u="1"/>
        <s v="10000000799" u="1"/>
        <s v="131119070122349" u="1"/>
        <s v="150108115854576" u="1"/>
        <s v="131119082216078" u="1"/>
        <s v="110106113707296" u="1"/>
        <s v="130417112502621" u="1"/>
        <s v="131120083824127" u="1"/>
        <s v="101217094150295" u="1"/>
        <s v="101020132531118" u="1"/>
        <s v="120209133244562" u="1"/>
        <s v="131030172756603" u="1"/>
        <s v="10000000021" u="1"/>
        <s v="10000000022" u="1"/>
        <s v="121026155053845" u="1"/>
        <s v="141014130418176" u="1"/>
        <s v="130511181231697" u="1"/>
        <s v="140808095253552" u="1"/>
        <s v="100913110011198" u="1"/>
        <s v="10000000023" u="1"/>
        <s v="10000000024" u="1"/>
        <s v="150522082137535" u="1"/>
        <s v="10000000025" u="1"/>
        <s v="130511200850292" u="1"/>
        <s v="131119120211338" u="1"/>
        <s v="10000000026" u="1"/>
        <s v="10000000027" u="1"/>
        <s v="10000000028" u="1"/>
        <s v="100913111336065" u="1"/>
        <s v="131119120720935" u="1"/>
        <s v="140820150021865" u="1"/>
        <s v="10000000029" u="1"/>
        <s v="130827162533955" u="1"/>
        <s v="120801104205468" u="1"/>
        <s v="1.30603E+14" u="1"/>
        <s v="110106141858164" u="1"/>
        <s v="130913115454398" u="1"/>
        <s v="131118111429047" u="1"/>
        <s v="110126130221922" u="1"/>
        <s v="131120115758110" u="1"/>
        <s v="140606091833248" u="1"/>
        <s v="111221094353823" u="1"/>
        <s v="120210122351799" u="1"/>
        <s v="150220093315404" u="1"/>
        <s v="120210152117042" u="1"/>
        <s v="110504174745668" u="1"/>
        <s v="131119070531466" u="1"/>
        <s v="120829160435170" u="1"/>
        <s v="130913093712794" u="1"/>
        <s v="130513182200390" u="1"/>
        <s v="131119112705182" u="1"/>
        <s v="130827162904768" u="1"/>
        <s v="121010112259490" u="1"/>
        <s v="110105212809046" u="1"/>
        <s v="120306105531198" u="1"/>
        <s v="110106152825123" u="1"/>
        <s v="110705170817777" u="1"/>
        <s v="111108164245534" u="1"/>
        <s v="140820151638868" u="1"/>
        <s v="10000000160" u="1"/>
        <s v="130511065851401" u="1"/>
        <s v="10000000161" u="1"/>
        <s v="101020132601160" u="1"/>
        <s v="10000000162" u="1"/>
        <s v="110106163808636" u="1"/>
        <s v="141104112156815" u="1"/>
        <s v="10000000163" u="1"/>
        <s v="131119104433490" u="1"/>
        <s v="10000000164" u="1"/>
        <s v="150312113757390" u="1"/>
        <s v="101020134012490" u="1"/>
        <s v="110126171245555" u="1"/>
        <s v="101020132532119" u="1"/>
        <s v="121227093041314" u="1"/>
        <s v="131119100140738" u="1"/>
        <s v="10000000165" u="1"/>
        <s v="131118104553265" u="1"/>
        <s v="10000000166" u="1"/>
        <s v="131119095057035" u="1"/>
        <s v="131023132533474" u="1"/>
        <s v="110126134424770" u="1"/>
        <s v="10000000167" u="1"/>
        <s v="140514093242040" u="1"/>
        <s v="10000000168" u="1"/>
        <s v="120703115850985" u="1"/>
        <s v="110105212119902" u="1"/>
        <s v="111101160633817" u="1"/>
        <s v="110106153505070" u="1"/>
        <s v="10000000169" u="1"/>
        <s v="110105193138844" u="1"/>
        <s v="150522083949740" u="1"/>
        <s v="150522103351271" u="1"/>
        <s v="130913094157791" u="1"/>
        <s v="110107170403153" u="1"/>
        <s v="110126124130014" u="1"/>
        <s v="120210155626394" u="1"/>
        <s v="110106101059716" u="1"/>
        <s v="110105172843897" u="1"/>
        <s v="110127103946955" u="1"/>
        <s v="1010201324139" u="1"/>
        <s v="10000001160" u="1"/>
        <s v="130511174914520" u="1"/>
        <s v="10000001161" u="1"/>
        <s v="110331100732495" u="1"/>
        <s v="111123125639883" u="1"/>
        <s v="131118161106853" u="1"/>
        <s v="140515114207801" u="1"/>
        <s v="10000001162" u="1"/>
        <s v="150525173710737" u="1"/>
        <s v="140911110451519" u="1"/>
        <s v="131118121547433" u="1"/>
        <s v="10000001164" u="1"/>
        <s v="150519132722830" u="1"/>
        <s v="131119165203247" u="1"/>
        <s v="110126114308385" u="1"/>
        <s v="131118104901557" u="1"/>
        <s v="10000001165" u="1"/>
        <s v="130916100927684" u="1"/>
        <s v="10000000501" u="1"/>
        <s v="10000000503" u="1"/>
        <s v="120210132248497" u="1"/>
        <s v="10000000504" u="1"/>
        <s v="10000000505" u="1"/>
        <s v="110106150657469" u="1"/>
        <s v="10000000506" u="1"/>
        <s v="140130103559775" u="1"/>
        <s v="10000000507" u="1"/>
        <s v="10000000508" u="1"/>
        <s v="110126161624842" u="1"/>
        <s v="110106085734536" u="1"/>
        <s v="10000000509" u="1"/>
        <s v="110126160835076" u="1"/>
        <s v="131122090625263" u="1"/>
        <s v="131118153738384" u="1"/>
        <s v="101020134034520" u="1"/>
        <s v="110106144326137" u="1"/>
        <s v="110126112822190" u="1"/>
        <s v="130730134409267" u="1"/>
        <s v="130805083044614" u="1"/>
        <s v="101020134034521" u="1"/>
        <s v="130131112811015" u="1"/>
        <s v="120627173331184" u="1"/>
        <s v="120305160308254" u="1"/>
        <s v="110105215832526" u="1"/>
        <s v="110926101110631" u="1"/>
        <s v="131118192551596" u="1"/>
        <s v="140311175830146" u="1"/>
        <s v="140717172524147" u="1"/>
        <s v="120307173533726" u="1"/>
        <s v="110504161013542" u="1"/>
        <s v="110126115507565" u="1"/>
        <s v="130221085541514" u="1"/>
        <s v="110105194010948" u="1"/>
        <s v="130503110733317" u="1"/>
        <s v="121226180208365" u="1"/>
        <s v="10000000471" u="1"/>
        <s v="110105193015274" u="1"/>
        <s v="10000000472" u="1"/>
        <s v="110106162907437" u="1"/>
        <s v="131119164322613" u="1"/>
        <s v="140606092913882" u="1"/>
        <s v="10000000473" u="1"/>
        <s v="130711095146301" u="1"/>
        <s v="140521114458478" u="1"/>
        <s v="130222121136735" u="1"/>
        <s v="101020134054526" u="1"/>
        <s v="110105211850297" u="1"/>
        <s v="130513093547129" u="1"/>
        <s v="110105213454508" u="1"/>
        <s v="130511213022858" u="1"/>
        <s v="140220090811021" u="1"/>
        <s v="131119133007585" u="1"/>
        <s v="10000000476" u="1"/>
        <s v="130509085935173" u="1"/>
        <s v="140606115108338" u="1"/>
        <s v="110106084908563" u="1"/>
        <s v="110801150355034" u="1"/>
        <s v="10000000478" u="1"/>
        <s v="130730133301463" u="1"/>
        <s v="131118125444235" u="1"/>
        <s v="110111174421004" u="1"/>
        <s v="110928180021537" u="1"/>
        <s v="10000000479" u="1"/>
        <s v="141212090209703" u="1"/>
        <s v="140702091553124" u="1"/>
        <s v="140620111655850" u="1"/>
        <s v="140604164806087" u="1"/>
        <s v="10000000640" u="1"/>
        <s v="120829161022862" u="1"/>
        <s v="110107101102359" u="1"/>
        <s v="110106092754584" u="1"/>
        <s v="10000000643" u="1"/>
        <s v="110106152959831" u="1"/>
        <s v="131119162329322" u="1"/>
        <s v="10000000644" u="1"/>
        <s v="131120083035878" u="1"/>
        <s v="10000000646" u="1"/>
        <s v="110803155106745" u="1"/>
        <s v="130821090916253" u="1"/>
        <s v="110126160903468" u="1"/>
        <s v="110106091756024" u="1"/>
        <s v="10000000647" u="1"/>
        <s v="131119091302898" u="1"/>
        <s v="150224172620403" u="1"/>
        <s v="110208110915492" u="1"/>
        <s v="150522084509011" u="1"/>
        <s v="130805103609788" u="1"/>
        <s v="10000000648" u="1"/>
        <s v="10000000649" u="1"/>
        <s v="140804164857115" u="1"/>
        <s v="10000000810" u="1"/>
        <s v="110504132720895" u="1"/>
        <s v="121026132228912" u="1"/>
        <s v="10000000811" u="1"/>
        <s v="120412131227290" u="1"/>
        <s v="140129152711440" u="1"/>
        <s v="150108095644619" u="1"/>
        <s v="10000000812" u="1"/>
        <s v="140606103650454" u="1"/>
        <s v="110113120018220" u="1"/>
        <s v="131119114856908" u="1"/>
        <s v="10000000813" u="1"/>
        <s v="131118112056333" u="1"/>
        <s v="110106111356126" u="1"/>
        <s v="10000000814" u="1"/>
        <s v="130805084637493" u="1"/>
        <s v="110111123217057" u="1"/>
        <s v="10000000815" u="1"/>
        <s v="131119092126107" u="1"/>
        <s v="131118082856589" u="1"/>
        <s v="10000000816" u="1"/>
        <s v="150312125618959" u="1"/>
        <s v="101020134035522" u="1"/>
        <s v="110126170623399" u="1"/>
        <s v="10000000817" u="1"/>
        <s v="110106165137393" u="1"/>
        <s v="10000000818" u="1"/>
        <s v="110126155311253" u="1"/>
        <s v="110113094509772" u="1"/>
        <s v="10102013251090" u="1"/>
        <s v="10000000819" u="1"/>
        <s v="110113153100848" u="1"/>
        <s v="131111174454776" u="1"/>
        <s v="140217091241270" u="1"/>
        <s v="110126103122133" u="1"/>
        <s v="131121084552463" u="1"/>
        <s v="130511063856027" u="1"/>
        <s v="101020134014492" u="1"/>
        <s v="110126172149920" u="1"/>
        <s v="10102013250379" u="1"/>
        <s v="120328133023931" u="1"/>
        <s v="111230123850127" u="1"/>
        <s v="101020134014493" u="1"/>
        <s v="131119121455207" u="1"/>
        <s v="110126164037117" u="1"/>
        <s v="130912102723455" u="1"/>
        <s v="1.10106E+14" u="1"/>
        <s v="110106123329489" u="1"/>
        <s v="120123151548375" u="1"/>
        <s v="110919111230356" u="1"/>
        <s v="130916142250726" u="1"/>
        <s v="110126150914631" u="1"/>
        <s v="131119092943342" u="1"/>
        <s v="101020132525110" u="1"/>
        <s v="110105213638389" u="1"/>
        <s v="110126132954706" u="1"/>
        <s v="131119170800448" u="1"/>
        <s v="140910114157560" u="1"/>
        <s v="121009111311736" u="1"/>
        <s v="110113121028075" u="1"/>
        <s v="150220102453393" u="1"/>
        <s v="110105212036877" u="1"/>
        <s v="121017084649615" u="1"/>
        <s v="110112172126838" u="1"/>
        <s v="131119060616772" u="1"/>
        <s v="131118191653084" u="1"/>
        <s v="141022132308576" u="1"/>
        <s v="150210105521725" u="1"/>
        <s v="110105181139145" u="1"/>
        <s v="131118111656420" u="1"/>
        <s v="130111120451257" u="1"/>
        <s v="111123131718532" u="1"/>
        <s v="131210131526762" u="1"/>
        <s v="10000000788" u="1"/>
        <s v="140821172108368" u="1"/>
        <s v="110107104413171" u="1"/>
        <s v="110106171126197" u="1"/>
        <s v="131119094051147" u="1"/>
        <s v="110105212452937" u="1"/>
        <s v="110113094747707" u="1"/>
        <s v="150427100634558" u="1"/>
        <s v="10000000010" u="1"/>
        <s v="130314145412386" u="1"/>
        <s v="10000000011" u="1"/>
        <s v="140910115048369" u="1"/>
        <s v="141212084243861" u="1"/>
        <s v="140606090927307" u="1"/>
        <s v="100913124259470" u="1"/>
        <s v="10000000012" u="1"/>
        <s v="111121154927194" u="1"/>
        <s v="10000000013" u="1"/>
        <s v="120504114641655" u="1"/>
        <s v="130429165116201" u="1"/>
        <s v="110106103258517" u="1"/>
        <s v="10000000014" u="1"/>
        <s v="110126171246694" u="1"/>
        <s v="110106102109789" u="1"/>
        <s v="130503090400010" u="1"/>
        <s v="110211104936834" u="1"/>
        <s v="130916150944998" u="1"/>
        <s v="10000000015" u="1"/>
        <s v="10000000016" u="1"/>
        <s v="10000000017" u="1"/>
        <s v="10102013250582" u="1"/>
        <s v="10000000958" u="1"/>
        <s v="10000000018" u="1"/>
        <s v="130511060807072" u="1"/>
        <s v="10000000019" u="1"/>
        <s v="131118123849406" u="1"/>
        <s v="131119123906366" u="1"/>
        <s v="110105212720576" u="1"/>
        <s v="101020134036523" u="1"/>
        <s v="150225130247589" u="1"/>
        <s v="150519144149140" u="1"/>
        <s v="141125164321541" u="1"/>
        <s v="130513101725172" u="1"/>
        <s v="130805094622919" u="1"/>
        <s v="101020134036524" u="1"/>
        <s v="101020132604164" u="1"/>
        <s v="120210150247703" u="1"/>
        <s v="10102013243843" u="1"/>
        <s v="140910113620395" u="1"/>
        <s v="10000001010" u="1"/>
        <s v="150522082820688" u="1"/>
        <s v="120905164338590" u="1"/>
        <s v="150522091834756" u="1"/>
        <s v="110504155942129" u="1"/>
        <s v="110217105825277" u="1"/>
        <s v="110126155527567" u="1"/>
        <s v="150312123559207" u="1"/>
        <s v="130812092901842" u="1"/>
        <s v="10102013244451" u="1"/>
        <s v="130812093037065" u="1"/>
        <s v="131118095041963" u="1"/>
        <s v="130522132012183" u="1"/>
        <s v="131029130732712" u="1"/>
        <s v="110104152701490" u="1"/>
        <s v="110107152001296" u="1"/>
        <s v="131119132654754" u="1"/>
        <s v="110330100706181" u="1"/>
        <s v="110111174803351" u="1"/>
        <s v="130607122113008" u="1"/>
        <s v="110106174324042" u="1"/>
        <s v="101020132526111" u="1"/>
        <s v="1.40722E+14" u="1"/>
        <s v="1.30723E+14" u="1"/>
        <s v="141117105740524" u="1"/>
        <s v="110129102815984" u="1"/>
        <s v="131217105446635" u="1"/>
        <s v="150522104321237" u="1"/>
        <s v="121206150714362" u="1"/>
        <s v="10000000150" u="1"/>
        <s v="10000000151" u="1"/>
        <s v="131118115035029" u="1"/>
        <s v="140402091250440" u="1"/>
        <s v="10000000152" u="1"/>
        <s v="111121121055083" u="1"/>
        <s v="110209122843162" u="1"/>
        <s v="120123154522684" u="1"/>
        <s v="131119080830619" u="1"/>
        <s v="131120162125278" u="1"/>
        <s v="10000000153" u="1"/>
        <s v="121010113429981" u="1"/>
        <s v="10000000154" u="1"/>
        <s v="10000000155" u="1"/>
        <s v="110208111540389" u="1"/>
        <s v="140911103129854" u="1"/>
        <s v="111208154455972" u="1"/>
        <s v="10000000156" u="1"/>
        <s v="100913104459238" u="1"/>
        <s v="120214161254283" u="1"/>
        <s v="131118124719511" u="1"/>
        <s v="10000000157" u="1"/>
        <s v="110121172140891" u="1"/>
        <s v="110502155835932" u="1"/>
        <s v="10000000158" u="1"/>
        <s v="110106175047085" u="1"/>
        <s v="140623120931406" u="1"/>
        <s v="131023171708300" u="1"/>
        <s v="110922145740789" u="1"/>
        <s v="10000000159" u="1"/>
        <s v="100913115046210" u="1"/>
        <s v="110106163505553" u="1"/>
        <s v="110106172801889" u="1"/>
        <s v="131118124328709" u="1"/>
        <s v="131122154651763" u="1"/>
        <s v="140606115840117" u="1"/>
        <s v="131119122628440" u="1"/>
        <s v="130326112812279" u="1"/>
        <s v="130403090419020" u="1"/>
        <s v="140217110015578" u="1"/>
        <s v="131119090836762" u="1"/>
        <s v="110126113137222" u="1"/>
        <s v="111123130420913" u="1"/>
        <s v="131119150152732" u="1"/>
        <s v="10000000328" u="1"/>
        <s v="131118123202964" u="1"/>
        <s v="140729103640294" u="1"/>
        <s v="110126154401054" u="1"/>
        <s v="121227101210700" u="1"/>
        <s v="140604163356084" u="1"/>
        <s v="110330105352670" u="1"/>
        <s v="120723150031624" u="1"/>
        <s v="150522090217226" u="1"/>
        <s v="120328152259087" u="1"/>
        <s v="131210130833861" u="1"/>
        <s v="140217104046007" u="1"/>
        <s v="110928112103964" u="1"/>
        <s v="131118152954518" u="1"/>
        <s v="130226093208599" u="1"/>
        <s v="131118132608138" u="1"/>
        <s v="101020134016496" u="1"/>
        <s v="140206151346971" u="1"/>
        <s v="120703132925604" u="1"/>
        <s v="131111112835367" u="1"/>
        <s v="150522082105890" u="1"/>
        <s v="131119082930397" u="1"/>
        <s v="121114171333702" u="1"/>
        <s v="140130102827640" u="1"/>
        <s v="10000000290" u="1"/>
        <s v="130625104015500" u="1"/>
        <s v="100913130112920" u="1"/>
        <s v="110126171917913" u="1"/>
        <s v="150420094049352" u="1"/>
        <s v="141212090441960" u="1"/>
        <s v="120523172705695" u="1"/>
        <s v="110107093002578" u="1"/>
        <s v="10000000293" u="1"/>
        <s v="131203153932535" u="1"/>
        <s v="150508111717062" u="1"/>
        <s v="110107095828218" u="1"/>
        <s v="10000000296" u="1"/>
        <s v="110106123933048" u="1"/>
        <s v="140521130348709" u="1"/>
        <s v="110126094713049" u="1"/>
        <s v="140217095115966" u="1"/>
        <s v="150522082738386" u="1"/>
        <s v="140108170753759" u="1"/>
        <s v="150304094027233" u="1"/>
        <s v="10000000460" u="1"/>
        <s v="120518083746696" u="1"/>
        <s v="110106152627613" u="1"/>
        <s v="120210153914010" u="1"/>
        <s v="10000000461" u="1"/>
        <s v="10000000462" u="1"/>
        <s v="140722083617522" u="1"/>
        <s v="10000000463" u="1"/>
        <s v="130627121313133" u="1"/>
        <s v="100913122617060" u="1"/>
        <s v="131126160650722" u="1"/>
        <s v="10000000465" u="1"/>
        <s v="10000000466" u="1"/>
        <s v="131118105944745" u="1"/>
        <s v="130503111107193" u="1"/>
        <s v="141212090813232" u="1"/>
        <s v="10102013244857" u="1"/>
        <s v="140122101107782" u="1"/>
        <s v="10000000467" u="1"/>
        <s v="110107100702187" u="1"/>
        <s v="111227112923358" u="1"/>
        <s v="110106122637750" u="1"/>
        <s v="131118092316069" u="1"/>
        <s v="10000000468" u="1"/>
        <s v="101020132520103" u="1"/>
        <s v="10000000469" u="1"/>
        <s v="140603163737864" u="1"/>
        <s v="10000001294" u="1"/>
        <s v="10102013245465" u="1"/>
        <s v="10000001295" u="1"/>
        <s v="10000000631" u="1"/>
        <s v="130916100451158" u="1"/>
        <s v="10000001296" u="1"/>
        <s v="131119124305358" u="1"/>
        <s v="110502160944767" u="1"/>
        <s v="10000000633" u="1"/>
        <s v="10000000634" u="1"/>
        <s v="110105192710600" u="1"/>
        <s v="150108110959979" u="1"/>
        <s v="10000000635" u="1"/>
        <s v="131119065725042" u="1"/>
        <s v="150225175214514" u="1"/>
        <s v="110111151756893" u="1"/>
        <s v="10000000637" u="1"/>
        <s v="150210153425262" u="1"/>
        <s v="101020134017497" u="1"/>
        <s v="10000000638" u="1"/>
        <s v="110126155951131" u="1"/>
        <s v="130305083640146" u="1"/>
        <s v="131126103403487" u="1"/>
        <s v="120329163812772" u="1"/>
        <s v="140110153405668" u="1"/>
        <s v="110919111638084" u="1"/>
        <s v="10000000800" u="1"/>
        <s v="131126094242065" u="1"/>
        <s v="10000000801" u="1"/>
        <s v="131119123408640" u="1"/>
        <s v="10000000802" u="1"/>
        <s v="101020132528113" u="1"/>
        <s v="110414092004747" u="1"/>
        <s v="10000000803" u="1"/>
        <s v="130107121036984" u="1"/>
        <s v="10000000804" u="1"/>
        <s v="110225142109663" u="1"/>
        <s v="110705160822843" u="1"/>
        <s v="101020132528114" u="1"/>
        <s v="10000000805" u="1"/>
        <s v="131120114626718" u="1"/>
        <s v="110912091935346" u="1"/>
        <s v="10000000806" u="1"/>
        <s v="110323153603173" u="1"/>
        <s v="101020134031516" u="1"/>
        <s v="131120111345299" u="1"/>
        <s v="131119130512450" u="1"/>
        <s v="10000000808" u="1"/>
        <s v="110112131322535" u="1"/>
        <s v="130802171744960" u="1"/>
        <s v="140604164340495" u="1"/>
        <s v="10000000809" u="1"/>
        <s v="141014131352353" u="1"/>
        <s v="110323123958901" u="1"/>
        <s v="131121090051850" u="1"/>
        <s v="110224125547567" u="1"/>
        <s v="140605112805483" u="1"/>
        <s v="110113130100204" u="1"/>
        <s v="131030171129497" u="1"/>
        <s v="140424163955954" u="1"/>
        <s v="131119084535039" u="1"/>
        <s v="110126154850919" u="1"/>
        <s v="140820150407442" u="1"/>
        <s v="110302095042518" u="1"/>
        <s v="110107090528062" u="1"/>
        <s v="110106154754871" u="1"/>
        <s v="110106172154460" u="1"/>
        <s v="120210170149990" u="1"/>
        <s v="120426170015530" u="1"/>
        <s v="130314150858238" u="1"/>
        <s v="110926161841481" u="1"/>
        <s v="131119093838141" u="1"/>
        <s v="110126171721177" u="1"/>
        <s v="110126100059199" u="1"/>
        <s v="10000000770" u="1"/>
        <s v="150430132340570" u="1"/>
        <s v="140702091955783" u="1"/>
        <s v="131119064832552" u="1"/>
        <s v="120523171742520" u="1"/>
        <s v="10000000771" u="1"/>
        <s v="131119090126655" u="1"/>
        <s v="10000000772" u="1"/>
        <s v="130827102114734" u="1"/>
        <s v="130911101403849" u="1"/>
        <s v="140205101034212" u="1"/>
        <s v="141022122414810" u="1"/>
        <s v="111221102626781" u="1"/>
        <s v="10000000773" u="1"/>
        <s v="150210120645078" u="1"/>
        <s v="101020132521105" u="1"/>
        <s v="130503175449555" u="1"/>
        <s v="10000000774" u="1"/>
        <s v="110126123646794" u="1"/>
        <s v="121010114501270" u="1"/>
        <s v="10000000775" u="1"/>
        <s v="130503180836626" u="1"/>
        <s v="131119151507084" u="1"/>
        <s v="10000000776" u="1"/>
        <s v="10000000777" u="1"/>
        <s v="10000000778" u="1"/>
        <s v="150210122527290" u="1"/>
        <s v="110509123207107" u="1"/>
        <s v="10000000001" u="1"/>
        <s v="131118112408993" u="1"/>
        <s v="10000000002" u="1"/>
        <s v="120327103351480" u="1"/>
        <s v="140414092049200" u="1"/>
        <s v="10000000003" u="1"/>
        <s v="101020134018499" u="1"/>
        <s v="120210180857078" u="1"/>
        <s v="10000000004" u="1"/>
        <s v="140603165638856" u="1"/>
        <s v="110113113333173" u="1"/>
        <s v="10000000005" u="1"/>
        <s v="110106173836220" u="1"/>
        <s v="121017085040169" u="1"/>
        <s v="10000000006" u="1"/>
        <s v="130705132324996" u="1"/>
        <s v="130102090241734" u="1"/>
        <s v="120905154921460" u="1"/>
        <s v="110107104806328" u="1"/>
        <s v="120123144246819" u="1"/>
        <s v="10000000007" u="1"/>
        <s v="130511205630149" u="1"/>
        <s v="10000000948" u="1"/>
        <s v="10000000008" u="1"/>
        <s v="110106153525299" u="1"/>
        <s v="110106173346901" u="1"/>
        <s v="101020132529115" u="1"/>
        <s v="131119165954913" u="1"/>
        <s v="10000000009" u="1"/>
        <s v="131119160051561" u="1"/>
        <s v="10102013245974" u="1"/>
        <s v="131025154933485" u="1"/>
        <s v="130513100342738" u="1"/>
        <s v="101020134032517" u="1"/>
        <s v="120425131441447" u="1"/>
        <s v="150612103911627" u="1"/>
        <s v="101020134032518" u="1"/>
        <s v="110126170136279" u="1"/>
        <s v="130916144510205" u="1"/>
        <s v="110105203359561" u="1"/>
        <s v="111219164043858" u="1"/>
        <s v="110223165532507" u="1"/>
        <s v="110113154024011" u="1"/>
        <s v="111121164235735" u="1"/>
        <s v="150108111951753" u="1"/>
        <s v="101020134011488" u="1"/>
        <s v="110105215412769" u="1"/>
        <s v="110106172043324" u="1"/>
        <s v="130827115242335" u="1"/>
        <s v="150312130116660" u="1"/>
        <s v="131217112712204" u="1"/>
        <s v="10102013243133" u="1"/>
        <s v="120210120327097" u="1"/>
        <s v="110126170747078" u="1"/>
        <s v="120328152009576" u="1"/>
        <s v="121029090200960" u="1"/>
        <s v="131119151109137" u="1"/>
        <s v="110113102507944" u="1"/>
        <s v="131120124439012" u="1"/>
        <s v="110106153626942" u="1"/>
        <s v="120925115537106" u="1"/>
        <s v="110106161410166" u="1"/>
        <s v="131220102635559" u="1"/>
        <s v="120704115052643" u="1"/>
        <s v="131118110917187" u="1"/>
        <s v="131118112854488" u="1"/>
        <s v="120127102525314" u="1"/>
        <s v="130911104505706" u="1"/>
        <s v="10000000140" u="1"/>
        <s v="110107110926031" u="1"/>
        <s v="140130111636713" u="1"/>
        <s v="10000000141" u="1"/>
        <s v="110504162857128" u="1"/>
        <s v="10000000142" u="1"/>
        <s v="10000000143" u="1"/>
        <s v="131122151222409" u="1"/>
        <s v="10000000144" u="1"/>
        <s v="120625155843853" u="1"/>
        <s v="10000000145" u="1"/>
        <s v="120210155309208" u="1"/>
        <s v="110113123725384" u="1"/>
        <s v="140602133134574" u="1"/>
        <s v="10000000146" u="1"/>
        <s v="121109124632869" u="1"/>
        <s v="140820151107569" u="1"/>
        <s v="131119114814694" u="1"/>
        <s v="10000000147" u="1"/>
        <s v="131022131020693" u="1"/>
        <s v="111209085450214" u="1"/>
        <s v="10000000148" u="1"/>
        <s v="131203154555608" u="1"/>
        <s v="10000000149" u="1"/>
        <s v="110107094251125" u="1"/>
        <s v="110105201623387" u="1"/>
        <s v="150220091740894" u="1"/>
        <s v="150312120515785" u="1"/>
        <s v="140122102548012" u="1"/>
        <s v="110126095449820" u="1"/>
        <s v="120905152628277" u="1"/>
        <s v="131121084152909" u="1"/>
        <s v="110113104345223" u="1"/>
        <s v="110107092020000" u="1"/>
        <s v="140604162656582" u="1"/>
        <s v="131119123013486" u="1"/>
        <s v="100702152835923" u="1"/>
        <s v="120210161506138" u="1"/>
        <s v="141217094209287" u="1"/>
        <s v="101020134033519" u="1"/>
        <s v="140729105702983" u="1"/>
        <s v="10000001141" u="1"/>
        <s v="120307170737137" u="1"/>
        <s v="110106153110339" u="1"/>
        <s v="130913094609700" u="1"/>
        <s v="110106175155382" u="1"/>
        <s v="110126144849898" u="1"/>
        <s v="110105215615042" u="1"/>
        <s v="120817103554729" u="1"/>
        <s v="10000001145" u="1"/>
        <s v="110929113945315" u="1"/>
        <s v="121206152346225" u="1"/>
        <s v="10000001147" u="1"/>
        <s v="130913115806934" u="1"/>
        <s v="130927121614745" u="1"/>
        <s v="130913083055762" u="1"/>
        <s v="10000001148" u="1"/>
        <s v="150210145755547" u="1"/>
        <s v="110106120230805" u="1"/>
        <s v="140130110451359" u="1"/>
        <s v="130919160239021" u="1"/>
        <s v="110216160438335" u="1"/>
        <s v="131119055406286" u="1"/>
        <s v="110627114713573" u="1"/>
        <s v="131119162215144" u="1"/>
        <s v="110126120501383" u="1"/>
        <s v="130204114000848" u="1"/>
        <s v="140217100725138" u="1"/>
        <s v="10000000280" u="1"/>
        <s v="10000001314" u="1"/>
        <s v="110803155445801" u="1"/>
        <s v="100913104235000" u="1"/>
        <s v="101020132523107" u="1"/>
        <s v="10000000282" u="1"/>
        <s v="131118122844657" u="1"/>
        <s v="1.10216E+14" u="1"/>
        <s v="10000001316" u="1"/>
        <s v="150521165332114" u="1"/>
        <s v="140411112335553" u="1"/>
        <s v="1.40218E+14" u="1"/>
        <s v="131121095702729" u="1"/>
        <s v="131118121034279" u="1"/>
        <s v="131120104528409" u="1"/>
        <s v="110105200606762" u="1"/>
        <s v="101217121547177" u="1"/>
        <s v="110106104457744" u="1"/>
        <s v="110118105130634" u="1"/>
        <s v="10000000286" u="1"/>
        <s v="110107094838078" u="1"/>
        <s v="10000000287" u="1"/>
        <s v="130513085913449" u="1"/>
        <s v="131126101535263" u="1"/>
        <s v="100913125817857" u="1"/>
        <s v="110429152222690" u="1"/>
        <s v="10000000289" u="1"/>
        <s v="130916145344693" u="1"/>
        <s v="140217094211616" u="1"/>
        <s v="140523092611377" u="1"/>
        <s v="10102013250278" u="1"/>
        <s v="10000000452" u="1"/>
        <s v="110107091540953" u="1"/>
        <s v="140602154004143" u="1"/>
        <s v="10000000453" u="1"/>
        <s v="140108161608157" u="1"/>
        <s v="130513095530001" u="1"/>
        <s v="130710103236619" u="1"/>
        <s v="10000000455" u="1"/>
        <s v="131121085013841" u="1"/>
        <s v="10000001280" u="1"/>
        <s v="10000000456" u="1"/>
        <s v="140606111514011" u="1"/>
        <s v="130521093642742" u="1"/>
        <s v="110106153124799" u="1"/>
        <s v="121026175103884" u="1"/>
        <s v="10000000457" u="1"/>
        <s v="131115170316730" u="1"/>
        <s v="110126164742438" u="1"/>
        <s v="150312123114124" u="1"/>
        <s v="150211150604320" u="1"/>
        <s v="141013121532118" u="1"/>
        <s v="140122094358955" u="1"/>
        <s v="140911102634997" u="1"/>
        <s v="110113093007056" u="1"/>
        <s v="10000000623" u="1"/>
        <s v="10102013244147" u="1"/>
        <s v="10000000624" u="1"/>
        <s v="110126171926025" u="1"/>
        <s v="10000000626" u="1"/>
        <s v="110107105251765" u="1"/>
        <s v="10000000627" u="1"/>
        <s v="110127105841581" u="1"/>
        <s v="110113113029934" u="1"/>
        <s v="131217110901979" u="1"/>
        <s v="120131151953357" u="1"/>
        <s v="110106174520903" u="1"/>
        <s v="141104110841974" u="1"/>
        <s v="130207105116945" u="1"/>
        <s v="140217122642439" u="1"/>
        <s v="150601112507531" u="1"/>
        <s v="110126131303679" u="1"/>
        <s v="110106162555181" u="1"/>
        <s v="110118132623661" u="1"/>
        <s v="140417154001196" u="1"/>
        <s v="140307174308265" u="1"/>
        <s v="150210153729166" u="1"/>
        <s v="141212085606236" u="1"/>
        <s v="110323113300436" u="1"/>
        <s v="130913090733802" u="1"/>
        <s v="110126163012302" u="1"/>
        <s v="131118193852704" u="1"/>
        <s v="130516172705759" u="1"/>
        <s v="10102013250481" u="1"/>
        <s v="101020132524108" u="1"/>
        <s v="110222153234369" u="1"/>
        <s v="150420094738456" u="1"/>
        <s v="110330113333686" u="1"/>
        <s v="101020132524109" u="1"/>
        <s v="121123154501138" u="1"/>
        <s v="140515111126131" u="1"/>
        <s v="120308122313357" u="1"/>
        <s v="101217133604800" u="1"/>
        <s v="110413093856551" u="1"/>
        <s v="150522101256541" u="1"/>
        <s v="150212102659998" u="1"/>
        <s v="110105212526181" u="1"/>
        <s v="140602152641128" u="1"/>
        <s v="120210172750531" u="1"/>
        <s v="140730124631716" u="1"/>
        <s v="150618082627588" u="1"/>
        <s v="120328132225554" u="1"/>
        <s v="10000000593" u="1"/>
        <s v="110105194553480" u="1"/>
        <s v="10000000594" u="1"/>
        <s v="131121085330822" u="1"/>
        <s v="120518082745129" u="1"/>
        <s v="110106150021641" u="1"/>
        <s v="111123105442079" u="1"/>
        <s v="10000000596" u="1"/>
        <s v="131118130117730" u="1"/>
        <s v="130723091631526" u="1"/>
        <s v="10102013244350" u="1"/>
        <s v="10000000599" u="1"/>
        <s v="140521111502049" u="1"/>
        <s v="140605103820669" u="1"/>
        <s v="10000000760" u="1"/>
        <s v="140424170830311" u="1"/>
        <s v="110126123052610" u="1"/>
        <s v="110323160145303" u="1"/>
        <s v="10000000761" u="1"/>
        <s v="110106154857387" u="1"/>
        <s v="130206114152095" u="1"/>
        <s v="110126153726075" u="1"/>
        <s v="150421175642150" u="1"/>
        <s v="130905104942311" u="1"/>
        <s v="110106101935596" u="1"/>
        <s v="130805091738479" u="1"/>
        <s v="110113121258054" u="1"/>
        <s v="110126110724775" u="1"/>
        <s v="140205101624464" u="1"/>
        <s v="100913123211976" u="1"/>
        <s v="10000000766" u="1"/>
        <s v="130719160315324" u="1"/>
        <s v="10000000767" u="1"/>
        <s v="131118125116724" u="1"/>
        <s v="10000000768" u="1"/>
        <s v="140702085615192" u="1"/>
        <s v="110126165329088" u="1"/>
        <s v="150108094121577" u="1"/>
        <s v="110126122329645" u="1"/>
        <s v="110126163802801" u="1"/>
        <s v="130812094548760" u="1"/>
        <s v="140828133146122" u="1"/>
        <s v="101020134026510" u="1"/>
        <s v="110126165616633" u="1"/>
        <s v="111221094242248" u="1"/>
        <s v="131118194555916" u="1"/>
        <s v="110106150004909" u="1"/>
        <s v="130607115607499" u="1"/>
        <s v="110106172325362" u="1"/>
        <s v="140206151717633" u="1"/>
        <s v="131118161427516" u="1"/>
        <s v="140910100243345" u="1"/>
        <s v="110106143748628" u="1"/>
        <s v="121017085353407" u="1"/>
        <s v="110105190134333" u="1"/>
        <s v="110217110147422" u="1"/>
        <s v="150312122225153" u="1"/>
        <s v="150224172903528" u="1"/>
        <s v="150601112246405" u="1"/>
        <s v="110126102020470" u="1"/>
        <s v="110126160635017" u="1"/>
        <s v="130513102402996" u="1"/>
        <s v="111221093906900" u="1"/>
        <s v="141125152752442" u="1"/>
        <s v="120210160118849" u="1"/>
        <s v="120131123653093" u="1"/>
        <s v="121206163707594" u="1"/>
        <s v="131120160907383" u="1"/>
        <s v="101217161456601" u="1"/>
        <s v="110113092703677" u="1"/>
        <s v="131118095358460" u="1"/>
        <s v="140718100954572" u="1"/>
        <s v="110106111340105" u="1"/>
        <s v="131029150952356" u="1"/>
        <s v="110107092300750" u="1"/>
        <s v="140730123529196" u="1"/>
        <s v="110106130038390" u="1"/>
        <s v="140910160803373" u="1"/>
        <s v="140603171410567" u="1"/>
        <s v="111108174852718" u="1"/>
        <s v="130627152844358" u="1"/>
        <s v="100913114219802" u="1"/>
        <s v="110112172935929" u="1"/>
        <s v="130206121445472" u="1"/>
        <s v="110106164442257" u="1"/>
        <s v="131118192143775" u="1"/>
        <s v="140401150311326" u="1"/>
        <s v="131119154139532" u="1"/>
        <s v="131119100553302" u="1"/>
        <s v="150210110224486" u="1"/>
        <s v="10000000130" u="1"/>
        <s v="110106154424651" u="1"/>
        <s v="110907162157772" u="1"/>
        <s v="10000000131" u="1"/>
        <s v="130509090443539" u="1"/>
        <s v="10000000132" u="1"/>
        <s v="10102013250887" u="1"/>
        <s v="10000000133" u="1"/>
        <s v="130827163810686" u="1"/>
        <s v="10000000134" u="1"/>
        <s v="100913105324413" u="1"/>
        <s v="110330104254796" u="1"/>
        <s v="131118082308319" u="1"/>
        <s v="10000000135" u="1"/>
        <s v="120210152527299" u="1"/>
        <s v="10000000136" u="1"/>
        <s v="10102013251495" u="1"/>
        <s v="131119081449512" u="1"/>
        <s v="10000000137" u="1"/>
        <s v="101020134027511" u="1"/>
        <s v="130513191842640" u="1"/>
        <s v="110126175055431" u="1"/>
        <s v="131120124836756" u="1"/>
        <s v="10000000138" u="1"/>
        <s v="150112162933170" u="1"/>
        <s v="10000000139" u="1"/>
        <s v="110106175235943" u="1"/>
        <s v="110126110712685" u="1"/>
        <s v="130718123754197" u="1"/>
        <s v="130705155307710" u="1"/>
        <s v="10000000301" u="1"/>
        <s v="131120112941985" u="1"/>
        <s v="10000000302" u="1"/>
        <s v="120307173020102" u="1"/>
        <s v="110126162613761" u="1"/>
        <s v="10000000304" u="1"/>
        <s v="10102013244756" u="1"/>
        <s v="110126165802308" u="1"/>
        <s v="140411111030229" u="1"/>
        <s v="120123154004645" u="1"/>
        <s v="150408151836360" u="1"/>
        <s v="140702084606881" u="1"/>
        <s v="130314152047730" u="1"/>
        <s v="130827162156900" u="1"/>
        <s v="110225151852161" u="1"/>
        <s v="110330101127251" u="1"/>
        <s v="140619101937994" u="1"/>
        <s v="141212093331824" u="1"/>
        <s v="110105205027952" u="1"/>
        <s v="131119151904594" u="1"/>
        <s v="140603160831495" u="1"/>
        <s v="110119113903097" u="1"/>
        <s v="110106165139388" u="1"/>
        <s v="110126155736689" u="1"/>
        <s v="131210130052491" u="1"/>
        <s v="101020134020500" u="1"/>
        <s v="110126180210822" u="1"/>
        <s v="101028100131393" u="1"/>
        <s v="131119150811578" u="1"/>
        <s v="110803131059454" u="1"/>
        <s v="110105202322219" u="1"/>
        <s v="110126121746084" u="1"/>
        <s v="131119154605106" u="1"/>
        <s v="130511175933610" u="1"/>
        <s v="110126171121221" u="1"/>
        <s v="131203160019178" u="1"/>
        <s v="140605114938778" u="1"/>
        <s v="110113094920075" u="1"/>
        <s v="150108131036179" u="1"/>
        <s v="110803132909340" u="1"/>
        <s v="10000000271" u="1"/>
        <s v="141212085901660" u="1"/>
        <s v="10000000272" u="1"/>
        <s v="130107125733021" u="1"/>
        <s v="110919124457607" u="1"/>
        <s v="100913115750842" u="1"/>
        <s v="10000000274" u="1"/>
        <s v="110105210535768" u="1"/>
        <s v="140911102200638" u="1"/>
        <s v="10000000275" u="1"/>
        <s v="141124101044142" u="1"/>
        <s v="110113113650405" u="1"/>
        <s v="131206100336682" u="1"/>
        <s v="10000000277" u="1"/>
        <s v="10000000278" u="1"/>
        <s v="131120115254175" u="1"/>
        <s v="10000000279" u="1"/>
        <s v="131126101136598" u="1"/>
        <s v="10000000440" u="1"/>
        <s v="150312115521765" u="1"/>
        <s v="130827123050839" u="1"/>
        <s v="131118120342143" u="1"/>
        <s v="140702090617543" u="1"/>
        <s v="111123132548157" u="1"/>
        <s v="120127180103179" u="1"/>
        <s v="130916141932716" u="1"/>
        <s v="10000000441" u="1"/>
        <s v="101020134028512" u="1"/>
        <s v="110705153440945" u="1"/>
        <s v="120808135853909" u="1"/>
        <s v="10000000442" u="1"/>
        <s v="110504170827842" u="1"/>
        <s v="140522102104967" u="1"/>
        <s v="101020134028513" u="1"/>
        <s v="140602154941409" u="1"/>
        <s v="131119123752219" u="1"/>
        <s v="131119115547983" u="1"/>
        <s v="10000000444" u="1"/>
        <s v="130606121702450" u="1"/>
        <s v="10000000445" u="1"/>
        <s v="131210125715620" u="1"/>
        <s v="121026174258771" u="1"/>
        <s v="10000000446" u="1"/>
        <s v="131119053331234" u="1"/>
        <s v="10000000447" u="1"/>
        <s v="120210131430667" u="1"/>
        <s v="10000000448" u="1"/>
        <s v="130805105135405" u="1"/>
        <s v="10000000449" u="1"/>
        <s v="10000000610" u="1"/>
        <s v="130730134020119" u="1"/>
        <s v="130503105947111" u="1"/>
        <s v="110504164144306" u="1"/>
        <s v="130307094931764" u="1"/>
        <s v="130913112313710" u="1"/>
        <s v="131008154740623" u="1"/>
        <s v="10000000612" u="1"/>
        <s v="10000000613" u="1"/>
        <s v="150210150607559" u="1"/>
        <s v="100913115924925" u="1"/>
        <s v="140221132814130" u="1"/>
        <s v="10000000614" u="1"/>
        <s v="140804160202295" u="1"/>
        <s v="120210162927981" u="1"/>
        <s v="140603172437364" u="1"/>
        <s v="150326124623110" u="1"/>
        <s v="110107165618522" u="1"/>
        <s v="10000000617" u="1"/>
        <s v="140604164329357" u="1"/>
        <s v="10000000618" u="1"/>
        <s v="130812093228589" u="1"/>
        <s v="130513155557402" u="1"/>
        <s v="130711102159968" u="1"/>
        <s v="150522084258551" u="1"/>
        <s v="131118174309924" u="1"/>
        <s v="131030131034023" u="1"/>
        <s v="130503113515372" u="1"/>
        <s v="140930152138133" u="1"/>
        <s v="110106154031924" u="1"/>
        <s v="131030131737531" u="1"/>
        <s v="150521170720464" u="1"/>
        <s v="110107090959265" u="1"/>
        <s v="130913103914939" u="1"/>
        <s v="110106152757114" u="1"/>
        <s v="131119094226353" u="1"/>
        <s v="110106122823819" u="1"/>
        <s v="110110155152657" u="1"/>
        <s v="120210130928680" u="1"/>
        <s v="110125191051374" u="1"/>
        <s v="140401150031565" u="1"/>
        <s v="121203173947671" u="1"/>
        <s v="121206163956495" u="1"/>
        <s v="130409095830010" u="1"/>
        <s v="131119110705495" u="1"/>
        <s v="10000000580" u="1"/>
        <s v="110106162831245" u="1"/>
        <s v="101020132553150" u="1"/>
        <s v="110331110702900" u="1"/>
        <s v="131118093627379" u="1"/>
        <s v="10000000581" u="1"/>
        <s v="110217103508297" u="1"/>
        <s v="150224171155684" u="1"/>
        <s v="110126161435922" u="1"/>
        <s v="10000000582" u="1"/>
        <s v="140825130604631" u="1"/>
        <s v="110512125513549" u="1"/>
        <s v="120124095615630" u="1"/>
        <s v="110106102704333" u="1"/>
        <s v="131210125412632" u="1"/>
        <s v="110412125941834" u="1"/>
        <s v="110127123851223" u="1"/>
        <s v="10000000585" u="1"/>
        <s v="10000000587" u="1"/>
        <s v="101020134029514" u="1"/>
        <s v="140910102651846" u="1"/>
        <s v="110112172405771" u="1"/>
        <s v="120425174915421" u="1"/>
        <s v="140401132453848" u="1"/>
        <s v="140926131730242" u="1"/>
        <s v="101020134029515" u="1"/>
        <s v="140221083326581" u="1"/>
        <s v="10000000750" u="1"/>
        <s v="10102013243032" u="1"/>
        <s v="140217094658658" u="1"/>
        <s v="110106093909616" u="1"/>
        <s v="120210165226250" u="1"/>
        <s v="140901124232350" u="1"/>
        <s v="110113100344243" u="1"/>
        <s v="110106142838396" u="1"/>
        <s v="10000000753" u="1"/>
        <s v="140604164835868" u="1"/>
        <s v="140411111606489" u="1"/>
        <s v="131118150107473" u="1"/>
        <s v="110126165948670" u="1"/>
        <s v="110427131731649" u="1"/>
        <s v="111114101706644" u="1"/>
        <s v="10000000755" u="1"/>
        <s v="110126165141167" u="1"/>
        <s v="130827154035064" u="1"/>
        <s v="110106154852144" u="1"/>
        <s v="10000000756" u="1"/>
        <s v="110104133738996" u="1"/>
        <s v="140908161754993" u="1"/>
        <s v="131119154152667" u="1"/>
        <s v="120711112106339" u="1"/>
        <s v="120417172759528" u="1"/>
        <s v="10000000758" u="1"/>
        <s v="140911164832964" u="1"/>
        <s v="140522091329378" u="1"/>
        <s v="140206180053387" u="1"/>
        <s v="101020132519101" u="1"/>
        <s v="110106172826568" u="1"/>
        <s v="10000000921" u="1"/>
        <s v="120703114600954" u="1"/>
        <s v="131220094933606" u="1"/>
        <s v="101020132519102" u="1"/>
        <s v="10000000923" u="1"/>
        <s v="110107090711609" u="1"/>
        <s v="131118100154323" u="1"/>
        <s v="101020134022504" u="1"/>
        <s v="110309172627821" u="1"/>
        <s v="110106132958644" u="1"/>
        <s v="131119153618453" u="1"/>
        <s v="110105182318592" u="1"/>
        <s v="150226121438095" u="1"/>
        <s v="130821085942594" u="1"/>
        <s v="111121154115814" u="1"/>
        <s v="120210121720876" u="1"/>
        <s v="120210103337575" u="1"/>
        <s v="120210125447789" u="1"/>
        <s v="10102013245973" u="1"/>
        <s v="120307172657348" u="1"/>
        <s v="140515102928259" u="1"/>
        <s v="130705154135756" u="1"/>
        <s v="120123151910381" u="1"/>
        <s v="120131153702652" u="1"/>
        <s v="120426094121311" u="1"/>
        <s v="120206130346311" u="1"/>
        <s v="130705154454422" u="1"/>
        <s v="110105214303821" u="1"/>
        <s v="111208153726752" u="1"/>
        <s v="140307083017569" u="1"/>
        <s v="131118082530576" u="1"/>
        <s v="110113153333027" u="1"/>
        <s v="141110083601152" u="1"/>
        <s v="140722082944041" u="1"/>
        <s v="140217093233477" u="1"/>
        <s v="131118114714460" u="1"/>
        <s v="110323152159746" u="1"/>
        <s v="140122101558925" u="1"/>
        <s v="150522105532371" u="1"/>
        <s v="110126161250215" u="1"/>
        <s v="10000000891" u="1"/>
        <s v="110113124533573" u="1"/>
        <s v="110127124624515" u="1"/>
        <s v="131118154452969" u="1"/>
        <s v="130103131840765" u="1"/>
        <s v="140217083239791" u="1"/>
        <s v="10000000892" u="1"/>
        <s v="121010112626768" u="1"/>
        <s v="101217152459994" u="1"/>
        <s v="10000000893" u="1"/>
        <s v="110126172323802" u="1"/>
        <s v="130802173535292" u="1"/>
        <s v="150220132614316" u="1"/>
        <s v="150224174725743" u="1"/>
        <s v="131119153743582" u="1"/>
        <s v="131118164656876" u="1"/>
        <s v="120214162131068" u="1"/>
        <s v="140402083710309" u="1"/>
        <s v="131118083236877" u="1"/>
        <s v="140828144012053" u="1"/>
        <s v="10000000120" u="1"/>
        <s v="140606164319574" u="1"/>
        <s v="110126170941442" u="1"/>
        <s v="10000000121" u="1"/>
        <s v="140108163536301" u="1"/>
        <s v="150522094845607" u="1"/>
        <s v="120514171259536" u="1"/>
        <s v="10000000122" u="1"/>
        <s v="131118150620893" u="1"/>
        <s v="150312125217783" u="1"/>
        <s v="10000000123" u="1"/>
        <s v="110106163300144" u="1"/>
        <s v="110107105441609" u="1"/>
        <s v="110126171013688" u="1"/>
        <s v="141029154334091" u="1"/>
        <s v="10000000125" u="1"/>
        <s v="120215100545850" u="1"/>
        <s v="10000000126" u="1"/>
        <s v="140327095259738" u="1"/>
        <s v="110106132048005" u="1"/>
        <s v="110126154918391" u="1"/>
        <s v="141022130644693" u="1"/>
        <s v="10000000127" u="1"/>
        <s v="110106090252778" u="1"/>
        <s v="131120085817808" u="1"/>
        <s v="130204114257098" u="1"/>
        <s v="101020134023505" u="1"/>
        <s v="10000000128" u="1"/>
        <s v="150522105306108" u="1"/>
        <s v="10000000129" u="1"/>
        <s v="10102013250177" u="1"/>
        <s v="110105215124147" u="1"/>
        <s v="131118153227476" u="1"/>
        <s v="110106105214532" u="1"/>
        <s v="110504154723722" u="1"/>
        <s v="140702090205242" u="1"/>
        <s v="141212084900322" u="1"/>
        <s v="110126173938948" u="1"/>
        <s v="110106102425602" u="1"/>
        <s v="140411110244160" u="1"/>
        <s v="101020132555152" u="1"/>
        <s v="140217091722774" u="1"/>
        <s v="131119114313396" u="1"/>
        <s v="100913113706632" u="1"/>
        <s v="131121085230965" u="1"/>
        <s v="10000000090" u="1"/>
        <s v="110113123402380" u="1"/>
        <s v="10000000091" u="1"/>
        <s v="10102013244046" u="1"/>
        <s v="131126093710144" u="1"/>
        <s v="10000000092" u="1"/>
        <s v="110309174250330" u="1"/>
        <s v="110105215649893" u="1"/>
        <s v="130703172552668" u="1"/>
        <s v="10000000094" u="1"/>
        <s v="110126170911615" u="1"/>
        <s v="140214101839691" u="1"/>
        <s v="150522100148127" u="1"/>
        <s v="150210145215644" u="1"/>
        <s v="10000000095" u="1"/>
        <s v="150522100401381" u="1"/>
        <s v="140911173019369" u="1"/>
        <s v="10000000096" u="1"/>
        <s v="140110154538047" u="1"/>
        <s v="10000000097" u="1"/>
        <s v="110126161817334" u="1"/>
        <s v="10000000098" u="1"/>
        <s v="140910113040095" u="1"/>
        <s v="140424162743045" u="1"/>
        <s v="10000000099" u="1"/>
        <s v="131119145329991" u="1"/>
        <s v="120210170524788" u="1"/>
        <s v="121026130720134" u="1"/>
        <s v="121203173423067" u="1"/>
        <s v="10000000261" u="1"/>
        <s v="120523173056591" u="1"/>
        <s v="10000000262" u="1"/>
        <s v="150210144930157" u="1"/>
        <s v="140522093502969" u="1"/>
        <s v="110126131003592" u="1"/>
        <s v="110126171614659" u="1"/>
        <s v="110113115705044" u="1"/>
        <s v="10000000269" u="1"/>
        <s v="130503125158698" u="1"/>
        <s v="110126145138254" u="1"/>
        <s v="130111105949922" u="1"/>
        <s v="140108164051889" u="1"/>
        <s v="150421173331745" u="1"/>
        <s v="10000000430" u="1"/>
        <s v="131119170418319" u="1"/>
        <s v="10000000431" u="1"/>
        <s v="131119111656407" u="1"/>
        <s v="110105211525327" u="1"/>
        <s v="110126113859407" u="1"/>
        <s v="101020134024506" u="1"/>
        <s v="131126092428771" u="1"/>
        <s v="10000000432" u="1"/>
        <s v="130301174759797" u="1"/>
        <s v="10000000433" u="1"/>
        <s v="150522095631147" u="1"/>
        <s v="131119063005732" u="1"/>
        <s v="150522090249524" u="1"/>
        <s v="101020134024507" u="1"/>
        <s v="150522091224050" u="1"/>
        <s v="110112131038142" u="1"/>
        <s v="10000000435" u="1"/>
        <s v="100913124133623" u="1"/>
        <s v="110217133007346" u="1"/>
        <s v="130916162841563" u="1"/>
        <s v="121026171431179" u="1"/>
        <s v="130607120524528" u="1"/>
        <s v="120326101924231" u="1"/>
        <s v="10000000437" u="1"/>
        <s v="111221091707892" u="1"/>
        <s v="150401123931974" u="1"/>
        <s v="10000000438" u="1"/>
        <s v="131119162754163" u="1"/>
        <s v="10000001263" u="1"/>
        <s v="110126165743307" u="1"/>
        <s v="10000000439" u="1"/>
        <s v="110106162223613" u="1"/>
        <s v="131203155303938" u="1"/>
        <s v="140523093312345" u="1"/>
        <s v="131120084234866" u="1"/>
        <s v="120210114547757" u="1"/>
        <s v="10000000600" u="1"/>
        <s v="131118195156463" u="1"/>
        <s v="131211095031960" u="1"/>
        <s v="10000000601" u="1"/>
        <s v="131118084823001" u="1"/>
        <s v="10000001266" u="1"/>
        <s v="130913082631186" u="1"/>
        <s v="150513162637982" u="1"/>
        <s v="131119095735911" u="1"/>
        <s v="110126160227116" u="1"/>
        <s v="110126162440192" u="1"/>
        <s v="110330110229629" u="1"/>
        <s v="130513094551914" u="1"/>
        <s v="101217114049993" u="1"/>
        <s v="141029100045500" u="1"/>
        <s v="10000000606" u="1"/>
        <s v="140217081211252" u="1"/>
        <s v="110107151723765" u="1"/>
        <s v="131126094710167" u="1"/>
        <s v="10000000608" u="1"/>
        <s v="130104131546558" u="1"/>
        <s v="130301123400711" u="1"/>
        <s v="110106153827524" u="1"/>
        <s v="130511064405986" u="1"/>
        <s v="140609153937424" u="1"/>
        <s v="130916113329105" u="1"/>
        <s v="110106090010865" u="1"/>
        <s v="120705093950910" u="1"/>
        <s v="10102013250480" u="1"/>
        <s v="120425111836811" u="1"/>
        <s v="130503122953556" u="1"/>
        <s v="110106100453613" u="1"/>
        <s v="110126122424058" u="1"/>
        <s v="101217160850607" u="1"/>
        <s v="150513164200528" u="1"/>
        <s v="131118160317777" u="1"/>
        <s v="130529115945654" u="1"/>
        <s v="131118113458779" u="1"/>
        <s v="10000000570" u="1"/>
        <s v="140609162106217" u="1"/>
        <s v="10000000571" u="1"/>
        <s v="140522131636204" u="1"/>
        <s v="1010201324070" u="1"/>
        <s v="141017172416751" u="1"/>
        <s v="10000000573" u="1"/>
        <s v="150522091611888" u="1"/>
        <s v="141022122445948" u="1"/>
        <s v="110126171357612" u="1"/>
        <s v="10000000574" u="1"/>
        <s v="131118130702209" u="1"/>
        <s v="131119144455331" u="1"/>
        <s v="110105213916574" u="1"/>
        <s v="121029085522676" u="1"/>
        <s v="150408165955297" u="1"/>
        <s v="101020134025508" u="1"/>
        <s v="100913104702338" u="1"/>
        <s v="100913125118966" u="1"/>
        <s v="110106103751206" u="1"/>
        <s v="110106163217555" u="1"/>
        <s v="131010105311945" u="1"/>
        <s v="140717171437960" u="1"/>
        <s v="10000000740" u="1"/>
        <s v="131118121342243" u="1"/>
        <s v="130109122430813" u="1"/>
        <s v="110225143919541" u="1"/>
        <s v="140424164815796" u="1"/>
        <s v="130429123638949" u="1"/>
        <s v="110107103241453" u="1"/>
        <s v="110126113538649" u="1"/>
        <s v="10000000742" u="1"/>
        <s v="110105200256378" u="1"/>
        <s v="110118133900110" u="1"/>
        <s v="110126123404647" u="1"/>
        <s v="10000000743" u="1"/>
        <s v="130513095016421" u="1"/>
        <s v="130513094047239" u="1"/>
        <s v="10000000745" u="1"/>
        <s v="110105205726081" u="1"/>
        <s v="110105215203132" u="1"/>
        <s v="10000000746" u="1"/>
        <s v="10000000747" u="1"/>
        <s v="110105215850419" u="1"/>
        <s v="140521125655946" u="1"/>
        <s v="110705113853433" u="1"/>
        <s v="10000000910" u="1"/>
        <s v="110216120502701" u="1"/>
        <s v="131121095247341" u="1"/>
        <s v="10000000912" u="1"/>
        <s v="110106103457453" u="1"/>
        <s v="110302095337770" u="1"/>
        <s v="150522101050934" u="1"/>
        <s v="110323171157775" u="1"/>
        <s v="130503113837751" u="1"/>
        <s v="150312122731114" u="1"/>
        <s v="101020133919419" u="1"/>
        <s v="141024103243427" u="1"/>
        <s v="111114102615096" u="1"/>
        <s v="130511060216257" u="1"/>
        <s v="121031104643841" u="1"/>
        <s v="120903112222842" u="1"/>
        <s v="110126092602982" u="1"/>
        <s v="110106131712534" u="1"/>
        <s v="121205084303420" u="1"/>
        <s v="141212092225637" u="1"/>
        <s v="110105195945168" u="1"/>
        <s v="110126162737986" u="1"/>
        <s v="131119065258282" u="1"/>
        <s v="120222135249119" u="1"/>
        <s v="110106153245461" u="1"/>
        <s v="110126093858806" u="1"/>
        <s v="130503113103011" u="1"/>
        <s v="130828165431761" u="1"/>
        <s v="131025160952921" u="1"/>
        <s v="110503123327555" u="1"/>
        <s v="130812094119239" u="1"/>
        <s v="110105193941511" u="1"/>
        <s v="101020134026509" u="1"/>
        <s v="101217153012027" u="1"/>
        <s v="110113093311106" u="1"/>
        <s v="101130120840321" u="1"/>
        <s v="110217132634516" u="1"/>
        <s v="110107094149890" u="1"/>
        <s v="131119124733319" u="1"/>
        <s v="131119081839316" u="1"/>
        <s v="111121161439760" u="1"/>
        <s v="110415104608026" u="1"/>
        <s v="150522091702029" u="1"/>
        <s v="10000000887" u="1"/>
        <s v="121029073658402" u="1"/>
        <s v="140424170138437" u="1"/>
        <s v="120518082438443" u="1"/>
        <s v="110106142334832" u="1"/>
        <s v="110801150010876" u="1"/>
        <s v="120307170305196" u="1"/>
        <s v="110126165147563" u="1"/>
        <s v="110106165820951" u="1"/>
        <s v="110329121535870" u="1"/>
        <s v="121227100137398" u="1"/>
        <s v="150127150116904" u="1"/>
        <s v="10000000110" u="1"/>
        <s v="110106164210562" u="1"/>
        <s v="131119084815719" u="1"/>
        <s v="10000000111" u="1"/>
        <s v="140217121832300" u="1"/>
        <s v="10000000112" u="1"/>
        <s v="10000000113" u="1"/>
        <s v="130916142526524" u="1"/>
        <s v="10000000114" u="1"/>
        <s v="110523105753701" u="1"/>
        <s v="120808161340060" u="1"/>
        <s v="10000000115" u="1"/>
        <s v="101217160504765" u="1"/>
        <s v="110107091745625" u="1"/>
        <s v="10000000116" u="1"/>
        <s v="110106121928274" u="1"/>
        <s v="140214085731976" u="1"/>
        <s v="150108111605271" u="1"/>
        <s v="110126164344615" u="1"/>
        <s v="110106153340592" u="1"/>
        <s v="120210120849286" u="1"/>
        <s v="140801092831162" u="1"/>
        <s v="10000000117" u="1"/>
        <s v="110225141920947" u="1"/>
        <s v="140217120821790" u="1"/>
        <s v="10000000118" u="1"/>
        <s v="111114100203694" u="1"/>
        <s v="100913124815104" u="1"/>
        <s v="10000000119" u="1"/>
        <s v="110126171217677" u="1"/>
        <s v="130607121637856" u="1"/>
        <s v="131119103914423" u="1"/>
        <s v="131119130131851" u="1"/>
        <s v="130606161808595" u="1"/>
        <s v="110106162957154" u="1"/>
        <s v="110127105118648" u="1"/>
        <s v="130805083347867" u="1"/>
        <s v="140515113123642" u="1"/>
        <s v="111209084339395" u="1"/>
        <s v="150522084752889" u="1"/>
        <s v="130805111558692" u="1"/>
        <s v="120210151325186" u="1"/>
        <s v="140604104648150" u="1"/>
        <s v="101020132551146" u="1"/>
        <s v="141014131836540" u="1"/>
        <s v="110106101024085" u="1"/>
        <s v="110106164239032" u="1"/>
        <s v="10000000080" u="1"/>
        <s v="101020132551147" u="1"/>
        <s v="10000000081" u="1"/>
        <s v="110927132620264" u="1"/>
        <s v="130509083829577" u="1"/>
        <s v="110105213324683" u="1"/>
        <s v="120328125341229" u="1"/>
        <s v="10000000082" u="1"/>
        <s v="150119095426186" u="1"/>
        <s v="10000000083" u="1"/>
        <s v="10000001117" u="1"/>
        <s v="10000000084" u="1"/>
        <s v="10000001118" u="1"/>
        <s v="10000000085" u="1"/>
        <s v="10000001119" u="1"/>
        <s v="100913105622986" u="1"/>
        <s v="10000000086" u="1"/>
        <s v="110502165230623" u="1"/>
        <s v="110118110200223" u="1"/>
        <s v="10000000087" u="1"/>
        <s v="130513095841201" u="1"/>
        <s v="121206145020362" u="1"/>
        <s v="131119124947932" u="1"/>
        <s v="10000000088" u="1"/>
        <s v="110106085205936" u="1"/>
        <s v="10000000089" u="1"/>
        <s v="131119105913299" u="1"/>
        <s v="110113101809159" u="1"/>
        <s v="130705135313754" u="1"/>
        <s v="10000000250" u="1"/>
        <s v="10000000251" u="1"/>
        <s v="110126110501457" u="1"/>
        <s v="150224124717429" u="1"/>
        <s v="130916122004547" u="1"/>
        <s v="10000000252" u="1"/>
        <s v="120210170835593" u="1"/>
        <s v="120312085804894" u="1"/>
        <s v="130513101115893" u="1"/>
        <s v="110106132142754" u="1"/>
        <s v="130511175422310" u="1"/>
        <s v="110105192438187" u="1"/>
        <s v="130916161252116" u="1"/>
        <s v="10000000255" u="1"/>
        <s v="130607121000102" u="1"/>
        <s v="10000000256" u="1"/>
        <s v="131210124345044" u="1"/>
        <s v="10000000258" u="1"/>
        <s v="110106171308331" u="1"/>
        <s v="130805104410861" u="1"/>
        <s v="120210160328392" u="1"/>
        <s v="100913103923042" u="1"/>
        <s v="10000000420" u="1"/>
        <s v="121112155532705" u="1"/>
        <s v="101217113247248" u="1"/>
        <s v="130916102738483" u="1"/>
        <s v="10000000422" u="1"/>
        <s v="130511062311629" u="1"/>
        <s v="131119095327700" u="1"/>
        <s v="141212091840372" u="1"/>
        <s v="121109124059745" u="1"/>
        <s v="10000000424" u="1"/>
        <s v="120217105601085" u="1"/>
        <s v="10000000425" u="1"/>
        <s v="10102013242323" u="1"/>
        <s v="150429112753168" u="1"/>
        <s v="111121163313577" u="1"/>
        <s v="10000000426" u="1"/>
        <s v="141014130956573" u="1"/>
        <s v="10000000427" u="1"/>
        <s v="111108170105684" u="1"/>
        <s v="131120113451738" u="1"/>
        <s v="141212083032341" u="1"/>
        <s v="110113095700091" u="1"/>
        <s v="130122114020281" u="1"/>
        <s v="130513105606581" u="1"/>
        <s v="120425171751784" u="1"/>
        <s v="131118161947706" u="1"/>
        <s v="131029133021503" u="1"/>
        <s v="131203153453451" u="1"/>
        <s v="110106103048241" u="1"/>
        <s v="150409131637678" u="1"/>
        <s v="131119062537349" u="1"/>
        <s v="110330101859891" u="1"/>
        <s v="101020132552148" u="1"/>
        <s v="121206180345763" u="1"/>
        <s v="110126133420298" u="1"/>
        <s v="110105215746022" u="1"/>
        <s v="120425112140376" u="1"/>
        <s v="131118155609837" u="1"/>
        <s v="130513095202232" u="1"/>
        <s v="110126163415071" u="1"/>
        <s v="131210150216397" u="1"/>
        <s v="140225174414096" u="1"/>
        <s v="10000000390" u="1"/>
        <s v="131126100308553" u="1"/>
        <s v="10000000391" u="1"/>
        <s v="130511200415637" u="1"/>
        <s v="140108171512368" u="1"/>
        <s v="10000000392" u="1"/>
        <s v="131119055814810" u="1"/>
        <s v="131118165950699" u="1"/>
        <s v="131029131721285" u="1"/>
        <s v="10000000394" u="1"/>
        <s v="101217120140778" u="1"/>
        <s v="110503090900791" u="1"/>
        <s v="110107091501281" u="1"/>
        <s v="120123150159838" u="1"/>
        <s v="10000000398" u="1"/>
        <s v="111005100815023" u="1"/>
        <s v="121026162346683" u="1"/>
        <s v="110106142102926" u="1"/>
        <s v="10000000560" u="1"/>
        <s v="110106101435809" u="1"/>
        <s v="131210130417553" u="1"/>
        <s v="131119094621945" u="1"/>
        <s v="10000000562" u="1"/>
        <s v="110113112302679" u="1"/>
        <s v="150223105427375" u="1"/>
        <s v="110705170441279" u="1"/>
        <s v="10000000563" u="1"/>
        <s v="101020133857388" u="1"/>
        <s v="10102013241815" u="1"/>
        <s v="140606095126629" u="1"/>
        <s v="10000000564" u="1"/>
        <s v="121127174147598" u="1"/>
        <s v="131119054533296" u="1"/>
        <s v="10000000565" u="1"/>
        <s v="110113122651911" u="1"/>
        <s v="131126160117428" u="1"/>
        <s v="10000000566" u="1"/>
        <s v="140804160548138" u="1"/>
        <s v="131220112338018" u="1"/>
        <s v="131118103602665" u="1"/>
        <s v="131119121054250" u="1"/>
        <s v="111117131717377" u="1"/>
        <s v="131119122102525" u="1"/>
        <s v="131217113735890" u="1"/>
        <s v="131118104934848" u="1"/>
        <s v="110330101511219" u="1"/>
        <s v="1.4021E+14" u="1"/>
        <s v="130521155131733" u="1"/>
        <s v="130220101645516" u="1"/>
        <s v="110107092629421" u="1"/>
        <s v="140217110645096" u="1"/>
        <s v="10000000734" u="1"/>
        <s v="110106094438732" u="1"/>
        <s v="131118112416746" u="1"/>
        <s v="10000000735" u="1"/>
        <s v="10000000736" u="1"/>
        <s v="130920130728154" u="1"/>
        <s v="130913085353710" u="1"/>
        <s v="150203100553834" u="1"/>
        <s v="10000000737" u="1"/>
        <s v="10000000738" u="1"/>
        <s v="110106101851666" u="1"/>
        <s v="110126104633335" u="1"/>
        <s v="101020132553149" u="1"/>
        <s v="110113094009002" u="1"/>
        <s v="140108162637789" u="1"/>
        <s v="10000000739" u="1"/>
        <s v="140901153032900" u="1"/>
        <s v="110106155205846" u="1"/>
        <s v="120621153418743" u="1"/>
        <s v="131220170742007" u="1"/>
        <s v="131118105311267" u="1"/>
        <s v="110105211740986" u="1"/>
        <s v="120208133639899" u="1"/>
        <s v="131118111934526" u="1"/>
        <s v="110106121059170" u="1"/>
        <s v="10000000904" u="1"/>
        <s v="110106165104366" u="1"/>
        <s v="110126172700347" u="1"/>
        <s v="140214085104064" u="1"/>
        <s v="141022101158197" u="1"/>
        <s v="130522125408159" u="1"/>
        <s v="110106163542587" u="1"/>
        <s v="131119163916117" u="1"/>
        <s v="131210125042812" u="1"/>
        <s v="10000000907" u="1"/>
        <s v="110126125239383" u="1"/>
        <s v="150210150213414" u="1"/>
        <s v="120123134739910" u="1"/>
        <s v="10102013250076" u="1"/>
        <s v="131119092356897" u="1"/>
        <s v="110113092000805" u="1"/>
        <s v="110127104315434" u="1"/>
        <s v="10000000908" u="1"/>
        <s v="130827160939989" u="1"/>
        <s v="10000000909" u="1"/>
        <s v="120703133341319" u="1"/>
        <s v="130314152727342" u="1"/>
        <s v="131220171336533" u="1"/>
        <s v="120210115909493" u="1"/>
        <s v="110107091452000" u="1"/>
        <s v="130206123100621" u="1"/>
        <s v="130326100555456" u="1"/>
        <s v="131210145904579" u="1"/>
        <s v="131118114118608" u="1"/>
        <s v="150709151518220" u="1"/>
        <s v="110106154332249" u="1"/>
        <s v="130916161752681" u="1"/>
        <s v="131119092803861" u="1"/>
        <s v="110105192215041" u="1"/>
        <s v="140217100304133" u="1"/>
        <s v="110114092329680" u="1"/>
        <s v="131118192958014" u="1"/>
        <s v="140214084404655" u="1"/>
        <s v="140217102808950" u="1"/>
        <s v="131119084037890" u="1"/>
        <s v="140527162110990" u="1"/>
        <s v="150226110348863" u="1"/>
        <s v="110126164207130" u="1"/>
        <s v="140206152620295" u="1"/>
        <s v="131118091734991" u="1"/>
        <s v="150312121903931" u="1"/>
        <s v="110106153438052" u="1"/>
        <s v="140214091441645" u="1"/>
        <s v="131119071243648" u="1"/>
        <s v="110107170246058" u="1"/>
        <s v="10000000873" u="1"/>
        <s v="131126103815442" u="1"/>
        <s v="131118165135991" u="1"/>
        <s v="10000000875" u="1"/>
        <s v="131118161754762" u="1"/>
        <s v="10000000877" u="1"/>
        <s v="110105205345527" u="1"/>
        <s v="140609101121002" u="1"/>
        <s v="130312180540598" u="1"/>
        <s v="110106153052295" u="1"/>
        <s v="130827114613645" u="1"/>
        <s v="120210124522489" u="1"/>
        <s v="150223155621984" u="1"/>
        <s v="121029075555986" u="1"/>
        <s v="130812093600858" u="1"/>
        <s v="150427103057084" u="1"/>
        <s v="110105164347794" u="1"/>
        <s v="10000000100" u="1"/>
        <s v="140729110603526" u="1"/>
        <s v="10000000101" u="1"/>
        <s v="10000000102" u="1"/>
        <s v="110106102350969" u="1"/>
        <s v="110217121018661" u="1"/>
        <s v="120326114251832" u="1"/>
        <s v="131119083647447" u="1"/>
        <s v="10000000103" u="1"/>
        <s v="131029124916859" u="1"/>
        <s v="10000000104" u="1"/>
        <s v="131115165055865" u="1"/>
        <s v="131217114713280" u="1"/>
        <s v="10000000105" u="1"/>
        <s v="10000000106" u="1"/>
        <s v="130125115248691" u="1"/>
        <s v="120210113717712" u="1"/>
        <s v="110126133802443" u="1"/>
        <s v="10000000107" u="1"/>
        <s v="110126102722656" u="1"/>
        <s v="10000000108" u="1"/>
        <s v="140701100630979" u="1"/>
        <s v="110113095348631" u="1"/>
        <s v="131029150705124" u="1"/>
        <s v="140401151139093" u="1"/>
        <s v="10000000109" u="1"/>
        <s v="120515123928527" u="1"/>
        <s v="110330112405247" u="1"/>
        <s v="110503091524723" u="1"/>
        <s v="110105215631875" u="1"/>
        <s v="121109124851601" u="1"/>
        <s v="110106171901439" u="1"/>
        <s v="120709122703144" u="1"/>
        <s v="110113153624285" u="1"/>
        <s v="131118123544983" u="1"/>
        <s v="110106112314110" u="1"/>
        <s v="140605120741909" u="1"/>
        <s v="110105201113475" u="1"/>
        <s v="130625153318966" u="1"/>
        <s v="131119152341119" u="1"/>
        <s v="120511122754574" u="1"/>
        <s v="110107163923508" u="1"/>
        <s v="130627122005804" u="1"/>
        <s v="110113115147691" u="1"/>
        <s v="110127153611599" u="1"/>
        <s v="131118151942499" u="1"/>
        <s v="10000000070" u="1"/>
        <s v="120210132741342" u="1"/>
        <s v="130913084939383" u="1"/>
        <s v="140605132820686" u="1"/>
        <s v="10000000071" u="1"/>
        <s v="131120123625959" u="1"/>
        <s v="110105193837831" u="1"/>
        <s v="10000000072" u="1"/>
        <s v="110107091138421" u="1"/>
        <s v="10000000073" u="1"/>
        <s v="110106112245437" u="1"/>
        <s v="110126154020671" u="1"/>
        <s v="130916153024168" u="1"/>
        <s v="131126092852426" u="1"/>
        <s v="141212091421332" u="1"/>
        <s v="110106171228738" u="1"/>
        <s v="130426110529548" u="1"/>
        <s v="10000000075" u="1"/>
        <s v="110106145623332" u="1"/>
        <s v="10000000076" u="1"/>
        <s v="110126121627475" u="1"/>
        <s v="131029130008471" u="1"/>
        <s v="130503103646215" u="1"/>
        <s v="10000000077" u="1"/>
        <s v="110324131342208" u="1"/>
        <s v="150508111255773" u="1"/>
        <s v="140606110516200" u="1"/>
        <s v="10000000078" u="1"/>
        <s v="131120130533861" u="1"/>
        <s v="10000000079" u="1"/>
        <s v="150312121206748" u="1"/>
        <s v="131119095920400" u="1"/>
        <s v="110106165905863" u="1"/>
        <s v="131118104056975" u="1"/>
        <s v="10000000241" u="1"/>
        <s v="10000000242" u="1"/>
        <s v="131118085808563" u="1"/>
        <s v="110105210212671" u="1"/>
        <s v="130314145756201" u="1"/>
        <s v="130913104912450" u="1"/>
        <s v="130913111230428" u="1"/>
        <s v="130503122300515" u="1"/>
        <s v="110126153133793" u="1"/>
        <s v="10000000244" u="1"/>
        <s v="110126130229504" u="1"/>
        <s v="110106085046687" u="1"/>
        <s v="110126161135585" u="1"/>
        <s v="120131151211220" u="1"/>
        <s v="130516171024435" u="1"/>
        <s v="131119165843559" u="1"/>
        <s v="10000000248" u="1"/>
        <s v="131119085604795" u="1"/>
        <s v="10000000249" u="1"/>
        <s v="140110160214410" u="1"/>
        <s v="131120110056094" u="1"/>
        <s v="10000000410" u="1"/>
        <s v="140618165121308" u="1"/>
        <s v="120618123715092" u="1"/>
        <s v="130916145752795" u="1"/>
        <s v="100913102954875" u="1"/>
        <s v="110126132430520" u="1"/>
        <s v="10000000412" u="1"/>
        <s v="10102013243640" u="1"/>
        <s v="10000000413" u="1"/>
        <s v="150522105124011" u="1"/>
        <s v="110107093306625" u="1"/>
        <s v="130511070355556" u="1"/>
        <s v="130705154950526" u="1"/>
        <s v="140903095422126" u="1"/>
        <s v="120210151714382" u="1"/>
        <s v="140606093854080" u="1"/>
        <s v="140804161323723" u="1"/>
        <s v="131118094538075" u="1"/>
        <s v="10000001240" u="1"/>
        <s v="131118154818858" u="1"/>
        <s v="120201123545597" u="1"/>
        <s v="150224172305624" u="1"/>
        <s v="130805090947391" u="1"/>
        <s v="131118170309287" u="1"/>
        <s v="10000000417" u="1"/>
        <s v="100930164946524" u="1"/>
        <s v="110106125358358" u="1"/>
        <s v="10000000418" u="1"/>
        <s v="130307095319181" u="1"/>
        <s v="131118110459678" u="1"/>
        <s v="120704104149600" u="1"/>
        <s v="150521170137570" u="1"/>
        <s v="130314151207748" u="1"/>
        <s v="141029154930678" u="1"/>
        <s v="10000001245" u="1"/>
        <s v="10000001246" u="1"/>
        <s v="131120124832872" u="1"/>
        <s v="130511061528087" u="1"/>
        <s v="110105211455406" u="1"/>
        <s v="110523110625147" u="1"/>
        <s v="110323172115418" u="1"/>
        <s v="130827132543266" u="1"/>
        <s v="140217090236548" u="1"/>
        <s v="110323155108023" u="1"/>
        <s v="110126171834233" u="1"/>
        <s v="130511195519680" u="1"/>
        <s v="131025161756552" u="1"/>
        <s v="110223164851244" u="1"/>
        <s v="130913114918234" u="1"/>
        <s v="130201094911198" u="1"/>
        <s v="130513091621868" u="1"/>
        <s v="140214090536765" u="1"/>
        <s v="120215121206827" u="1"/>
        <s v="10000000380" u="1"/>
        <s v="140402092540960" u="1"/>
        <s v="130513110015479" u="1"/>
        <s v="121026133147252" u="1"/>
        <s v="130913091554874" u="1"/>
        <s v="120210101108447" u="1"/>
        <s v="130423084040994" u="1"/>
        <s v="110330102141563" u="1"/>
        <s v="10000000383" u="1"/>
        <s v="131119163351138" u="1"/>
        <s v="110105191346243" u="1"/>
        <s v="150108102424158" u="1"/>
        <s v="110323155602303" u="1"/>
        <s v="131119062005678" u="1"/>
        <s v="110105214159174" u="1"/>
        <s v="140122100253418" u="1"/>
        <s v="10000000387" u="1"/>
        <s v="110217111253479" u="1"/>
        <s v="130703160140280" u="1"/>
        <s v="130802093346297" u="1"/>
        <s v="10000000388" u="1"/>
        <s v="110503093859986" u="1"/>
        <s v="110105210258051" u="1"/>
        <s v="10000000389" u="1"/>
        <s v="140108172458569" u="1"/>
        <s v="130513100352457" u="1"/>
        <s v="130913111621776" u="1"/>
        <s v="120425180152505" u="1"/>
        <s v="120807095939016" u="1"/>
        <s v="130507121245297" u="1"/>
        <s v="10000000551" u="1"/>
        <s v="110105170300750" u="1"/>
        <s v="10000000552" u="1"/>
        <s v="120807091015422" u="1"/>
        <s v="110105204628943" u="1"/>
        <s v="141106085237215" u="1"/>
        <s v="120426090827271" u="1"/>
        <s v="130827163209963" u="1"/>
        <s v="10000000554" u="1"/>
        <s v="110127125650579" u="1"/>
        <s v="131118161023423" u="1"/>
        <s v="110106092331489" u="1"/>
        <s v="110107105749078" u="1"/>
        <s v="140521112151801" u="1"/>
        <s v="101020132547140" u="1"/>
        <s v="10000000557" u="1"/>
        <s v="110126162003633" u="1"/>
        <s v="110106162016675" u="1"/>
        <s v="140521131001708" u="1"/>
        <s v="10000000558" u="1"/>
        <s v="110105191826671" u="1"/>
        <s v="131118122047702" u="1"/>
        <s v="120625122412211" u="1"/>
        <s v="131121090800678" u="1"/>
        <s v="101020132547141" u="1"/>
        <s v="10000000559" u="1"/>
        <s v="141124111202880" u="1"/>
        <s v="110504161735225" u="1"/>
        <s v="110126153748851" u="1"/>
        <s v="131115165858080" u="1"/>
        <s v="110413091352820" u="1"/>
        <s v="110106104940574" u="1"/>
        <s v="130805083636753" u="1"/>
        <s v="10000000723" u="1"/>
        <s v="131120090555013" u="1"/>
        <s v="140808105156491" u="1"/>
        <s v="150409145914369" u="1"/>
        <s v="10000000724" u="1"/>
        <s v="130903105819167" u="1"/>
        <s v="120210124933401" u="1"/>
        <s v="10000000726" u="1"/>
        <s v="131119163319314" u="1"/>
        <s v="110106173923504" u="1"/>
        <s v="141009120204603" u="1"/>
        <s v="110413110007900" u="1"/>
        <s v="110106123014239" u="1"/>
        <s v="140603170147800" u="1"/>
        <s v="120210150913260" u="1"/>
        <s v="10000000729" u="1"/>
        <s v="131118172525021" u="1"/>
        <s v="130511174422518" u="1"/>
        <s v="130513111019215" u="1"/>
        <s v="141014154633293" u="1"/>
        <s v="130607115920362" u="1"/>
        <s v="110113122346675" u="1"/>
        <s v="100913124436174" u="1"/>
        <s v="101020132540130" u="1"/>
        <s v="110106162749249" u="1"/>
        <s v="101217105729487" u="1"/>
        <s v="120123152854917" u="1"/>
        <s v="150130130416391" u="1"/>
        <s v="140804163721881" u="1"/>
        <s v="130314153056025" u="1"/>
        <s v="140729105125459" u="1"/>
        <s v="110106101623980" u="1"/>
        <s v="110113155046019" u="1"/>
        <s v="140522094155280" u="1"/>
        <s v="110127125643434" u="1"/>
        <s v="10000000690" u="1"/>
        <s v="10000000691" u="1"/>
        <s v="150210110951083" u="1"/>
        <s v="141217174045267" u="1"/>
        <s v="10000000692" u="1"/>
        <s v="110107165806693" u="1"/>
        <s v="110126130705048" u="1"/>
        <s v="10102013244654" u="1"/>
        <s v="110106104019173" u="1"/>
        <s v="10000000694" u="1"/>
        <s v="130403122930998" u="1"/>
        <s v="140206091905607" u="1"/>
        <s v="111108152947054" u="1"/>
        <s v="131118131041873" u="1"/>
        <s v="140702092516911" u="1"/>
        <s v="10000000695" u="1"/>
        <s v="110106151731526" u="1"/>
        <s v="10000000697" u="1"/>
        <s v="110105210031223" u="1"/>
        <s v="130513094835868" u="1"/>
        <s v="10000000698" u="1"/>
        <s v="10000000699" u="1"/>
        <s v="140206174501054" u="1"/>
        <s v="110107102724140" u="1"/>
        <s v="110126144541870" u="1"/>
        <s v="110106101243800" u="1"/>
        <s v="130916143320998" u="1"/>
        <s v="130513094715015" u="1"/>
        <s v="130108153206130" u="1"/>
        <s v="140414091206519" u="1"/>
        <s v="110107105939406" u="1"/>
        <s v="10000000862" u="1"/>
        <s v="131023131311085" u="1"/>
        <s v="101020132548142" u="1"/>
        <s v="120210160527000" u="1"/>
        <s v="110705165033226" u="1"/>
        <s v="110705165750013" u="1"/>
        <s v="131118103007328" u="1"/>
        <s v="141212085248068" u="1"/>
        <s v="141110082712480" u="1"/>
        <s v="131118104417154" u="1"/>
        <s v="131118102413333" u="1"/>
        <s v="140401152117935" u="1"/>
        <s v="10000000868" u="1"/>
        <s v="130911102003947" u="1"/>
        <s v="110126103427462" u="1"/>
        <s v="131119170705427" u="1"/>
        <s v="111024163134486" u="1"/>
        <s v="130827113629285" u="1"/>
        <s v="140702121810120" u="1"/>
        <s v="131119145101525" u="1"/>
        <s v="140108160745416" u="1"/>
        <s v="110113122058802" u="1"/>
        <s v="120328125659896" u="1"/>
        <s v="110105210854077" u="1"/>
        <s v="150709152037430" u="1"/>
        <s v="130125114732461" u="1"/>
        <s v="150210120423626" u="1"/>
        <s v="140908173104221" u="1"/>
        <s v="140826125322706" u="1"/>
        <s v="130222153709066" u="1"/>
        <s v="120123132950477" u="1"/>
        <s v="110927130640186" u="1"/>
        <s v="140804164019129" u="1"/>
        <s v="110126172300043" u="1"/>
        <s v="121109124419379" u="1"/>
        <s v="110105212751543" u="1"/>
        <s v="130312180047022" u="1"/>
        <s v="150210104949803" u="1"/>
        <s v="101020132541132" u="1"/>
        <s v="130307094843186" u="1"/>
        <s v="131120110620761" u="1"/>
        <s v="110106152531553" u="1"/>
        <s v="110127124231512" u="1"/>
        <s v="120210171602957" u="1"/>
        <s v="120214154900135" u="1"/>
        <s v="140225092119867" u="1"/>
        <s v="110106164640537" u="1"/>
        <s v="110126173017579" u="1"/>
        <s v="150224125140315" u="1"/>
        <s v="110126163311298" u="1"/>
        <s v="130805105653819" u="1"/>
        <s v="130718123956967" u="1"/>
        <s v="130916161550143" u="1"/>
        <s v="140217164528555" u="1"/>
        <s v="131118110723339" u="1"/>
        <s v="140227090952089" u="1"/>
        <s v="130730133652109" u="1"/>
        <s v="140227130142402" u="1"/>
        <s v="150224130002814" u="1"/>
        <s v="101217145600161" u="1"/>
        <s v="130513154058701" u="1"/>
        <s v="141029095255765" u="1"/>
        <s v="140910112646265" u="1"/>
        <s v="140520131554489" u="1"/>
        <s v="10000000060" u="1"/>
        <s v="120306104949182" u="1"/>
        <s v="130826173227734" u="1"/>
        <s v="110503130047692" u="1"/>
        <s v="10000000061" u="1"/>
        <s v="131118152314519" u="1"/>
        <s v="10102013242119" u="1"/>
        <s v="10000000062" u="1"/>
        <s v="140206151811516" u="1"/>
        <s v="110106151411225" u="1"/>
        <s v="10000000063" u="1"/>
        <s v="10000000064" u="1"/>
        <s v="10000000065" u="1"/>
        <s v="150210122152596" u="1"/>
        <s v="130503124641628" u="1"/>
        <s v="10000000066" u="1"/>
        <s v="100913123417291" u="1"/>
        <s v="10000000067" u="1"/>
        <s v="131119061617762" u="1"/>
        <s v="10000000068" u="1"/>
        <s v="130816120819919" u="1"/>
        <s v="130503110308538" u="1"/>
        <s v="101020132549144" u="1"/>
        <s v="130710122414043" u="1"/>
        <s v="10000000069" u="1"/>
        <s v="110413092258149" u="1"/>
        <s v="120425113109652" u="1"/>
        <s v="110126113425407" u="1"/>
        <s v="141112125354671" u="1"/>
        <s v="130913095555448" u="1"/>
        <s v="120425175850656" u="1"/>
        <s v="110126133511591" u="1"/>
        <s v="131118155159598" u="1"/>
        <s v="10000000233" u="1"/>
        <s v="130513195758662" u="1"/>
        <s v="10000000234" u="1"/>
        <s v="10000000235" u="1"/>
        <s v="131120125344061" u="1"/>
        <s v="110106161453285" u="1"/>
        <s v="120210102707915" u="1"/>
        <s v="121002122815461" u="1"/>
        <s v="10000000236" u="1"/>
        <s v="150709084023817" u="1"/>
        <s v="10000000237" u="1"/>
        <s v="110106153215224" u="1"/>
        <s v="10000000238" u="1"/>
        <s v="120210163939130" u="1"/>
        <s v="150219131317402" u="1"/>
        <s v="10000000239" u="1"/>
        <s v="110502162300741" u="1"/>
        <s v="10000000400" u="1"/>
        <s v="110113115422522" u="1"/>
        <s v="10000000401" u="1"/>
        <s v="130220102520351" u="1"/>
        <s v="131210145507131" u="1"/>
        <s v="110225141410070" u="1"/>
        <s v="150220092521279" u="1"/>
        <s v="140110152515124" u="1"/>
        <s v="130125115603971" u="1"/>
        <s v="101020132542133" u="1"/>
        <s v="10000000404" u="1"/>
        <s v="141122091820005" u="1"/>
        <s v="10000000405" u="1"/>
        <s v="150601112003442" u="1"/>
        <s v="101020132542134" u="1"/>
        <s v="110107170653567" u="1"/>
        <s v="150420100157257" u="1"/>
        <s v="131220125157169" u="1"/>
        <s v="10000001230" u="1"/>
        <s v="130314144759325" u="1"/>
        <s v="10000001231" u="1"/>
        <s v="10000000407" u="1"/>
        <s v="110113114534818" u="1"/>
        <s v="130513121049354" u="1"/>
        <s v="10000001232" u="1"/>
        <s v="130805110032765" u="1"/>
        <s v="10000000408" u="1"/>
        <s v="10000001233" u="1"/>
        <s v="10000000409" u="1"/>
        <s v="120727130644582" u="1"/>
        <s v="130625155039876" u="1"/>
        <s v="10000001235" u="1"/>
        <s v="110105213104859" u="1"/>
        <s v="121123153418648" u="1"/>
        <s v="110106151809588" u="1"/>
        <s v="10000001236" u="1"/>
        <s v="110126113749768" u="1"/>
        <s v="110106122545789" u="1"/>
        <s v="110126121206345" u="1"/>
        <s v="130916143708758" u="1"/>
        <s v="10000001237" u="1"/>
        <s v="131118081759595" u="1"/>
        <s v="131120091009777" u="1"/>
        <s v="10000001238" u="1"/>
        <s v="100913105815088" u="1"/>
        <s v="10000001239" u="1"/>
        <s v="140523085948434" u="1"/>
        <s v="110106094107085" u="1"/>
        <s v="110106164018912" u="1"/>
        <s v="110214111326872" u="1"/>
        <s v="150522103023820" u="1"/>
        <s v="101217100111192" u="1"/>
        <s v="131118095238307" u="1"/>
        <s v="100913130317065" u="1"/>
        <s v="130503103134714" u="1"/>
        <s v="150108110447259" u="1"/>
        <s v="10000000372" u="1"/>
        <s v="131118113742392" u="1"/>
        <s v="10000000373" u="1"/>
        <s v="110126131641940" u="1"/>
        <s v="120523170017913" u="1"/>
        <s v="10000000374" u="1"/>
        <s v="130916102938634" u="1"/>
        <s v="10000000375" u="1"/>
        <s v="10000000376" u="1"/>
        <s v="130516170758434" u="1"/>
        <s v="10000000377" u="1"/>
        <s v="110104101941486" u="1"/>
        <s v="110127103738270" u="1"/>
        <s v="10000000378" u="1"/>
        <s v="100913122839254" u="1"/>
        <s v="140604161747303" u="1"/>
        <s v="110530123638426" u="1"/>
        <s v="130513094422737" u="1"/>
        <s v="110211133331802" u="1"/>
        <s v="121217101456776" u="1"/>
        <s v="10000000541" u="1"/>
        <s v="130511211136437" u="1"/>
        <s v="131120122345318" u="1"/>
        <s v="110413111150961" u="1"/>
        <s v="121003121042875" u="1"/>
        <s v="110503123911473" u="1"/>
        <s v="10000000542" u="1"/>
        <s v="10000000543" u="1"/>
        <s v="110225120420366" u="1"/>
        <s v="150522083407076" u="1"/>
        <s v="130511194123218" u="1"/>
        <s v="10000000544" u="1"/>
        <s v="110106152037215" u="1"/>
        <s v="120928154253916" u="1"/>
        <s v="10000000546" u="1"/>
        <s v="10000000547" u="1"/>
        <s v="150224171600404" u="1"/>
        <s v="120307171731033" u="1"/>
        <s v="130814160716665" u="1"/>
        <s v="120306103450179" u="1"/>
        <s v="110106155419741" u="1"/>
        <s v="101020132543135" u="1"/>
        <s v="120210130112722" u="1"/>
        <s v="131126104250798" u="1"/>
        <s v="10000000711" u="1"/>
        <s v="150522085610526" u="1"/>
        <s v="10000000712" u="1"/>
        <s v="10000000713" u="1"/>
        <s v="120210173915750" u="1"/>
        <s v="140910115809977" u="1"/>
        <s v="10000000715" u="1"/>
        <s v="150227102735248" u="1"/>
        <s v="130507122831849" u="1"/>
        <s v="10000000716" u="1"/>
        <s v="110106143124627" u="1"/>
        <s v="131210154353177" u="1"/>
        <s v="10000000717" u="1"/>
        <s v="130805084228969" u="1"/>
        <s v="110110090512998" u="1"/>
        <s v="150521165410365" u="1"/>
        <s v="10000000718" u="1"/>
        <s v="120123152412212" u="1"/>
        <s v="110105193448369" u="1"/>
        <s v="130903102630632" u="1"/>
        <s v="130513160229695" u="1"/>
        <s v="131119104836351" u="1"/>
        <s v="130527134559735" u="1"/>
        <s v="131119063426049" u="1"/>
        <s v="140521124558979" u="1"/>
        <s v="110107102958531" u="1"/>
        <s v="120210171243744" u="1"/>
        <s v="120210171933995" u="1"/>
        <s v="130503112507331" u="1"/>
        <s v="121206151801887" u="1"/>
        <s v="110126114849294" u="1"/>
        <s v="141125130630262" u="1"/>
        <s v="110207181356778" u="1"/>
        <s v="10102013250075" u="1"/>
        <s v="100913120617842" u="1"/>
        <s v="110106104729705" u="1"/>
        <s v="100913113934037" u="1"/>
        <s v="110113103936745" u="1"/>
        <s v="120607130905401" u="1"/>
        <s v="110106132446508" u="1"/>
        <s v="121109125224964" u="1"/>
        <s v="121119145411734" u="1"/>
        <s v="10000000680" u="1"/>
        <s v="111121122714600" u="1"/>
        <s v="110217121538009" u="1"/>
        <s v="130315131316950" u="1"/>
        <s v="10000000681" u="1"/>
        <s v="10000000682" u="1"/>
        <s v="131118165821779" u="1"/>
        <s v="120210153543315" u="1"/>
        <s v="131010110445053" u="1"/>
        <s v="110106090316584" u="1"/>
        <s v="140311175512493" u="1"/>
        <s v="10000000683" u="1"/>
        <s v="10000000684" u="1"/>
        <s v="110126162750872" u="1"/>
        <s v="120807124431226" u="1"/>
        <s v="110105194308103" u="1"/>
        <s v="130814160413676" u="1"/>
        <s v="150508115702597" u="1"/>
        <s v="110105213852815" u="1"/>
        <s v="10000000685" u="1"/>
        <s v="131118131916205" u="1"/>
        <s v="150504171240944" u="1"/>
        <s v="130607114740608" u="1"/>
        <s v="120124090410621" u="1"/>
        <s v="10000000686" u="1"/>
        <s v="140702093115293" u="1"/>
        <s v="10000000687" u="1"/>
        <s v="141029100500483" u="1"/>
        <s v="130805111955516" u="1"/>
        <s v="150203120041701" u="1"/>
        <s v="10000000688" u="1"/>
        <s v="130515111903835" u="1"/>
        <s v="140122095757049" u="1"/>
        <s v="10000000689" u="1"/>
        <s v="120215100826967" u="1"/>
        <s v="130513172239596" u="1"/>
        <s v="111208155550864" u="1"/>
        <s v="150522085223402" u="1"/>
        <s v="131119060250493" u="1"/>
        <s v="110907160700556" u="1"/>
        <s v="110126163912206" u="1"/>
        <s v="130814153658536" u="1"/>
        <s v="131119111603523" u="1"/>
        <s v="131025151730629" u="1"/>
        <s v="110503124717288" u="1"/>
        <s v="101020132544136" u="1"/>
        <s v="131118121727211" u="1"/>
        <s v="110217131243722" u="1"/>
        <s v="110126173545680" u="1"/>
        <s v="110127125025771" u="1"/>
        <s v="140828144700058" u="1"/>
        <s v="101020132544137" u="1"/>
        <s v="110126155508441" u="1"/>
        <s v="120903113926567" u="1"/>
        <s v="110106152301108" u="1"/>
        <s v="140108175949453" u="1"/>
        <s v="110127125254362" u="1"/>
        <s v="140603152531957" u="1"/>
        <s v="130503121807921" u="1"/>
        <s v="131118112757065" u="1"/>
        <s v="130511200000466" u="1"/>
        <s v="130821091159055" u="1"/>
        <s v="140603151937663" u="1"/>
        <s v="110107165934053" u="1"/>
        <s v="130827154627781" u="1"/>
        <s v="110106171538622" u="1"/>
        <s v="131119090843018" u="1"/>
        <s v="120210163342294" u="1"/>
        <s v="131119121027106" u="1"/>
        <s v="120627085916568" u="1"/>
        <s v="110502180009010" u="1"/>
        <s v="150427102808959" u="1"/>
        <s v="140702094513065" u="1"/>
        <s v="131118163653343" u="1"/>
        <s v="110106150403511" u="1"/>
        <s v="140327101616680" u="1"/>
        <s v="140108161131289" u="1"/>
        <s v="110126114024927" u="1"/>
        <s v="110328141954984" u="1"/>
        <s v="110325163151071" u="1"/>
        <s v="110107110452968" u="1"/>
        <s v="110127120623832" u="1"/>
        <s v="131111172524979" u="1"/>
        <s v="131119104926973" u="1"/>
        <s v="140611163840970" u="1"/>
        <s v="131119132203798" u="1"/>
        <s v="110803155249534" u="1"/>
        <s v="131118083020315" u="1"/>
        <s v="130508173035625" u="1"/>
        <s v="140214090144370" u="1"/>
        <s v="110107100850687" u="1"/>
        <s v="110106171321622" u="1"/>
        <s v="10000000050" u="1"/>
        <s v="110126171425879" u="1"/>
        <s v="10000000991" u="1"/>
        <s v="140828145158316" u="1"/>
        <s v="10000000992" u="1"/>
        <s v="10000000052" u="1"/>
        <s v="110106174207649" u="1"/>
        <s v="10000000993" u="1"/>
        <s v="10000000053" u="1"/>
        <s v="110126145422352" u="1"/>
        <s v="10000000994" u="1"/>
        <s v="150525174647072" u="1"/>
        <s v="10000000054" u="1"/>
        <s v="10000000055" u="1"/>
        <s v="10000000996" u="1"/>
        <s v="110222153549384" u="1"/>
        <s v="10000000056" u="1"/>
        <s v="140702091059577" u="1"/>
        <s v="131118084150240" u="1"/>
        <s v="10000000057" u="1"/>
        <s v="110126172839423" u="1"/>
        <s v="131122150231462" u="1"/>
        <s v="110107100205265" u="1"/>
        <s v="10000000059" u="1"/>
        <s v="101020132545138" u="1"/>
        <s v="140217082138581" u="1"/>
        <s v="130827161448875" u="1"/>
        <s v="10000000220" u="1"/>
        <s v="110106144125648" u="1"/>
        <s v="131029153350302" u="1"/>
        <s v="131119112101795" u="1"/>
        <s v="121026155607264" u="1"/>
        <s v="140122100746589" u="1"/>
        <s v="110118125752299" u="1"/>
        <s v="110106121320700" u="1"/>
        <s v="110106154631980" u="1"/>
        <s v="120214161757284" u="1"/>
        <s v="130805092158188" u="1"/>
        <s v="131119101323596" u="1"/>
        <s v="140512115256938" u="1"/>
        <s v="10000000225" u="1"/>
        <s v="141022101612400" u="1"/>
        <s v="130916151227877" u="1"/>
        <s v="10000000227" u="1"/>
        <s v="110106102609296" u="1"/>
        <s v="140108162039972" u="1"/>
        <s v="141029093149957" u="1"/>
        <s v="130913110802561" u="1"/>
        <s v="10000001054" u="1"/>
        <s v="140107153548916" u="1"/>
        <s v="140606090533960" u="1"/>
        <s v="10000001055" u="1"/>
        <s v="150408151138400" u="1"/>
        <s v="140217112651374" u="1"/>
        <s v="141014132249589" u="1"/>
        <s v="110106123430885" u="1"/>
        <s v="140123091302964" u="1"/>
        <s v="150108114530438" u="1"/>
        <s v="131118120735643" u="1"/>
        <s v="140315121232863" u="1"/>
        <s v="140604110439830" u="1"/>
        <s v="150522081612321" u="1"/>
        <s v="110107090807015" u="1"/>
        <s v="10000001220" u="1"/>
        <s v="110104173503260" u="1"/>
        <s v="140219153754901" u="1"/>
        <s v="10000001221" u="1"/>
        <s v="130628082210090" u="1"/>
        <s v="10000001222" u="1"/>
        <s v="130916162228754" u="1"/>
        <s v="10000001223" u="1"/>
        <s v="131118114610219" u="1"/>
        <s v="10000000190" u="1"/>
        <s v="10000001224" u="1"/>
        <s v="110106132114112" u="1"/>
        <s v="141020091344977" u="1"/>
        <s v="10000000191" u="1"/>
        <s v="10000001225" u="1"/>
        <s v="121109123742466" u="1"/>
        <s v="10000000192" u="1"/>
        <s v="10000001226" u="1"/>
        <s v="100913115240277" u="1"/>
        <s v="10000000193" u="1"/>
        <s v="10000001227" u="1"/>
        <s v="130828103759353" u="1"/>
        <s v="110105214047960" u="1"/>
        <s v="10000000194" u="1"/>
        <s v="10000001228" u="1"/>
        <s v="130528102210176" u="1"/>
        <s v="131118122516958" u="1"/>
        <s v="10000000195" u="1"/>
        <s v="10000001229" u="1"/>
        <s v="10000000196" u="1"/>
        <s v="131119110904710" u="1"/>
        <s v="110113124856858" u="1"/>
        <s v="110107105904671" u="1"/>
        <s v="121205093340522" u="1"/>
        <s v="10102013250684" u="1"/>
        <s v="10000000360" u="1"/>
        <s v="110217115217924" u="1"/>
        <s v="110106174050818" u="1"/>
        <s v="101020132546139" u="1"/>
        <s v="140605112539014" u="1"/>
        <s v="10000000364" u="1"/>
        <s v="131119162835051" u="1"/>
        <s v="120612160330366" u="1"/>
        <s v="10000001190" u="1"/>
        <s v="110126164526874" u="1"/>
        <s v="10000001191" u="1"/>
        <s v="10102013243945" u="1"/>
        <s v="10000001192" u="1"/>
        <s v="10000001193" u="1"/>
        <s v="120131153154831" u="1"/>
        <s v="110106104802918" u="1"/>
        <s v="120210115507754" u="1"/>
        <s v="10000001194" u="1"/>
        <s v="110503100115939" u="1"/>
        <s v="10000000530" u="1"/>
        <s v="10000001195" u="1"/>
        <s v="150312120809881" u="1"/>
        <s v="10000000531" u="1"/>
        <s v="110105194732041" u="1"/>
        <s v="10000001196" u="1"/>
        <s v="10000000532" u="1"/>
        <s v="130503112148493" u="1"/>
        <s v="10000001197" u="1"/>
        <s v="130916144930834" u="1"/>
        <s v="10000000533" u="1"/>
        <s v="140729102817066" u="1"/>
        <s v="10000001198" u="1"/>
        <s v="130513090236005" u="1"/>
        <s v="10000000534" u="1"/>
        <s v="131118113224277" u="1"/>
        <s v="140107150906687" u="1"/>
        <s v="120411122936555" u="1"/>
        <s v="130403084117250" u="1"/>
        <s v="10000001199" u="1"/>
        <s v="10000000535" u="1"/>
        <s v="120210165552124" u="1"/>
        <s v="150210123254634" u="1"/>
        <s v="10000001360" u="1"/>
        <s v="10000000536" u="1"/>
        <s v="150626121407556" u="1"/>
        <s v="10000001361" u="1"/>
        <s v="10000000537" u="1"/>
        <s v="130913085842107" u="1"/>
        <s v="131126102322171" u="1"/>
        <s v="10000001363" u="1"/>
        <s v="10000000539" u="1"/>
        <s v="140217094659376" u="1"/>
        <s v="140402084154028" u="1"/>
        <s v="110126115516831" u="1"/>
        <s v="10000000700" u="1"/>
        <s v="131119105422780" u="1"/>
        <s v="120210123836356" u="1"/>
        <s v="110106122924045" u="1"/>
        <s v="10000000701" u="1"/>
        <s v="150108091707913" u="1"/>
        <s v="10000000702" u="1"/>
        <s v="130511064929376" u="1"/>
        <s v="130503114935837" u="1"/>
        <s v="130827161208084" u="1"/>
        <s v="131120081947635" u="1"/>
        <s v="150522083225102" u="1"/>
        <s v="110126103819529" u="1"/>
        <s v="10000000707" u="1"/>
        <s v="110126175518215" u="1"/>
        <s v="10000000708" u="1"/>
        <s v="110106154128876" u="1"/>
        <s v="130513110557759" u="1"/>
        <s v="150224123940963" u="1"/>
        <s v="150522100820083" u="1"/>
        <s v="110126135417044" u="1"/>
        <s v="131119150544392" u="1"/>
        <s v="131210151246481" u="1"/>
        <s v="130805111228061" u="1"/>
        <s v="150518155433333" u="1"/>
        <s v="120511123908264" u="1"/>
        <s v="130627095058295" u="1"/>
        <s v="140122103049482" u="1"/>
        <s v="140616162932764" u="1"/>
        <s v="130805085658872" u="1"/>
        <s v="131118101914967" u="1"/>
        <s v="130129102202117" u="1"/>
        <s v="130513101317789" u="1"/>
        <s v="110126135204537" u="1"/>
        <s v="10000000670" u="1"/>
        <s v="131120131548797" u="1"/>
        <s v="110126165306702" u="1"/>
        <s v="120210123050786" u="1"/>
        <s v="120307165214656" u="1"/>
        <s v="121206151300307" u="1"/>
        <s v="110113124027125" u="1"/>
        <s v="10000000672" u="1"/>
        <s v="131118121005013" u="1"/>
        <s v="110113095106312" u="1"/>
        <s v="131120131023584" u="1"/>
        <s v="10000000674" u="1"/>
        <s v="130812094400246" u="1"/>
        <s v="10000000676" u="1"/>
        <s v="131119091316548" u="1"/>
        <s v="111121114707474" u="1"/>
        <s v="130201093642970" u="1"/>
        <s v="110217100339043" u="1"/>
        <s v="110113103038073" u="1"/>
        <s v="131210123901826" u="1"/>
        <s v="110106132303783" u="1"/>
        <s v="10000000679" u="1"/>
        <s v="110112115450742" u="1"/>
        <s v="140910095553359" u="1"/>
        <s v="10000000840" u="1"/>
        <s v="131119161832657" u="1"/>
        <s v="10000000841" u="1"/>
        <s v="111123133100382" u="1"/>
        <s v="150210154043660" u="1"/>
        <s v="10000000842" u="1"/>
        <s v="10000000843" u="1"/>
        <s v="131119102413461" u="1"/>
        <s v="130206120153097" u="1"/>
        <s v="10000000844" u="1"/>
        <s v="120807091519934" u="1"/>
        <s v="130805110644076" u="1"/>
        <s v="10000000845" u="1"/>
        <s v="150312113333360" u="1"/>
        <s v="141017160806951" u="1"/>
        <s v="10000000846" u="1"/>
        <s v="131029132516507" u="1"/>
        <s v="120210153024902" u="1"/>
        <s v="150309153026614" u="1"/>
        <s v="120307171259809" u="1"/>
        <s v="110105190415202" u="1"/>
        <s v="140217082554953" u="1"/>
        <s v="141125105606484" u="1"/>
        <s v="110106125622941" u="1"/>
        <s v="110126172220528" u="1"/>
        <s v="131118154046395" u="1"/>
        <s v="110126163634442" u="1"/>
        <s v="110803155655500" u="1"/>
        <s v="120210154242880" u="1"/>
        <s v="100913115557664" u="1"/>
        <s v="110107102505546" u="1"/>
        <s v="110107092052515" u="1"/>
      </sharedItems>
    </cacheField>
    <cacheField name="CODIGO_VINCULADO" numFmtId="0" sqlType="12">
      <sharedItems containsBlank="1" count="3227">
        <m u="1"/>
        <s v="EC-A226001860" u="1"/>
        <s v="EC-P050006300" u="1"/>
        <s v="EC-12312338330" u="1"/>
        <s v="OT-CARB002" u="1"/>
        <s v="EURO-31167" u="1"/>
        <s v="EC-P022008020" u="1"/>
        <s v="EC-36301700310" u="1"/>
        <s v="SU-277-23301-13" u="1"/>
        <s v="EC-V255000030" u="1"/>
        <s v="EC-P021004092" u="1"/>
        <s v="EC-70616007560" u="1"/>
        <s v="EC-B530INTL" u="1"/>
        <s v="EC-P021008620" u="1"/>
        <s v="EC-SRM-22GES" u="1"/>
        <s v="EC-13192055430" u="1"/>
        <s v="EC-60561206510" u="1"/>
        <s v="SU-20B-35001-01" u="1"/>
        <s v="EC-V265000250" u="1"/>
        <s v="EC-V420002401" u="1"/>
        <s v="EC-A101000370" u="1"/>
        <s v="EC-P021039010" u="1"/>
        <s v="EC-10090739131" u="1"/>
        <s v="EC-A393000180" u="1"/>
        <s v="EURO-40118" u="1"/>
        <s v="EC-P021044790" u="1"/>
        <s v="EC-C453000131" u="1"/>
        <s v="EURO-40304" u="1"/>
        <s v="SU-277-23531-07" u="1"/>
        <s v="EC-A221000030" u="1"/>
        <s v="EC-P021039510" u="1"/>
        <s v="EC-V101000020" u="1"/>
        <s v="EC-13191043130" u="1"/>
        <s v="SU-20B-43301-01" u="1"/>
        <s v="EC-351627" u="1"/>
        <s v="EC-13040652131" u="1"/>
        <s v="SU-044-02502-10" u="1"/>
        <s v="EC-61021022461" u="1"/>
        <s v="EC-400442310" u="1"/>
        <s v="EC-17722138330" u="1"/>
        <s v="SU-279-22501-30" u="1"/>
        <s v="SU-EX40ST" u="1"/>
        <s v="EC-V105000020" u="1"/>
        <s v="EC-13001056330" u="1"/>
        <s v="EC-61028222460" u="1"/>
        <s v="EC-61010522360" u="1"/>
        <s v="EC-21001105510" u="1"/>
        <s v="EURO-40919" u="1"/>
        <s v="OT-A52" u="1"/>
        <s v="EC-70617005560" u="1"/>
        <s v="EC-V203000351" u="1"/>
        <s v="EC-V609000050" u="1"/>
        <s v="SU-20B-33501-H3" u="1"/>
        <s v="SU-268-30101-01" u="1"/>
        <s v="EC-70602033710" u="1"/>
        <s v="EC-13031038331" u="1"/>
        <s v="PTFUCOFEG-250CC" u="1"/>
        <s v="EC-A225000530" u="1"/>
        <s v="EURO-36453" u="1"/>
        <s v="SU-PTG210" u="1"/>
        <s v="EC-V103000720" u="1"/>
        <s v="SU-214-23301-13" u="1"/>
        <s v="PTNUAGARP-LIT" u="1"/>
        <s v="SU-PTG310" u="1"/>
        <s v="SU-024-006-30" u="1"/>
        <s v="EC-10092138330" u="1"/>
        <s v="EC-V104000920" u="1"/>
        <s v="EC-V103001360" u="1"/>
        <s v="EC-99944100482" u="1"/>
        <s v="EC-V104001360" u="1"/>
        <s v="EC-V135000080" u="1"/>
        <s v="EC-90080206002" u="1"/>
        <s v="EC-V137000080" u="1"/>
        <s v="EC-P021012870" u="1"/>
        <s v="EURO-39098" u="1"/>
        <s v="PTNUFFVIG-250CC" u="1"/>
        <s v="EC-82067" u="1"/>
        <s v="BCS-31221121" u="1"/>
        <s v="EC-17720614330" u="1"/>
        <s v="EC-12212500230" u="1"/>
        <s v="EC-10010056032" u="1"/>
        <s v="EC-99944900190" u="1"/>
        <s v="EC-22CINTL" u="1"/>
        <s v="PRO-001" u="1"/>
        <s v="EURO-10746-A" u="1"/>
        <s v="PTFUORBIO-100CC" u="1"/>
        <s v="EC-X602000150" u="1"/>
        <s v="PTNUFFAGC-LIT" u="1"/>
        <s v="EC-9157405010" u="1"/>
        <s v="SU-226-62417-08" u="1"/>
        <s v="EC-10001116431" u="1"/>
        <s v="EC-13051214731" u="1"/>
        <s v="EC-17804319830" u="1"/>
        <s v="EC-43721015130" u="1"/>
        <s v="EC-90024205025" u="1"/>
        <s v="EC-9242310000" u="1"/>
        <s v="EC-99944200513" u="1"/>
        <s v="EURO-40953" u="1"/>
        <s v="SU-20B-42801-13" u="1"/>
        <s v="EC-P021008630" u="1"/>
        <s v="EC-38201412620" u="1"/>
        <s v="SU-277-32715-30" u="1"/>
        <s v="PTNUCOEPG-500CC" u="1"/>
        <s v="EC-A101000380" u="1"/>
        <s v="EC-P021039020" u="1"/>
        <s v="ARS-160-1" u="1"/>
        <s v="EURO-12105" u="1"/>
        <s v="EC-A393000190" u="1"/>
        <s v="EC-A200000500" u="1"/>
        <s v="SU-226-31701-13" u="1"/>
        <s v="PTPLFUSCO-5GLN" u="1"/>
        <s v="EC-9720135" u="1"/>
        <s v="IKRA-74204014-CL" u="1"/>
        <s v="MOT-0023" u="1"/>
        <s v="EC-A021004031" u="1"/>
        <s v="EC-17721612330" u="1"/>
        <s v="EC-70617020081" u="1"/>
        <s v="SU-279-34201-31" u="1"/>
        <s v="EC-A200000700" u="1"/>
        <s v="SU-277-23532-07" u="1"/>
        <s v="EURO-39104" u="1"/>
        <s v="IN-144" u="1"/>
        <s v="EURO-40784" u="1"/>
        <s v="EC-12314016130" u="1"/>
        <s v="EC-12436112710" u="1"/>
        <s v="EC-88102" u="1"/>
        <s v="SU-281-99001-17" u="1"/>
        <s v="BCS-58056193" u="1"/>
        <s v="EC-17504805530" u="1"/>
        <s v="PA-805157" u="1"/>
        <s v="EC-001107" u="1"/>
        <s v="SU-20B-95103-03" u="1"/>
        <s v="EURO-40867" u="1"/>
        <s v="EC-P050010460" u="1"/>
        <s v="EC-12200032930" u="1"/>
        <s v="EC-A239000060" u="1"/>
        <s v="EC-90072000012" u="1"/>
        <s v="SU-277-42801-23" u="1"/>
        <s v="SU-279-42701-23" u="1"/>
        <s v="SU-279-60102-11" u="1"/>
        <s v="EC-17809022560" u="1"/>
        <s v="EC-V103000730" u="1"/>
        <s v="IN-1441" u="1"/>
        <s v="SU-20B-46001-21" u="1"/>
        <s v="EC-V103001070" u="1"/>
        <s v="SU-065-50002-70" u="1"/>
        <s v="IN-1442" u="1"/>
        <s v="EC-A226000740" u="1"/>
        <s v="JF-084" u="1"/>
        <s v="EC-A244000180" u="1"/>
        <s v="PTHECOJQR-100CC" u="1"/>
        <s v="EC-91VXL44CQ" u="1"/>
        <s v="EC-P022007000" u="1"/>
        <s v="SU-277-36401-13" u="1"/>
        <s v="EURO-39018" u="1"/>
        <s v="EC-HCA-266LA" u="1"/>
        <s v="EURO-36204" u="1"/>
        <s v="EC-103942180" u="1"/>
        <s v="EURO-40884" u="1"/>
        <s v="EC-V471002700" u="1"/>
        <s v="EC-88103" u="1"/>
        <s v="BCS-31421132" u="1"/>
        <s v="SU-268-23401-H3" u="1"/>
        <s v="SU-277-43502-03" u="1"/>
        <s v="EC-P022008140" u="1"/>
        <s v="EC-EA-410" u="1"/>
        <s v="EC-90016205025" u="1"/>
        <s v="EURO-39035" u="1"/>
        <s v="EC-A101000090" u="1"/>
        <s v="SU-011-00802-40" u="1"/>
        <s v="EC-70602013250" u="1"/>
        <s v="EC-15660112921" u="1"/>
        <s v="SU-X64-13600-10" u="1"/>
        <s v="SU-043-04300-60" u="1"/>
        <s v="EC-V265000170" u="1"/>
        <s v="EC-13031043130" u="1"/>
        <s v="EC-A206000010" u="1"/>
        <s v="EC-P021039030" u="1"/>
        <s v="F-014" u="1"/>
        <s v="PA-818227" u="1"/>
        <s v="EC-10021305530" u="1"/>
        <s v="PA-804137" u="1"/>
        <s v="EC-P021039330" u="1"/>
        <s v="EURO-40798" u="1"/>
        <s v="EURO-40704" u="1"/>
        <s v="IN-358" u="1"/>
        <s v="SU-277-23533-07" u="1"/>
        <s v="EC-4042931" u="1"/>
        <s v="EC-A409000272" u="1"/>
        <s v="EC-V100000040" u="1"/>
        <s v="BCS-58056208" u="1"/>
        <s v="FERR-6010162" u="1"/>
        <s v="BR-CAT-17248B" u="1"/>
        <s v="EC-V102000040" u="1"/>
        <s v="EC-P021001102" u="1"/>
        <s v="EC-P021041100" u="1"/>
        <s v="EC-70616023450" u="1"/>
        <s v="EC-15901210230" u="1"/>
        <s v="EC-CS-8002-80LA" u="1"/>
        <s v="EC-V475004880" u="1"/>
        <s v="EC-89001122460" u="1"/>
        <s v="EC-70616025450" u="1"/>
        <s v="EC-V103000240" u="1"/>
        <s v="EC-43620514730" u="1"/>
        <s v="EC-15660106212" u="1"/>
        <s v="OR-205963" u="1"/>
        <s v="EC-13031357030" u="1"/>
        <s v="EC-A235000170" u="1"/>
        <s v="EC-69912503061" u="1"/>
        <s v="EURO-00005" u="1"/>
        <s v="EURO-20004" u="1"/>
        <s v="EC-ES726" u="1"/>
        <s v="EURO-10070" u="1"/>
        <s v="EC-10001121230" u="1"/>
        <s v="EC-A239000070" u="1"/>
        <s v="PTPLINSMT-250CC" u="1"/>
        <s v="EC-A226000650" u="1"/>
        <s v="EC-CS-420ES-45LA" u="1"/>
        <s v="EC-V103001080" u="1"/>
        <s v="EC-V103000840" u="1"/>
        <s v="EC-V224000000" u="1"/>
        <s v="BR-CAT-32108-00" u="1"/>
        <s v="PTNUFFBOR-500CC" u="1"/>
        <s v="EURO-36218" u="1"/>
        <s v="EC-P022007110" u="1"/>
        <s v="EURO-36404" u="1"/>
        <s v="EC-33SL0-72X" u="1"/>
        <s v="EC-P022007210" u="1"/>
        <s v="EC-99944900250" u="1"/>
        <s v="EC-P022007310" u="1"/>
        <s v="PTNUFFROO-250CC" u="1"/>
        <s v="EC-12411511120" u="1"/>
        <s v="EURO-10078-I" u="1"/>
        <s v="ARS-UV-34" u="1"/>
        <s v="EURO-00022" u="1"/>
        <s v="EC-43113516431" u="1"/>
        <s v="ARS-300L" u="1"/>
        <s v="SU-268-23402-H3" u="1"/>
        <s v="PTNUAGAGK-KIL" u="1"/>
        <s v="EC-35121005560" u="1"/>
        <s v="SU-226-62419-08" u="1"/>
        <s v="EC-P021018001" u="1"/>
        <s v="EC-90081036202" u="1"/>
        <s v="EURO-36049" u="1"/>
        <s v="EC-61033522460" u="1"/>
        <s v="EC-P022008150" u="1"/>
        <s v="SU-PTX220ST" u="1"/>
        <s v="SU-PTX320ST" u="1"/>
        <s v="EC-P021024110" u="1"/>
        <s v="EC-A021003111" u="1"/>
        <s v="EURO-40821" u="1"/>
        <s v="PTINCOSPD-100G" u="1"/>
        <s v="EC-25090206310" u="1"/>
        <s v="EC-10020432436" u="1"/>
        <s v="SU-282-62301-10" u="1"/>
        <s v="PT-012" u="1"/>
        <s v="SU-002-35060-00" u="1"/>
        <s v="SU-011-01000-40" u="1"/>
        <s v="PTPLACSNX-LIT" u="1"/>
        <s v="EC-P021039240" u="1"/>
        <s v="PTINCOSPD-500G" u="1"/>
        <s v="OT-00040" u="1"/>
        <s v="EC-37032106210" u="1"/>
        <s v="EURO-40466" u="1"/>
        <s v="IKRA-11020144" u="1"/>
        <s v="EC-21560066B" u="1"/>
        <s v="EC-17723419832" u="1"/>
        <s v="SU-277-30111-J1" u="1"/>
        <s v="EC-61020623030" u="1"/>
        <s v="EC-V100000450" u="1"/>
        <s v="EC-13010" u="1"/>
        <s v="BCS-92190980" u="1"/>
        <s v="JF-083" u="1"/>
        <s v="EC-V202000581" u="1"/>
        <s v="EC-V376001260" u="1"/>
        <s v="EC-91VXL45X" u="1"/>
        <s v="PTNUFFAGR-250CC" u="1"/>
        <s v="EC-A239000080" u="1"/>
        <s v="EC-43710016430" u="1"/>
        <s v="SU-282-11001-01" u="1"/>
        <s v="EC-12436321330" u="1"/>
        <s v="EC-17812743230" u="1"/>
        <s v="EC-A232000580" u="1"/>
        <s v="EC-V103000850" u="1"/>
        <s v="PA-817217" u="1"/>
        <s v="EC-V103000950" u="1"/>
        <s v="EC-43301639131" u="1"/>
        <s v="EC-8890150" u="1"/>
        <s v="EC-12411105810" u="1"/>
        <s v="EC-T230XREMC" u="1"/>
        <s v="EC-4550460" u="1"/>
        <s v="EC-P022007020" u="1"/>
        <s v="SANYO-0439" u="1"/>
        <s v="EC-P022007120" u="1"/>
        <s v="SU-227-43301-10" u="1"/>
        <s v="ARS-9F-10" u="1"/>
        <s v="EC-P022007220" u="1"/>
        <s v="EC-CS-353ES-40LA" u="1"/>
        <s v="EC-12520052433" u="1"/>
        <s v="EC-P022007320" u="1"/>
        <s v="EURO-40034" u="1"/>
        <s v="ASAB-1HEADSW-2L" u="1"/>
        <s v="EC-M230/EMC" u="1"/>
        <s v="EC-17500905131" u="1"/>
        <s v="PTFUCOPLAC-100CC" u="1"/>
        <s v="SU-268-23403-H3" u="1"/>
        <s v="SU-132-10KA0-31" u="1"/>
        <s v="JF-2012619" u="1"/>
        <s v="EC-10150356032" u="1"/>
        <s v="EC-21250001112" u="1"/>
        <s v="EURO-40303" u="1"/>
        <s v="PTPLFUBOT-100CC" u="1"/>
        <s v="EC-GT-22GES" u="1"/>
        <s v="EC-ENVLUBLT" u="1"/>
        <s v="SO-69.00.653" u="1"/>
        <s v="JF-020" u="1"/>
        <s v="EC-13031002910" u="1"/>
        <s v="EC-C347000020" u="1"/>
        <s v="JACTO-279752" u="1"/>
        <s v="EC-13031044330" u="1"/>
        <s v="SU-050-51200-20" u="1"/>
        <s v="SU-EX21ST" u="1"/>
        <s v="EC-569015" u="1"/>
        <s v="EC-A011000002" u="1"/>
        <s v="EC-A506000112" u="1"/>
        <s v="IKRA-11020140" u="1"/>
        <s v="JF-05.01194" u="1"/>
        <s v="PTPLFULET-250CC" u="1"/>
        <s v="SU-20B-33401-H3" u="1"/>
        <s v="SU-EX27ST" u="1"/>
        <s v="EC-P021039350" u="1"/>
        <s v="EC-A415000001" u="1"/>
        <s v="PTPLFUSCO-100CC" u="1"/>
        <s v="EC-13031051730" u="1"/>
        <s v="EC-B450R" u="1"/>
        <s v="EC-C051000572" u="1"/>
        <s v="EC-V102000060" u="1"/>
        <s v="PTNUCOOPW-250CC" u="1"/>
        <s v="EURO-40852" u="1"/>
        <s v="EC-21000204111" u="1"/>
        <s v="EC-A226000070" u="1"/>
        <s v="EC-4050761" u="1"/>
        <s v="SU-277-35101-01" u="1"/>
        <s v="EC-4573110" u="1"/>
        <s v="BCS-TCBY70B0" u="1"/>
        <s v="EC-A225000370" u="1"/>
        <s v="EURO-330L" u="1"/>
        <s v="IN-35" u="1"/>
        <s v="EC-9103006010" u="1"/>
        <s v="EC-K481000000" u="1"/>
        <s v="EC-12300052133" u="1"/>
        <s v="SU-277-35101-03" u="1"/>
        <s v="EURO-39097" u="1"/>
        <s v="EURO-39003" u="1"/>
        <s v="EURO-36283" u="1"/>
        <s v="SH-108644-30" u="1"/>
        <s v="EC-A226000670" u="1"/>
        <s v="EC-61031452130" u="1"/>
        <s v="EC-P021042360" u="1"/>
        <s v="EC-V490001230" u="1"/>
        <s v="PTNUCOFER-250CC" u="1"/>
        <s v="SU-044-02501-60" u="1"/>
        <s v="EC-P022007030" u="1"/>
        <s v="EC-89380" u="1"/>
        <s v="EC-13132840630" u="1"/>
        <s v="JF-05.001489" u="1"/>
        <s v="SU-279-33501-H3" u="1"/>
        <s v="EC-A356000050" u="1"/>
        <s v="EURO-41048" u="1"/>
        <s v="EC-P022007230" u="1"/>
        <s v="EC-P022007430" u="1"/>
        <s v="EC-CS-3000-30LA" u="1"/>
        <s v="BCS-58057422" u="1"/>
        <s v="SU-20B-42301-33" u="1"/>
        <s v="SU-20B-60102-01" u="1"/>
        <s v="SU-065-50003-11" u="1"/>
        <s v="EC-P021007630" u="1"/>
        <s v="EC-17723440630" u="1"/>
        <s v="EURO-39020" u="1"/>
        <s v="EC-14561047530" u="1"/>
        <s v="EC-A369000070" u="1"/>
        <s v="EC-X605000090" u="1"/>
        <s v="EC-43700632330" u="1"/>
        <s v="PTINCOSDF-LIT" u="1"/>
        <s v="EC-13003" u="1"/>
        <s v="EC-A051000982" u="1"/>
        <s v="MAY-004" u="1"/>
        <s v="EC-90072000003" u="1"/>
        <s v="EC-A051001411" u="1"/>
        <s v="SU-277-34201-31" u="1"/>
        <s v="EC-V360000120" u="1"/>
        <s v="EC-V354000300" u="1"/>
        <s v="EURO-39103" u="1"/>
        <s v="EC-70602060A22" u="1"/>
        <s v="EURO-36383" u="1"/>
        <s v="EC-A200000140" u="1"/>
        <s v="SU-252-22501-20" u="1"/>
        <s v="EC-68902505360" u="1"/>
        <s v="PTNUCOFOS-LIT" u="1"/>
        <s v="SU-266-23001-13" u="1"/>
        <s v="EC-13201035430" u="1"/>
        <s v="EC-V356000500" u="1"/>
        <s v="SU-277-42301-40" u="1"/>
        <s v="EC-72LG0-84X" u="1"/>
        <s v="EC-10021302830" u="1"/>
        <s v="EC-P022010440" u="1"/>
        <s v="EC-15262656032" u="1"/>
        <s v="EC-E110000033" u="1"/>
        <s v="EC-4552760" u="1"/>
        <s v="EC-V355000800" u="1"/>
        <s v="EC-P022024730" u="1"/>
        <s v="IN-65" u="1"/>
        <s v="EC-A200000640" u="1"/>
        <s v="EC-C454000181" u="1"/>
        <s v="EC-4083811" u="1"/>
        <s v="EC-P021039360" u="1"/>
        <s v="EC-13031051830" u="1"/>
        <s v="EC-P021035221" u="1"/>
        <s v="EC-C450000581" u="1"/>
        <s v="BCS-58056187" u="1"/>
        <s v="SU-277-42701-23" u="1"/>
        <s v="SU-277-60102-11" u="1"/>
        <s v="EC-V103000070" u="1"/>
        <s v="EC-V100000270" u="1"/>
        <s v="JF-082" u="1"/>
        <s v="BCS-92452510" u="1"/>
        <s v="EC-10092130830" u="1"/>
        <s v="SU-0440060020" u="1"/>
        <s v="JF-02.116560" u="1"/>
        <s v="EC-V100000470" u="1"/>
        <s v="EC-V100000570" u="1"/>
        <s v="SU-277-36501-03" u="1"/>
        <s v="SU-279-36401-03" u="1"/>
        <s v="EC-P021006200" u="1"/>
        <s v="EC-A226000580" u="1"/>
        <s v="EC-V470001600" u="1"/>
        <s v="EC-13001642231" u="1"/>
        <s v="EC-V103000770" u="1"/>
        <s v="EC-8890802" u="1"/>
        <s v="EC-40010012620" u="1"/>
        <s v="EC-12A0ED3745" u="1"/>
        <s v="SU-20B-62301-30" u="1"/>
        <s v="EC-P021002286" u="1"/>
        <s v="EURO-10022-45" u="1"/>
        <s v="EC-P022006900" u="1"/>
        <s v="EC-V430004540" u="1"/>
        <s v="MP-01245" u="1"/>
        <s v="EC-89852017130" u="1"/>
        <s v="SU-20B-36102-10" u="1"/>
        <s v="SU-279-95113-03" u="1"/>
        <s v="EC-V495001440" u="1"/>
        <s v="EC-P022007440" u="1"/>
        <s v="EURO-36220" u="1"/>
        <s v="EC-12435412710" u="1"/>
        <s v="EC-ETCAJA" u="1"/>
        <s v="PTFUORBIO-250CC" u="1"/>
        <s v="ALEN 5X30" u="1"/>
        <s v="EC-70602046780" u="1"/>
        <s v="EC-13005" u="1"/>
        <s v="SU-282-32601-H0" u="1"/>
        <s v="PTACSHINW-500CC" u="1"/>
        <s v="EC-43706335630" u="1"/>
        <s v="EC-10020239131" u="1"/>
        <s v="EURO-40797" u="1"/>
        <s v="EC-12311802261" u="1"/>
        <s v="EC-UN32" u="1"/>
        <s v="PTFUCOSKK-KIL" u="1"/>
        <s v="PTNUCOAGV-LIT" u="1"/>
        <s v="PTNUCOEPG-250CC" u="1"/>
        <s v="EC-73LPX92X" u="1"/>
        <s v="EC-40011012620" u="1"/>
        <s v="EC-70604060762" u="1"/>
        <s v="EC-C531000582" u="1"/>
        <s v="EURO-39051" u="1"/>
        <s v="EC-10101044332" u="1"/>
        <s v="EC-P021038930" u="1"/>
        <s v="EC-P022024740" u="1"/>
        <s v="EC-17801007660" u="1"/>
        <s v="EC-P021039370" u="1"/>
        <s v="EC-70616018450" u="1"/>
        <s v="SU-003-10060-00" u="1"/>
        <s v="EC-P022025180" u="1"/>
        <s v="SU-246-33711-13" u="1"/>
        <s v="EC-B450" u="1"/>
        <s v="EC-A300000781" u="1"/>
        <s v="EURO-00004" u="1"/>
        <s v="EURO-20003" u="1"/>
        <s v="EC-C463000000" u="1"/>
        <s v="BCS-58056188" u="1"/>
        <s v="PTNUCOAGV-20LIT" u="1"/>
        <s v="JF-02-046819" u="1"/>
        <s v="EC-12436412710" u="1"/>
        <s v="EC-13001055930" u="1"/>
        <s v="BCS-92452511" u="1"/>
        <s v="EC-13131406320" u="1"/>
        <s v="EC-V103000280" u="1"/>
        <s v="EC-V107000080" u="1"/>
        <s v="ALEN 5X40" u="1"/>
        <s v="JF-033" u="1"/>
        <s v="PTHECOGLF-LIT" u="1"/>
        <s v="ZONDA" u="1"/>
        <s v="EC-A225000490" u="1"/>
        <s v="EC-16202130830" u="1"/>
        <s v="EC-12532508360" u="1"/>
        <s v="EC-V205000400" u="1"/>
        <s v="SU-0211140020" u="1"/>
        <s v="EURO-40365" u="1"/>
        <s v="EC-A021000742" u="1"/>
        <s v="SU-X85-10615-81" u="1"/>
        <s v="EC-9242440000" u="1"/>
        <s v="EURO-00021" u="1"/>
        <s v="EURO-39151" u="1"/>
        <s v="EC-SRM-4300R" u="1"/>
        <s v="EURO-EMPAQUE" u="1"/>
        <s v="EC-P022007050" u="1"/>
        <s v="EC-83003" u="1"/>
        <s v="EURO-36048" u="1"/>
        <s v="EC-P022006910" u="1"/>
        <s v="EC-90016205050" u="1"/>
        <s v="EC-A556000021" u="1"/>
        <s v="EC-10101006211" u="1"/>
        <s v="EC-70602003742" u="1"/>
        <s v="EC-70615001951" u="1"/>
        <s v="EC-17723435430" u="1"/>
        <s v="EC-4517530" u="1"/>
        <s v="EC-MKT1330037" u="1"/>
        <s v="EC-A160000242" u="1"/>
        <s v="CR-049" u="1"/>
        <s v="SU-227-31701-03" u="1"/>
        <s v="PTNUCOFLO-500G" u="1"/>
        <s v="EC-P021037700" u="1"/>
        <s v="PT-010" u="1"/>
        <s v="EC-22120101610" u="1"/>
        <s v="EC-43302811030" u="1"/>
        <s v="JF-02.075377" u="1"/>
        <s v="P-005" u="1"/>
        <s v="PTNUAGAGF-LIT" u="1"/>
        <s v="EC-SHP-800RS" u="1"/>
        <s v="EC-99944200535" u="1"/>
        <s v="PTFICOAFX-100CC" u="1"/>
        <s v="SU-20B-11002-21" u="1"/>
        <s v="EURO-39065" u="1"/>
        <s v="EURO-36251" u="1"/>
        <s v="EC-A202000060" u="1"/>
        <s v="SH-90SG-033X" u="1"/>
        <s v="EC-A202000160" u="1"/>
        <s v="EC-P021010260" u="1"/>
        <s v="PTFICOAFX-500CC" u="1"/>
        <s v="EC-V356000720" u="1"/>
        <s v="EC-A411000031" u="1"/>
        <s v="EC-A200000560" u="1"/>
        <s v="EC-9711151" u="1"/>
        <s v="EC-P022024750" u="1"/>
        <s v="EURO-41016" u="1"/>
        <s v="EC-P021010574" u="1"/>
        <s v="SU-277-15011-03" u="1"/>
        <s v="EC-70615086060" u="1"/>
        <s v="EC-C044000882" u="1"/>
        <s v="EC-V203000110" u="1"/>
        <s v="BCS-92248720" u="1"/>
        <s v="EC-12312318330" u="1"/>
        <s v="EC-V100000490" u="1"/>
        <s v="JF-02.045369" u="1"/>
        <s v="JF-02.045379" u="1"/>
        <s v="SANYO-0438" u="1"/>
        <s v="EC-V204000410" u="1"/>
        <s v="SU-277-11002-31" u="1"/>
        <s v="EC-V203000610" u="1"/>
        <s v="EURO-40565" u="1"/>
        <s v="JF-02.093647" u="1"/>
        <s v="PTNUFFBOR-250CC" u="1"/>
        <s v="JF-05.003018" u="1"/>
        <s v="EC-V490000720" u="1"/>
        <s v="EC-61041307130" u="1"/>
        <s v="EC-V103000890" u="1"/>
        <s v="EC-15680032631" u="1"/>
        <s v="SU-279-35902-J3" u="1"/>
        <s v="SU-001-05084-00" u="1"/>
        <s v="EC-C400000211" u="1"/>
        <s v="EC-P022007060" u="1"/>
        <s v="EURO-36248" u="1"/>
        <s v="EC-P022007160" u="1"/>
        <s v="IKRA-11021218 (7100)" u="1"/>
        <s v="EURO-40116" u="1"/>
        <s v="EC-P022007260" u="1"/>
        <s v="SU-282-36002-H3" u="1"/>
        <s v="EC-12214000230" u="1"/>
        <s v="OT-585" u="1"/>
        <s v="EC-V471002660" u="1"/>
        <s v="EURO-40302" u="1"/>
        <s v="EC-99909-55133" u="1"/>
        <s v="SU-227-32901-13" u="1"/>
        <s v="EC-P022007460" u="1"/>
        <s v="EC-P021033182" u="1"/>
        <s v="EC-22169-96580" u="1"/>
        <s v="EC-C022000052" u="1"/>
        <s v="SU-044-02502-00" u="1"/>
        <s v="SU-279-22501-20" u="1"/>
        <s v="EC-70617051631" u="1"/>
        <s v="SU-20B-32610-J7" u="1"/>
        <s v="EC-35791100111" u="1"/>
        <s v="EURO-36079" u="1"/>
        <s v="EC-13001038330" u="1"/>
        <s v="SU-279-23401-H3" u="1"/>
        <s v="EURO-39079" u="1"/>
        <s v="EC-V358000130" u="1"/>
        <s v="EC-8130A" u="1"/>
        <s v="EC-12312203660" u="1"/>
        <s v="EC-V353000430" u="1"/>
        <s v="EC-17851600830" u="1"/>
        <s v="SU-279-42510-23" u="1"/>
        <s v="EC-C450000000" u="1"/>
        <s v="SH-20000-96104" u="1"/>
        <s v="EC-A200000470" u="1"/>
        <s v="IKRA-11020080" u="1"/>
        <s v="EC-35111119830" u="1"/>
        <s v="EC-P021038950" u="1"/>
        <s v="EC-P022024760" u="1"/>
        <s v="EC-A200000670" u="1"/>
        <s v="EURO-77000" u="1"/>
        <s v="EC-A200000870" u="1"/>
        <s v="EURO-39096" u="1"/>
        <s v="EC-P021011013" u="1"/>
        <s v="SU-20B-52704-13" u="1"/>
        <s v="PTNUCOZIN-LIT" u="1"/>
        <s v="EC-36302200510" u="1"/>
        <s v="ARS-UV-32-1" u="1"/>
        <s v="EC-V206000220" u="1"/>
        <s v="SU-20B-32611-J0" u="1"/>
        <s v="EC-61031005730" u="1"/>
        <s v="SU-277-33501-H3" u="1"/>
        <s v="SU-279-33401-H3" u="1"/>
        <s v="EC-99944200904" u="1"/>
        <s v="EC-V216000040" u="1"/>
        <s v="EC-V490000530" u="1"/>
        <s v="EC-8130B" u="1"/>
        <s v="EC-78890-40001B" u="1"/>
        <s v="EC-15663532430" u="1"/>
        <s v="EC-V225000160" u="1"/>
        <s v="EC-12314610631" u="1"/>
        <s v="EC-A052000011" u="1"/>
        <s v="SU-277-79431-11" u="1"/>
        <s v="EC-P022006830" u="1"/>
        <s v="EC-P022007170" u="1"/>
        <s v="EC-17721535632" u="1"/>
        <s v="EURO-40316" u="1"/>
        <s v="EC-V485001650" u="1"/>
        <s v="EC-A057000011" u="1"/>
        <s v="EC-P022007270" u="1"/>
        <s v="EC-C316000010" u="1"/>
        <s v="EURO-36102" u="1"/>
        <s v="EC-P021023230" u="1"/>
        <s v="EURO-36820" u="1"/>
        <s v="EURO-36382" u="1"/>
        <s v="EURO-10069-3.5M" u="1"/>
        <s v="JF-03.100566" u="1"/>
        <s v="ASAB-300H" u="1"/>
        <s v="EC-V352000140" u="1"/>
        <s v="EC-10153430830" u="1"/>
        <s v="EC-13201030830" u="1"/>
        <s v="BCS-55256185" u="1"/>
        <s v="EC-C535000001" u="1"/>
        <s v="EC-V360000060" u="1"/>
        <s v="EC-13051016431" u="1"/>
        <s v="JF-02.046636" u="1"/>
        <s v="EC-V358000140" u="1"/>
        <s v="PA-817202" u="1"/>
        <s v="PTPLFUBOT-250CC" u="1"/>
        <s v="SANYO-3924" u="1"/>
        <s v="EC-43101330831" u="1"/>
        <s v="EC-A202000180" u="1"/>
        <s v="EC-V450000771" u="1"/>
        <s v="IN-669" u="1"/>
        <s v="EC-17809052632" u="1"/>
        <s v="SE-157" u="1"/>
        <s v="EC-A300000400" u="1"/>
        <s v="EC-13030747533" u="1"/>
        <s v="EC-70602040771" u="1"/>
        <s v="EC-17801005960" u="1"/>
        <s v="EC-P021038960" u="1"/>
        <s v="SU-279-20901-71" u="1"/>
        <s v="EC-4555310" u="1"/>
        <s v="EC-70111106213" u="1"/>
        <s v="EURO-10070-4.6M" u="1"/>
        <s v="EC-A314000020" u="1"/>
        <s v="EC-A200000680" u="1"/>
        <s v="EC-A021003871" u="1"/>
        <s v="EURO-39016" u="1"/>
        <s v="EC-82067A" u="1"/>
        <s v="EC-10001110530" u="1"/>
        <s v="EURO-36202" u="1"/>
        <s v="EC-35110330833" u="1"/>
        <s v="EC-A200000880" u="1"/>
        <s v="ARS-CB-9" u="1"/>
        <s v="EC-P021035261" u="1"/>
        <s v="PTPLFUSCO-250CC" u="1"/>
        <s v="EC-61031421231" u="1"/>
        <s v="EC-12420013220" u="1"/>
        <s v="EC-35110247530" u="1"/>
        <s v="EURO-40350" u="1"/>
        <s v="EC-17504606230" u="1"/>
        <s v="EC-V430002900" u="1"/>
        <s v="EC-V430003240" u="1"/>
        <s v="SU-27736911-03" u="1"/>
        <s v="EC-V206000230" u="1"/>
        <s v="EC-P021005900" u="1"/>
        <s v="SU-279-52711-11" u="1"/>
        <s v="JF-02.116594" u="1"/>
        <s v="EC-C482000070" u="1"/>
        <s v="EC-22015-96500" u="1"/>
        <s v="EURO-36033" u="1"/>
        <s v="SU-215-25004-03" u="1"/>
        <s v="EC-P022022000" u="1"/>
        <s v="PTNUCOOPW-GLN" u="1"/>
        <s v="SU-277-95113-03" u="1"/>
        <s v="EC-70617055030" u="1"/>
        <s v="EC-A440000300" u="1"/>
        <s v="OT-ROD6203" u="1"/>
        <s v="EC-22412713710" u="1"/>
        <s v="OT-584" u="1"/>
        <s v="EC-569028" u="1"/>
        <s v="EC-C209000080" u="1"/>
        <s v="EC-P022007180" u="1"/>
        <s v="EC-P022006940" u="1"/>
        <s v="EC-V485001660" u="1"/>
        <s v="EC-P021002801" u="1"/>
        <s v="EC-13030330831" u="1"/>
        <s v="EC-UN10" u="1"/>
        <s v="EC-A056000221" u="1"/>
        <s v="EC-12314116131" u="1"/>
        <s v="EC-P021002901" u="1"/>
        <s v="EC-30033306160" u="1"/>
        <s v="SU-EX40PR" u="1"/>
        <s v="PTFUCOBUC-LIT" u="1"/>
        <s v="EC-12437455430" u="1"/>
        <s v="EC-43301611031" u="1"/>
        <s v="EC-61029822360" u="1"/>
        <s v="SU-279-23403-H3" u="1"/>
        <s v="EC-C535000011" u="1"/>
        <s v="IN-000127" u="1"/>
        <s v="EC-9242422000" u="1"/>
        <s v="EC-13030516430" u="1"/>
        <s v="PTNUCOPRO-500G" u="1"/>
        <s v="EC-15510" u="1"/>
        <s v="EURO-40095" u="1"/>
        <s v="EURO-00003" u="1"/>
        <s v="ARS-LPB-30-1" u="1"/>
        <s v="EC-70602062012" u="1"/>
        <s v="EURO-10749" u="1"/>
        <s v="EC-A051001861" u="1"/>
        <s v="EC-C535000511" u="1"/>
        <s v="EC-17721805960" u="1"/>
        <s v="SU-480-08010-37" u="1"/>
        <s v="EC-P022024680" u="1"/>
        <s v="EC-A200000590" u="1"/>
        <s v="EC-P021038970" u="1"/>
        <s v="SO-13008-6045" u="1"/>
        <s v="JF-031" u="1"/>
        <s v="EC-99909-12212" u="1"/>
        <s v="EC-69922956830" u="1"/>
        <s v="SU-246-35501-03" u="1"/>
        <s v="EC-P021005410" u="1"/>
        <s v="SU-277-43303-01" u="1"/>
        <s v="EC-90085906900" u="1"/>
        <s v="OT-2356" u="1"/>
        <s v="EURO-00020" u="1"/>
        <s v="EC-V203000140" u="1"/>
        <s v="EC-V430002910" u="1"/>
        <s v="EURO-10766" u="1"/>
        <s v="EURO-14048" u="1"/>
        <s v="EC-A320000650" u="1"/>
        <s v="SH-60035-98061" u="1"/>
        <s v="EURO-40979" u="1"/>
        <s v="EC-4576340" u="1"/>
        <s v="EC-P021036100" u="1"/>
        <s v="BR-CAT-76214-12" u="1"/>
        <s v="EC-22015-96600" u="1"/>
        <s v="JF-02.116629" u="1"/>
        <s v="EC-V204000640" u="1"/>
        <s v="BCS-58002538" u="1"/>
        <s v="EC-10024242030" u="1"/>
        <s v="EC-V204000740" u="1"/>
        <s v="EC-90070600012" u="1"/>
        <s v="JF-152634" u="1"/>
        <s v="EC-A440000310" u="1"/>
        <s v="EC-569020" u="1"/>
        <s v="EURO-400952" u="1"/>
        <s v="EC-17723430830" u="1"/>
        <s v="ERUO-40302" u="1"/>
        <s v="EC-V225000180" u="1"/>
        <s v="EURO-CODOTAN" u="1"/>
        <s v="EC-70604061461" u="1"/>
        <s v="JF-02.046460" u="1"/>
        <s v="EC-10020432435" u="1"/>
        <s v="EC-P022007090" u="1"/>
        <s v="EC-P022006850" u="1"/>
        <s v="EC-C309000110" u="1"/>
        <s v="EC-P022006950" u="1"/>
        <s v="EURO-10783" u="1"/>
        <s v="EC-P021048031" u="1"/>
        <s v="PTNUFFSIL-GAL" u="1"/>
        <s v="SU-279-23404-H3" u="1"/>
        <s v="EC-28D8TW3892" u="1"/>
        <s v="EURO-10082" u="1"/>
        <s v="EC-C334000270" u="1"/>
        <s v="BCS-55256197" u="1"/>
        <s v="EC-15660152131" u="1"/>
        <s v="EC-P021038580" u="1"/>
        <s v="PTFUORBIO-GLN" u="1"/>
        <s v="EC-30511042030" u="1"/>
        <s v="EC-V450001020" u="1"/>
        <s v="EC-C535000521" u="1"/>
        <s v="EC-V420002500" u="1"/>
        <s v="EC-P021038980" u="1"/>
        <s v="EC-17724712331" u="1"/>
        <s v="EC-X411001151" u="1"/>
        <s v="SU-269-32610-08" u="1"/>
        <s v="SU-003-13050-00" u="1"/>
        <s v="EC-12416011120" u="1"/>
        <s v="EC-ET500" u="1"/>
        <s v="SU-003-13060-00" u="1"/>
        <s v="SU-277-35004-03" u="1"/>
        <s v="EC-C450000530" u="1"/>
        <s v="EC-P021005420" u="1"/>
        <s v="PA-809760" u="1"/>
        <s v="SU-277-35902-J3" u="1"/>
        <s v="EC-12412215310" u="1"/>
        <s v="EC-13001655430" u="1"/>
        <s v="EC-14551030830" u="1"/>
        <s v="EC-10010060731" u="1"/>
        <s v="EC-14561030830" u="1"/>
        <s v="EC-V203000350" u="1"/>
        <s v="SU-279-79230-11" u="1"/>
        <s v="SU-279-79430-01" u="1"/>
        <s v="EC-V206000250" u="1"/>
        <s v="EC-V204000450" u="1"/>
        <s v="EURO-40115" u="1"/>
        <s v="EC-A320000760" u="1"/>
        <s v="EURO-41115" u="1"/>
        <s v="EC-15503" u="1"/>
        <s v="EC-12313803930" u="1"/>
        <s v="EURO-40301" u="1"/>
        <s v="EC-CN0113211" u="1"/>
        <s v="EC-13030039730" u="1"/>
        <s v="EC-900302" u="1"/>
        <s v="EURO-0001" u="1"/>
        <s v="EC-CS-303T-30LA" u="1"/>
        <s v="EC-P021022520" u="1"/>
        <s v="EC-99988800722" u="1"/>
        <s v="SU-021-11400-20" u="1"/>
        <s v="EC-P021022720" u="1"/>
        <s v="PTNUAGAGK-10KIL" u="1"/>
        <s v="EURO-39078" u="1"/>
        <s v="EC-12433149930" u="1"/>
        <s v="MPPRFISKK-100G" u="1"/>
        <s v="EC-12212300230" u="1"/>
        <s v="EC-99944900180" u="1"/>
        <s v="EC-P021023260" u="1"/>
        <s v="EC-70617046631" u="1"/>
        <s v="EC-10014312620" u="1"/>
        <s v="PTHECOKEM-GLN" u="1"/>
        <s v="EURO-40850" u="1"/>
        <s v="JF-02.046555" u="1"/>
        <s v="SU-X66-00004-20" u="1"/>
        <s v="ARS-UV-32E" u="1"/>
        <s v="EC-12318139130" u="1"/>
        <s v="SU-277-42510-23" u="1"/>
        <s v="EC-X405000001" u="1"/>
        <s v="JF-02.046575" u="1"/>
        <s v="EC-A570000200" u="1"/>
        <s v="EC-90072000125" u="1"/>
        <s v="EC-91VXL57X" u="1"/>
        <s v="EC-78890-40000" u="1"/>
        <s v="EURO-36001" u="1"/>
        <s v="PTFICOAFX-250CC" u="1"/>
        <s v="EC-A556001300" u="1"/>
        <s v="SU-20B-34201-11" u="1"/>
        <s v="PTHECOGLF-125CC" u="1"/>
        <s v="EC-A575000400" u="1"/>
        <s v="EC-15662652731" u="1"/>
        <s v="EC-61031056933" u="1"/>
        <s v="EURO-39095" u="1"/>
        <s v="EC-V361000290" u="1"/>
        <s v="EURO-36281" u="1"/>
        <s v="EC-A556001600" u="1"/>
        <s v="EC-P021010213" u="1"/>
        <s v="EC-V420002510" u="1"/>
        <s v="SU-044-02501-50" u="1"/>
        <s v="BCS-58056991" u="1"/>
        <s v="EC-P021038990" u="1"/>
        <s v="SU-277-33401-H3" u="1"/>
        <s v="EC-12312509560" u="1"/>
        <s v="EC-17830730830" u="1"/>
        <s v="ROD-20D6 6000" u="1"/>
        <s v="SU-480-05010-21" u="1"/>
        <s v="SU-20B-36101-00" u="1"/>
        <s v="EC-61001122061" u="1"/>
        <s v="EC-SRM-22GESU" u="1"/>
        <s v="EC-V583000181" u="1"/>
        <s v="SU-PTX201HPR" u="1"/>
        <s v="SU-480-05010-22" u="1"/>
        <s v="EC-V805000010" u="1"/>
        <s v="EC-V430002930" u="1"/>
        <s v="BR-CAT-CH4400" u="1"/>
        <s v="EC-C270EMC" u="1"/>
        <s v="EC-12300047533" u="1"/>
        <s v="EC-A300001570" u="1"/>
        <s v="EC-V805000210" u="1"/>
        <s v="BR-CAT-76206-12" u="1"/>
        <s v="EC-4575740" u="1"/>
        <s v="SU-018-60600-20" u="1"/>
        <s v="EC-A320000770" u="1"/>
        <s v="EC-P021022030" u="1"/>
        <s v="EC-15505" u="1"/>
        <s v="EC-10091060030" u="1"/>
        <s v="EC-10024242230" u="1"/>
        <s v="ASAB-2HEADSR" u="1"/>
        <s v="JF-044" u="1"/>
        <s v="BCS-55102678" u="1"/>
        <s v="EC-10101042231" u="1"/>
        <s v="EC-A313001590" u="1"/>
        <s v="EC-P021036520" u="1"/>
        <s v="SU-056-52100-20" u="1"/>
        <s v="EURO-40781" u="1"/>
        <s v="EC-C050001881" u="1"/>
        <s v="EC-4576340E" u="1"/>
        <s v="EC-22492452930" u="1"/>
        <s v="EC-P021022530" u="1"/>
        <s v="JF-03.056705" u="1"/>
        <s v="SU-073-20058-20" u="1"/>
        <s v="EC-C309000030" u="1"/>
        <s v="EC-17500544331" u="1"/>
        <s v="EC-43301903933" u="1"/>
        <s v="EC-A439000510" u="1"/>
        <s v="EC-P022006870" u="1"/>
        <s v="EC-P021012593" u="1"/>
        <s v="EC-43052737333" u="1"/>
        <s v="BCS-53156209" u="1"/>
        <s v="EC-P022006970" u="1"/>
        <s v="EC-C050002510" u="1"/>
        <s v="SU-480-05010-28" u="1"/>
        <s v="PTNUFFBOR-GLN" u="1"/>
        <s v="EC-A556000181" u="1"/>
        <s v="EURO-40864" u="1"/>
        <s v="SU-20B-51302-01" u="1"/>
        <s v="EC-13051030830" u="1"/>
        <s v="EC-12318140630" u="1"/>
        <s v="ASAB-HOSES" u="1"/>
        <s v="SANYO-3923" u="1"/>
        <s v="SU-277-31601-51" u="1"/>
        <s v="EC-A056000451" u="1"/>
        <s v="EC-43301330830" u="1"/>
        <s v="ASAB-1" u="1"/>
        <s v="EC-13211501461" u="1"/>
        <s v="EC-C320000370" u="1"/>
        <s v="IN-2047" u="1"/>
        <s v="EC-X405000011" u="1"/>
        <s v="EC-C328000070" u="1"/>
        <s v="SU-480-05050-29" u="1"/>
        <s v="EC-12314003930" u="1"/>
        <s v="EC-10020416430" u="1"/>
        <s v="PTHECOMSF-15G" u="1"/>
        <s v="EURO-39015" u="1"/>
        <s v="EC-V357000180" u="1"/>
        <s v="EC-10510" u="1"/>
        <s v="EC-V451000500" u="1"/>
        <s v="EC-10530" u="1"/>
        <s v="EC-P021014262" u="1"/>
        <s v="EC-A575000410" u="1"/>
        <s v="EC-V420002320" u="1"/>
        <s v="EC-V356000480" u="1"/>
        <s v="EURO-40881" u="1"/>
        <s v="EC-17851543130" u="1"/>
        <s v="EC-35110022363" u="1"/>
        <s v="EC-V420002520" u="1"/>
        <s v="EC-13-58" u="1"/>
        <s v="EC-C535000641" u="1"/>
        <s v="EC-V420002620" u="1"/>
        <s v="EC-13001606232" u="1"/>
        <s v="EURO-36378" u="1"/>
        <s v="EURO-CAB" u="1"/>
        <s v="PA-804135" u="1"/>
        <s v="EC-V430002540" u="1"/>
        <s v="EC-A320000080" u="1"/>
        <s v="IN-066" u="1"/>
        <s v="EC-43334522460" u="1"/>
        <s v="EC-17722002834" u="1"/>
        <s v="ARS-UV-32E-W" u="1"/>
        <s v="EC-35101052931" u="1"/>
        <s v="EC-A426000000" u="1"/>
        <s v="EC-V592000000" u="1"/>
        <s v="EC-10000060931" u="1"/>
        <s v="EC-21003204110" u="1"/>
        <s v="EC-A427000000" u="1"/>
        <s v="EC-V805000020" u="1"/>
        <s v="EC-A411001020" u="1"/>
        <s v="EC-30511055630" u="1"/>
        <s v="EC-A429000100" u="1"/>
        <s v="EC-P021036030" u="1"/>
        <s v="MPFUCOBEN-25KIL" u="1"/>
        <s v="EC-V470001480" u="1"/>
        <s v="EURO-90009" u="1"/>
        <s v="EC-99944100486" u="1"/>
        <s v="EC-25021011610" u="1"/>
        <s v="BR-CAT-72704-12" u="1"/>
        <s v="EC-C305000040" u="1"/>
        <s v="EC-70604062621" u="1"/>
        <s v="SU-227-45003-01" u="1"/>
        <s v="PUBLI-003" u="1"/>
        <s v="PT-J001" u="1"/>
        <s v="SU-227-13001-13" u="1"/>
        <s v="SU-EX27PR" u="1"/>
        <s v="EC-P022006980" u="1"/>
        <s v="EC-99944900240" u="1"/>
        <s v="EC-C300000740" u="1"/>
        <s v="EC-P021012606" u="1"/>
        <s v="EURO-00002" u="1"/>
        <s v="EC-P021033231" u="1"/>
        <s v="EC-17812314010" u="1"/>
        <s v="EURO-10748" u="1"/>
        <s v="SH-72174-99200" u="1"/>
        <s v="PA-809813" u="1"/>
        <s v="EC-A566000200" u="1"/>
        <s v="EC-C328000080" u="1"/>
        <s v="EURO-36029" u="1"/>
        <s v="EC-4529110" u="1"/>
        <s v="EC-13001316431" u="1"/>
        <s v="EC-70617048971" u="1"/>
        <s v="SU-279-32615-70" u="1"/>
        <s v="EC-V358000090" u="1"/>
        <s v="EC-452009480" u="1"/>
        <s v="EC-4579070" u="1"/>
        <s v="EC-A575000420" u="1"/>
        <s v="EC-V356000390" u="1"/>
        <s v="SU-065-01401-50" u="1"/>
        <s v="EC-V356000490" u="1"/>
        <s v="VIAN-VT12-9" u="1"/>
        <s v="EC-80786" u="1"/>
        <s v="SU-032-30300-10" u="1"/>
        <s v="EC-15262655932" u="1"/>
        <s v="EC-8003009" u="1"/>
        <s v="EC-17720055631" u="1"/>
        <s v="EC-C535000651" u="1"/>
        <s v="EC-V420002630" u="1"/>
        <s v="SU-227-23001-13" u="1"/>
        <s v="JF-01.601250" u="1"/>
        <s v="EC-90081006202" u="1"/>
        <s v="EURO-40978" u="1"/>
        <s v="EC-C450000460" u="1"/>
        <s v="SU-266-42501-13" u="1"/>
        <s v="EC-70103306211" u="1"/>
        <s v="EURO-36232" u="1"/>
        <s v="EC-V471000550" u="1"/>
        <s v="EC-43334522560" u="1"/>
        <s v="EC-V430002650" u="1"/>
        <s v="EC-A300001190" u="1"/>
        <s v="EURO-20101" u="1"/>
        <s v="EC-73LGX105X" u="1"/>
        <s v="EURO-40380" u="1"/>
        <s v="EC-P050000031" u="1"/>
        <s v="EC-13120507321" u="1"/>
        <s v="EC-27001006212" u="1"/>
        <s v="PTPLINSKE-100CC" u="1"/>
        <s v="EC-V805000030" u="1"/>
        <s v="EC-90072000016" u="1"/>
        <s v="EC-12436755430" u="1"/>
        <s v="EC-V312000020" u="1"/>
        <s v="EC-A429000110" u="1"/>
        <s v="JF-043" u="1"/>
        <s v="EURO-36315" u="1"/>
        <s v="EC-V470001490" u="1"/>
        <s v="EC-10101056030" u="1"/>
        <s v="EURO-L02" u="1"/>
        <s v="EC-P021006290" u="1"/>
        <s v="EC-A320000790" u="1"/>
        <s v="EC-V205000480" u="1"/>
        <s v="EC-10503" u="1"/>
        <s v="PTPLINSKE-500CC" u="1"/>
        <s v="SU-060-03003-70" u="1"/>
        <s v="SU-269-16004-03" u="1"/>
        <s v="EC-13100437632" u="1"/>
        <s v="EC-A320000890" u="1"/>
        <s v="EC-P021021910" u="1"/>
        <s v="EC-V322000040" u="1"/>
        <s v="EURO-39063" u="1"/>
        <s v="EC-25093006210" u="1"/>
        <s v="EC-V203000880" u="1"/>
        <s v="EC-21041752730" u="1"/>
        <s v="EC-70615055770" u="1"/>
        <s v="EURO-10013-l" u="1"/>
        <s v="ASAB-3HEADS" u="1"/>
        <s v="PTNUCOIMP-100CC" u="1"/>
        <s v="SU-20A-52711-01" u="1"/>
        <s v="EC-P021022550" u="1"/>
        <s v="EC-99944900200" u="1"/>
        <s v="EC-3014111" u="1"/>
        <s v="EC-X475000050" u="1"/>
        <s v="SU-065-50000-51" u="1"/>
        <s v="EC-9242435000" u="1"/>
        <s v="PA-818355" u="1"/>
        <s v="EC-P022006990" u="1"/>
        <s v="EC-13030252132" u="1"/>
        <s v="EURO-10081" u="1"/>
        <s v="EC-SRAH-205" u="1"/>
        <s v="PTACCOSNX-250CC" u="1"/>
        <s v="EC-80550" u="1"/>
        <s v="EC-70615002781" u="1"/>
        <s v="EC-9250303100" u="1"/>
        <s v="EC-P021018010" u="1"/>
        <s v="EC-A566000210" u="1"/>
        <s v="EC-61001125530" u="1"/>
        <s v="EC-10091730830" u="1"/>
        <s v="EC-P021018110" u="1"/>
        <s v="EC-17721543130" u="1"/>
        <s v="EC-25001708013" u="1"/>
        <s v="P-006" u="1"/>
        <s v="EC-V452000220" u="1"/>
        <s v="PTNUAGABC-100CC" u="1"/>
        <s v="PTNUFFAGT-LIT" u="1"/>
        <s v="SU-279-23001-03" u="1"/>
        <s v="PTNUCOCAL-LIT" u="1"/>
        <s v="EC-A021003120" u="1"/>
        <s v="SU-277-11002-21" u="1"/>
        <s v="EC-V420002240" u="1"/>
        <s v="EC-A575000430" u="1"/>
        <s v="EURO-00033" u="1"/>
        <s v="JACTO-1218612" u="1"/>
        <s v="EURO-39163" u="1"/>
        <s v="PTNUAGABC-500CC" u="1"/>
        <s v="JACTO-1182187" u="1"/>
        <s v="IN-065" u="1"/>
        <s v="EC-10020452133" u="1"/>
        <s v="EC-17801052130" u="1"/>
        <s v="EC-A011000101" u="1"/>
        <s v="EC-A021004060" u="1"/>
        <s v="PA-814212" u="1"/>
        <s v="SU-20B-79430-H1" u="1"/>
        <s v="EC-A416000000" u="1"/>
        <s v="SU-20B-16001-03" u="1"/>
        <s v="EC-V580000100" u="1"/>
        <s v="EURO-36432" u="1"/>
        <s v="EC-43334522660" u="1"/>
        <s v="EC-V582000100" u="1"/>
        <s v="EC-7800120" u="1"/>
        <s v="EURO-40300" u="1"/>
        <s v="EC-V302000010" u="1"/>
        <s v="EC-V582000200" u="1"/>
        <s v="EC-17721560930" u="1"/>
        <s v="EC-90080000608" u="1"/>
        <s v="EC-A411000500" u="1"/>
        <s v="EC-V204000090" u="1"/>
        <s v="EC-V304000010" u="1"/>
        <s v="ARS-VS-9-1" u="1"/>
        <s v="EC-A429000120" u="1"/>
        <s v="EC-C080000020" u="1"/>
        <s v="EC-14581331730" u="1"/>
        <s v="EC-10505" u="1"/>
        <s v="EURO-10450" u="1"/>
        <s v="EC-P021022060" u="1"/>
        <s v="EURO-39077" u="1"/>
        <s v="EC-17811419830" u="1"/>
        <s v="EC-17720006210" u="1"/>
        <s v="BCS-31100451" u="1"/>
        <s v="EC-V203000890" u="1"/>
        <s v="EC-12A0CD3744" u="1"/>
        <s v="PTNUCOTHI-KIL" u="1"/>
        <s v="SU-EX17PR" u="1"/>
        <s v="EC-569023" u="1"/>
        <s v="EC-646901" u="1"/>
        <s v="EURO-10473-A" u="1"/>
        <s v="EC-400806410" u="1"/>
        <s v="EC-A553000000" u="1"/>
        <s v="EC-10010006210" u="1"/>
        <s v="EURO-30000" u="1"/>
        <s v="EC-12411605530" u="1"/>
        <s v="IKRA-12108521" u="1"/>
        <s v="EC-C309000160" u="1"/>
        <s v="EC-12300060131" u="1"/>
        <s v="EC-99944100480" u="1"/>
        <s v="JF-291" u="1"/>
        <s v="SU-277-16001-13" u="1"/>
        <s v="EC-78890-30000" u="1"/>
        <s v="EC-10001212331" u="1"/>
        <s v="PTFICOAFXP-100CC" u="1"/>
        <s v="EC-P021032911" u="1"/>
        <s v="EURO-40494" u="1"/>
        <s v="EURO-39094" u="1"/>
        <s v="EURO-36280" u="1"/>
        <s v="SU-227-50811-20" u="1"/>
        <s v="EC-A566000120" u="1"/>
        <s v="EC-10024255930" u="1"/>
        <s v="EC-A566000220" u="1"/>
        <s v="ARS-EXP-3.3" u="1"/>
        <s v="JF-05.001159" u="1"/>
        <s v="EC-13201326630" u="1"/>
        <s v="EC-V452000130" u="1"/>
        <s v="EC-V430001330" u="1"/>
        <s v="EC-80676" u="1"/>
        <s v="EC-25391310910" u="1"/>
        <s v="JF-008" u="1"/>
        <s v="EC-15660132632" u="1"/>
        <s v="EC-C423000720" u="1"/>
        <s v="ASAB-SUPER25" u="1"/>
        <s v="EC-V420002250" u="1"/>
        <s v="EC-A575000440" u="1"/>
        <s v="PTNUAGARP-100CC" u="1"/>
        <s v="EC-17721510632" u="1"/>
        <s v="SU-226-23001-13" u="1"/>
        <s v="EC-V450000730" u="1"/>
        <s v="IKRA-RT2124" u="1"/>
        <s v="EC-A556001640" u="1"/>
        <s v="EC-SHP-800EUSTD" u="1"/>
        <s v="EC-A410000010" u="1"/>
        <s v="EC-P022004630" u="1"/>
        <s v="PTNUAGARP-500CC" u="1"/>
        <s v="EC-V580000110" u="1"/>
        <s v="EC-17504803920" u="1"/>
        <s v="EC-13160021060" u="1"/>
        <s v="EC-450095060" u="1"/>
        <s v="IKRA-11020077" u="1"/>
        <s v="EC-70617027723" u="1"/>
        <s v="SH-22901-31000" u="1"/>
        <s v="EC-V400000051" u="1"/>
        <s v="EC-12312116130" u="1"/>
        <s v="SH-PBN22301" u="1"/>
        <s v="EC-61020543131" u="1"/>
        <s v="EC-70602070620" u="1"/>
        <s v="EURO-39100" u="1"/>
        <s v="EC-V471000770" u="1"/>
        <s v="EURO-40780" u="1"/>
        <s v="EC-70602030230" u="1"/>
        <s v="EC-C051001210" u="1"/>
        <s v="EC-P021035720" u="1"/>
        <s v="EC-A172002310" u="1"/>
        <s v="EC-A411000910" u="1"/>
        <s v="EC-12532308260" u="1"/>
        <s v="EURO-36277" u="1"/>
        <s v="ASAB-910-LT" u="1"/>
        <s v="PTFUCOBFT-LIT" u="1"/>
        <s v="EC-80677" u="1"/>
        <s v="EC-70602055621" u="1"/>
        <s v="ASAB-2HEADS" u="1"/>
        <s v="EC-9701401" u="1"/>
        <s v="EC-V307000520" u="1"/>
        <s v="SU-277-36201-00" u="1"/>
        <s v="EURO-40863" u="1"/>
        <s v="EC-20091006210" u="1"/>
        <s v="EC-43301119832" u="1"/>
        <s v="SU-277-42201-33" u="1"/>
        <s v="SU-277-42801-03" u="1"/>
        <s v="EC-43706319930" u="1"/>
        <s v="EC-P021002471" u="1"/>
        <s v="EC-16A0ED3757" u="1"/>
        <s v="EURO-LT80" u="1"/>
        <s v="EC-13031305863" u="1"/>
        <s v="ROD 20-6002" u="1"/>
        <s v="EC-C305000370" u="1"/>
        <s v="EC-C050002550" u="1"/>
        <s v="EC-10000052130" u="1"/>
        <s v="PTNUCORFT-LIT" u="1"/>
        <s v="EC-17501230831" u="1"/>
        <s v="EC-10021232430" u="1"/>
        <s v="EC-17501849932" u="1"/>
        <s v="EC-A021002300" u="1"/>
        <s v="SANYO-1221" u="1"/>
        <s v="EC-A566000130" u="1"/>
        <s v="MP-558" u="1"/>
        <s v="EC-V451000040" u="1"/>
        <s v="EC-73LGX72X" u="1"/>
        <s v="EURO-36377" u="1"/>
        <s v="EC-80678" u="1"/>
        <s v="EC-99944100477" u="1"/>
        <s v="FERR-2200016" u="1"/>
        <s v="SU-279-52711-01" u="1"/>
        <s v="EC-C423000730" u="1"/>
        <s v="EC-A021003440" u="1"/>
        <s v="EC-CS-3500-40EUSTD" u="1"/>
        <s v="BR-CAT-76293-00" u="1"/>
        <s v="EC-17500542030" u="1"/>
        <s v="EC-C551000110" u="1"/>
        <s v="EC-V451000940" u="1"/>
        <s v="EC-17720055931" u="1"/>
        <s v="PTFUCOPCHA-250G" u="1"/>
        <s v="EC-C535001010" u="1"/>
        <s v="EC-13031903710" u="1"/>
        <s v="EC-A409000100" u="1"/>
        <s v="PTNUFFSIL-LIT" u="1"/>
        <s v="JF-02.046303" u="1"/>
        <s v="BCS-31312102" u="1"/>
        <s v="SU-278-22501-10" u="1"/>
        <s v="EC-10010055931" u="1"/>
        <s v="EC-12436212710" u="1"/>
        <s v="EC-P021021240" u="1"/>
        <s v="EC-P021035430" u="1"/>
        <s v="EC-V470000880" u="1"/>
        <s v="EC-17510532431" u="1"/>
        <s v="EC-P021021540" u="1"/>
        <s v="BCS-55252413" u="1"/>
        <s v="PTINCODEP-100G" u="1"/>
        <s v="EC-A021000541" u="1"/>
        <s v="EC-V307000230" u="1"/>
        <s v="SU-024-00600-30" u="1"/>
        <s v="EC-A130000292" u="1"/>
        <s v="PTINCODEP-300G" u="1"/>
        <s v="EC-A021000741" u="1"/>
        <s v="EC-70617052970" u="1"/>
        <s v="EC-89750000335" u="1"/>
        <s v="EC-90034540030" u="1"/>
        <s v="EC-A232000312" u="1"/>
        <s v="EC-C400000000" u="1"/>
        <s v="EC-P021016371" u="1"/>
        <s v="EC-17722006310" u="1"/>
        <s v="SU-246-33611-03" u="1"/>
        <s v="SU-277-36202-00" u="1"/>
        <s v="EC-10090536030" u="1"/>
        <s v="EURO-00001" u="1"/>
        <s v="EC-90072200100" u="1"/>
        <s v="EC-13030143130" u="1"/>
        <s v="PTNUCOZIN-19LIT" u="1"/>
        <s v="JF-290" u="1"/>
        <s v="SU-279-32902-H3" u="1"/>
        <s v="EC-C300000480" u="1"/>
        <s v="EC-P021022580" u="1"/>
        <s v="EC-S20A8TW3378" u="1"/>
        <s v="ARS-SS-240" u="1"/>
        <s v="EC-C305000380" u="1"/>
        <s v="PTHECOTOK-100CC" u="1"/>
        <s v="EC-70602066011" u="1"/>
        <s v="EC-A021002010" u="1"/>
        <s v="SU-480-08010-28" u="1"/>
        <s v="EC-P021033071" u="1"/>
        <s v="EC-A555000220" u="1"/>
        <s v="EC-A557000120" u="1"/>
        <s v="EC-15662660930" u="1"/>
        <s v="EC-MKT1330036" u="1"/>
        <s v="BCS-58056843" u="1"/>
        <s v="SU-480-08010-29" u="1"/>
        <s v="EC-90072000007" u="1"/>
        <s v="SU-282-33501-03" u="1"/>
        <s v="EC-P021033471" u="1"/>
        <s v="OT-2316" u="1"/>
        <s v="EC-10101108961" u="1"/>
        <s v="EC-V450000150" u="1"/>
        <s v="EC-757-70INTL" u="1"/>
        <s v="EC-V651000001" u="1"/>
        <s v="JF-01.601140" u="1"/>
        <s v="EC-15660130832" u="1"/>
        <s v="EC-17511412530" u="1"/>
        <s v="EC-21042504110" u="1"/>
        <s v="SU-282-60201-11" u="1"/>
        <s v="EC-HT230/40LA" u="1"/>
        <s v="EURO-36577" u="1"/>
        <s v="EC-17721544430" u="1"/>
        <s v="BCS-55157212" u="1"/>
        <s v="EC-P021034100" u="1"/>
        <s v="IN-0016" u="1"/>
        <s v="BCS-92190797" u="1"/>
        <s v="JF-342115" u="1"/>
        <s v="EURO-36231" u="1"/>
        <s v="PTNUCOCIT-LIT" u="1"/>
        <s v="ARS-160R-1.8" u="1"/>
        <s v="EC-V452000550" u="1"/>
        <s v="IN-0019" u="1"/>
        <s v="EC-99946400023" u="1"/>
        <s v="EC-43021113432" u="1"/>
        <s v="EC-315105055" u="1"/>
        <s v="EC-P021034400" u="1"/>
        <s v="SU-279-52702-03" u="1"/>
        <s v="EC-89770819835" u="1"/>
        <s v="EC-13031103710" u="1"/>
        <s v="EC-35160660831" u="1"/>
        <s v="EC-A410000030" u="1"/>
        <s v="EC-X411001010" u="1"/>
        <s v="EC-17500543130" u="1"/>
        <s v="EC-A412000030" u="1"/>
        <s v="EC-V452000950" u="1"/>
        <s v="BCS-55242528" u="1"/>
        <s v="EC-A411000130" u="1"/>
        <s v="EC-12312009560" u="1"/>
        <s v="IKRA-11020083" u="1"/>
        <s v="JF-041" u="1"/>
        <s v="EC-C535000891" u="1"/>
        <s v="EC-P022034800" u="1"/>
        <s v="EC-13031006230" u="1"/>
        <s v="IN-378" u="1"/>
        <s v="EC-C063000010" u="1"/>
        <s v="BR-CAT-71132-12" u="1"/>
        <s v="IKRA-11020097" u="1"/>
        <s v="EURO-36251-1.5M" u="1"/>
        <s v="OT-531" u="1"/>
        <s v="EC-P021035340" u="1"/>
        <s v="EC-10024232430" u="1"/>
        <s v="EC-P022019680" u="1"/>
        <s v="EC-P021035440" u="1"/>
        <s v="EC-10101032431" u="1"/>
        <s v="EC-A426000050" u="1"/>
        <s v="JF-9401058" u="1"/>
        <s v="EC-C051001130" u="1"/>
        <s v="EC-35701102410" u="1"/>
        <s v="EC-90060500006" u="1"/>
        <s v="EC-A427000150" u="1"/>
        <s v="EC-V805000170" u="1"/>
        <s v="PTACCOAST-LIT" u="1"/>
        <s v="PTNUCOINI-KIL" u="1"/>
        <s v="EC-99909-450" u="1"/>
        <s v="EC-V309000040" u="1"/>
        <s v="EC-10101055430" u="1"/>
        <s v="EC-CS-680S-70LA" u="1"/>
        <s v="EC-V307000240" u="1"/>
        <s v="EC-61023904130" u="1"/>
        <s v="SH-22155-96531" u="1"/>
        <s v="EC-13030243132" u="1"/>
        <s v="BR-CAT-31498-00" u="1"/>
        <s v="SU-279-32607-17" u="1"/>
        <s v="EC-61031056832" u="1"/>
        <s v="SU-279-62362-20" u="1"/>
        <s v="BCS-56356840" u="1"/>
        <s v="EC-21BPX72X" u="1"/>
        <s v="EC-10091716430" u="1"/>
        <s v="PTNUCORFT-KIL" u="1"/>
        <s v="EC-P021032441" u="1"/>
        <s v="EC-17722107060" u="1"/>
        <s v="EC-38301312621" u="1"/>
        <s v="EC-P021022590" u="1"/>
        <s v="SU-20B-22501-00" u="1"/>
        <s v="PTPLACSNX-100CC" u="1"/>
        <s v="EURO-31162" u="1"/>
        <s v="JF-05.000520" u="1"/>
        <s v="EC-P021002791" u="1"/>
        <s v="EC-13002151530" u="1"/>
        <s v="EC-A555000130" u="1"/>
        <s v="EC-70604041870" u="1"/>
        <s v="EC-P021012742" u="1"/>
        <s v="SU-277-23001-03" u="1"/>
        <s v="EURO-40376" u="1"/>
        <s v="EC-A021002120" u="1"/>
        <s v="EC-99909-55123" u="1"/>
        <s v="EC-P021017410" u="1"/>
        <s v="ARS LPB-20M" u="1"/>
        <s v="BCS-58056844" u="1"/>
        <s v="EURO-00032" u="1"/>
        <s v="PTPLACSNX-500CC" u="1"/>
        <s v="EC-80578" u="1"/>
        <s v="EC-A021002520" u="1"/>
        <s v="EC-70602010700" u="1"/>
        <s v="EC-V452000060" u="1"/>
        <s v="EC-V651000011" u="1"/>
        <s v="EC-10000060730" u="1"/>
        <s v="EURO-36059" u="1"/>
        <s v="PTHECOGLF-5GLN" u="1"/>
        <s v="EC-60405105560" u="1"/>
        <s v="EC-P021017910" u="1"/>
        <s v="EC-70602048970" u="1"/>
        <s v="EC-V452000260" u="1"/>
        <s v="EC-A556001170" u="1"/>
        <s v="BCS-55157213" u="1"/>
        <s v="EC-A575000270" u="1"/>
        <s v="EC-A556001270" u="1"/>
        <s v="BCS-92190798" u="1"/>
        <s v="EC-V452000560" u="1"/>
        <s v="EC-12314005560" u="1"/>
        <s v="EC-V450000760" u="1"/>
        <s v="EC-A051002180" u="1"/>
        <s v="EC-80405" u="1"/>
        <s v="BR-CAT-76295-00" u="1"/>
        <s v="EURO-90073" u="1"/>
        <s v="EC-V420002580" u="1"/>
        <s v="EC-V452000960" u="1"/>
        <s v="EC-99944100471" u="1"/>
        <s v="SU-277-22501-10" u="1"/>
        <s v="SU-253-15001-33" u="1"/>
        <s v="EC-P021028901" u="1"/>
        <s v="ROD-20 D6201" u="1"/>
        <s v="EC-201100021" u="1"/>
        <s v="EC-C450000213" u="1"/>
        <s v="EC-P022034810" u="1"/>
        <s v="ASAB-1100" u="1"/>
        <s v="EC-C550000430" u="1"/>
        <s v="EC-70102005510" u="1"/>
        <s v="EC-DM-6110EUSTD" u="1"/>
        <s v="BCS-31112090" u="1"/>
        <s v="EC-C230INTL" u="1"/>
        <s v="EC-A220000012" u="1"/>
        <s v="EC-A409000520" u="1"/>
        <s v="EC-A411000640" u="1"/>
        <s v="EC-70602071920" u="1"/>
        <s v="EC-A409000620" u="1"/>
        <s v="EC-70602072920" u="1"/>
        <s v="BCS-55252405" u="1"/>
        <s v="EC-A411001080" u="1"/>
        <s v="PTPLINSKE-250CC" u="1"/>
        <s v="EC-99909-451" u="1"/>
        <s v="EC-P021036090" u="1"/>
        <s v="EURO-00029" u="1"/>
        <s v="EC-61001106230" u="1"/>
        <s v="SH-108642-24" u="1"/>
        <s v="EC-13001742031" u="1"/>
        <s v="EC-90024205014" u="1"/>
        <s v="EC-35115535430" u="1"/>
        <s v="EC-PPT-2400STD" u="1"/>
        <s v="EC-A130000601" u="1"/>
        <s v="SU-227-42801-03" u="1"/>
        <s v="PA-817218" u="1"/>
        <s v="PTFUCOSTY-KIL" u="1"/>
        <s v="EC-569006" u="1"/>
        <s v="PA-818230" u="1"/>
        <s v="PTNUCOIMP-250CC" u="1"/>
        <s v="EC-PB-755/LA" u="1"/>
        <s v="EC-A056000010" u="1"/>
        <s v="INT-006" u="1"/>
        <s v="EC-P021017220" u="1"/>
        <s v="SU-281-33501-03" u="1"/>
        <s v="SU-282-20301-01" u="1"/>
        <s v="EC-A058000010" u="1"/>
        <s v="EC-17500030832" u="1"/>
        <s v="SU-480-05010-10" u="1"/>
        <s v="EC-13030151730" u="1"/>
        <s v="EC-25001102011" u="1"/>
        <s v="BCS-58056845" u="1"/>
        <s v="EC-V420001250" u="1"/>
        <s v="EC-70602031A13" u="1"/>
        <s v="SU-480-05010-11" u="1"/>
        <s v="EURO-40230" u="1"/>
        <s v="EC-70617050721" u="1"/>
        <s v="EC-10010055430" u="1"/>
        <s v="EC-17721540630" u="1"/>
        <s v="SH-20021-96420" u="1"/>
        <s v="EC-A566000160" u="1"/>
        <s v="EC-13001756431" u="1"/>
        <s v="SU-480-05010-12" u="1"/>
        <s v="EC-V043000351" u="1"/>
        <s v="SH-80771" u="1"/>
        <s v="JF-05.000581" u="1"/>
        <s v="EC-P021048010" u="1"/>
        <s v="EC-V652000021" u="1"/>
        <s v="EC-17500056831" u="1"/>
        <s v="EC-P021017920" u="1"/>
        <s v="EURO-40127" u="1"/>
        <s v="EC-314105055" u="1"/>
        <s v="BCS-55157214" u="1"/>
        <s v="EURO-40845" u="1"/>
        <s v="PTNUAGABC-250CC" u="1"/>
        <s v="BCS-92190799" u="1"/>
        <s v="EC-A575000380" u="1"/>
        <s v="BR-CAT-36268-00" u="1"/>
        <s v="SU-480-05010-15" u="1"/>
        <s v="EC-V420002390" u="1"/>
        <s v="EC-70617038722" u="1"/>
        <s v="JF-040" u="1"/>
        <s v="PTFUCORID-LIT" u="1"/>
        <s v="SU-277-15001-43" u="1"/>
        <s v="EC-P021028811" u="1"/>
        <s v="EC-A411000050" u="1"/>
        <s v="EC-C551000140" u="1"/>
        <s v="EC-70602061760" u="1"/>
        <s v="SU-480-05010-17" u="1"/>
        <s v="ROD-20 D6202" u="1"/>
        <s v="EC-901018" u="1"/>
        <s v="EC-17501805533" u="1"/>
        <s v="EC-90PX44CQ" u="1"/>
        <s v="EC-C063000030" u="1"/>
        <s v="JF-02.046292" u="1"/>
        <s v="EC-A411000264" u="1"/>
        <s v="EC-A411000450" u="1"/>
        <s v="BCS-31312125" u="1"/>
        <s v="EURO-40862" u="1"/>
        <s v="EC-14551206211" u="1"/>
        <s v="EC-A411000550" u="1"/>
        <s v="EC-A051002890" u="1"/>
        <s v="EC-C062000330" u="1"/>
        <s v="EC-A411000650" u="1"/>
        <s v="EC-17722042030" u="1"/>
        <s v="EC-35701401110" u="1"/>
        <s v="SU-277-42501-13" u="1"/>
        <s v="EC-C062000430" u="1"/>
        <s v="EC-13201202960" u="1"/>
        <s v="EC-V505000011" u="1"/>
        <s v="EC-17501232430" u="1"/>
        <s v="EC-PB-252LA" u="1"/>
        <s v="EC-A409000730" u="1"/>
        <s v="EC-A130000111" u="1"/>
        <s v="PTINCOSDF-100CC" u="1"/>
        <s v="BR-CAT-16319" u="1"/>
        <s v="EC-80250" u="1"/>
        <s v="EURO-36013" u="1"/>
        <s v="EC-C050001550" u="1"/>
        <s v="EC-P021006153" u="1"/>
        <s v="EC-90016205014" u="1"/>
        <s v="EC-P022002100" u="1"/>
        <s v="EURO-39013" u="1"/>
        <s v="EC-10010043130" u="1"/>
        <s v="EC-HC-152/LA" u="1"/>
        <s v="ARS-CB-9-2" u="1"/>
        <s v="EC-70602034770" u="1"/>
        <s v="SANYO-1220" u="1"/>
        <s v="SU-281-62301-H0" u="1"/>
        <s v="EC-569026" u="1"/>
        <s v="SU-060-02501-70" u="1"/>
        <s v="EC-C403000330" u="1"/>
        <s v="EC-10401606410" u="1"/>
        <s v="EC-17721532330" u="1"/>
        <s v="EC-A055000020" u="1"/>
        <s v="SU-281-42302-H1" u="1"/>
        <s v="BCS-58056816" u="1"/>
        <s v="PTNUCOFOS-500CC" u="1"/>
        <s v="EURO-36376" u="1"/>
        <s v="IN-128" u="1"/>
        <s v="SU-056-51800-10" u="1"/>
        <s v="EURO-40776" u="1"/>
        <s v="SANYO-0397" u="1"/>
        <s v="EC-A021002140" u="1"/>
        <s v="EC-12431749930" u="1"/>
        <s v="BCS-58056846" u="1"/>
        <s v="EC-C412000450" u="1"/>
        <s v="SU-279-51202-01" u="1"/>
        <s v="EC-A565000070" u="1"/>
        <s v="EC-A566000070" u="1"/>
        <s v="EC-21001304111" u="1"/>
        <s v="EC-A056000520" u="1"/>
        <s v="EC-17721538330" u="1"/>
        <s v="EC-A556000550" u="1"/>
        <s v="EC-P021003540" u="1"/>
        <s v="EC-15680144731" u="1"/>
        <s v="EC-43301910631" u="1"/>
        <s v="EC-A021002540" u="1"/>
        <s v="BR-CAT-73060" u="1"/>
        <s v="EC-A556000650" u="1"/>
        <s v="EC-81630" u="1"/>
        <s v="EC-80221" u="1"/>
        <s v="EC-3013172" u="1"/>
        <s v="EURO-40859" u="1"/>
        <s v="EC-V553000100" u="1"/>
        <s v="EC-C532000210" u="1"/>
        <s v="BCS-55157215" u="1"/>
        <s v="EC-13100455530" u="1"/>
        <s v="EC-V558000000" u="1"/>
        <s v="EC-A021003180" u="1"/>
        <s v="SU-2771501103" u="1"/>
        <s v="EC-A575000390" u="1"/>
        <s v="EC-13002019830" u="1"/>
        <s v="EC-1001141" u="1"/>
        <s v="EC-A051001660" u="1"/>
        <s v="EC-99944100485" u="1"/>
        <s v="PTNUAGARP-250CC" u="1"/>
        <s v="EC-15901201620" u="1"/>
        <s v="PTPLINANI-LIT" u="1"/>
        <s v="EC-C531000710" u="1"/>
        <s v="EC-C051000120" u="1"/>
        <s v="EC-17721832631" u="1"/>
        <s v="EC-65001" u="1"/>
        <s v="EC-17851051730" u="1"/>
        <s v="EC-A160002240" u="1"/>
        <s v="EC-X640000011" u="1"/>
        <s v="SU-024-00700-21" u="1"/>
        <s v="EC-10001108360" u="1"/>
        <s v="PTINCOFUL-50G" u="1"/>
        <s v="EC-17510530831" u="1"/>
        <s v="EC-15662639130" u="1"/>
        <s v="EC-C062000340" u="1"/>
        <s v="EC-A409000640" u="1"/>
        <s v="EC-P021021380" u="1"/>
        <s v="EC-10092230830" u="1"/>
        <s v="EC-A130000021" u="1"/>
        <s v="SU-277-32902-H3" u="1"/>
        <s v="EC-P021015771" u="1"/>
        <s v="EC-P021031631" u="1"/>
        <s v="EC-C050001560" u="1"/>
        <s v="INCO-033" u="1"/>
        <s v="EC-P004003010" u="1"/>
        <s v="EURO-41175" u="1"/>
        <s v="EC-V419000010" u="1"/>
        <s v="EC-43301616430" u="1"/>
        <s v="EURO-40361" u="1"/>
        <s v="BR-CAT-72780" u="1"/>
        <s v="EC-80794A" u="1"/>
        <s v="SU-282-33401-03" u="1"/>
        <s v="SU-281-20301-01" u="1"/>
        <s v="EC-A052000030" u="1"/>
        <s v="BR-CAT-71381" u="1"/>
        <s v="EC-72005-92630" u="1"/>
        <s v="EC-P004003410" u="1"/>
        <s v="BR-CAT-74548-00" u="1"/>
        <s v="EC-A553000060" u="1"/>
        <s v="PTNUCOAGV-500CC" u="1"/>
        <s v="EC-V420000530" u="1"/>
        <s v="EC-65002" u="1"/>
        <s v="EC-12435550130" u="1"/>
        <s v="EC-90081006201" u="1"/>
        <s v="PTNUCOCRE-500G" u="1"/>
        <s v="EC-A052000430" u="1"/>
        <s v="EC-70602047412" u="1"/>
        <s v="BCS-58056837" u="1"/>
        <s v="EC-C412000360" u="1"/>
        <s v="EURO-1X2-2000" u="1"/>
        <s v="EC-A056000330" u="1"/>
        <s v="BCS-58056847" u="1"/>
        <s v="EC-P021033200" u="1"/>
        <s v="EC-13192443130" u="1"/>
        <s v="EC-313105055" u="1"/>
        <s v="SU-060-02500-10" u="1"/>
        <s v="SU-277-52702-03" u="1"/>
        <s v="EC-A556000660" u="1"/>
        <s v="EC-27001006211" u="1"/>
        <s v="EC-A056000730" u="1"/>
        <s v="EC-A556000760" u="1"/>
        <s v="EC-V555000010" u="1"/>
        <s v="JF-141565" u="1"/>
        <s v="EC-A021003090" u="1"/>
        <s v="EC-80253" u="1"/>
        <s v="ARS-VS-9Z" u="1"/>
        <s v="EC-17721844330" u="1"/>
        <s v="EURO-10780" u="1"/>
        <s v="EC-10021300310" u="1"/>
        <s v="SU-040-11400-30" u="1"/>
        <s v="EC-P021018680" u="1"/>
        <s v="EC-20F8LS3378" u="1"/>
        <s v="EC-V452000690" u="1"/>
        <s v="EC-A021003490" u="1"/>
        <s v="EC-17724230830" u="1"/>
        <s v="PTHECOGLF-500CC" u="1"/>
        <s v="SU-X50-51200-20" u="1"/>
        <s v="EC-C551000060" u="1"/>
        <s v="IKRA-62006000" u="1"/>
        <s v="SU-227-22501-10" u="1"/>
        <s v="EC-C040000610" u="1"/>
        <s v="EC-C044000410" u="1"/>
        <s v="SU-277-16010-01" u="1"/>
        <s v="EC-65003" u="1"/>
        <s v="EC-10014230830" u="1"/>
        <s v="EC-10024230830" u="1"/>
        <s v="EC-14564200760" u="1"/>
        <s v="EURO-00014" u="1"/>
        <s v="BCS-92243685" u="1"/>
        <s v="EC-30511703360" u="1"/>
        <s v="EC-70602067820" u="1"/>
        <s v="SU-279-63601-23" u="1"/>
        <s v="EC-C044000910" u="1"/>
        <s v="EC-A021000291" u="1"/>
        <s v="EC-A409000650" u="1"/>
        <s v="EC-C055000630" u="1"/>
        <s v="EC-A427000090" u="1"/>
        <s v="EC-V304000180" u="1"/>
        <s v="EC-27000006311" u="1"/>
        <s v="SU-20A-32636-00" u="1"/>
        <s v="EC-V309000080" u="1"/>
        <s v="EC-V592000290" u="1"/>
        <s v="EC-9400236001" u="1"/>
        <s v="EC-17500555930" u="1"/>
        <s v="EC-A037000000" u="1"/>
        <s v="EC-17501235630" u="1"/>
        <s v="PTNUAGAGF-100CC" u="1"/>
        <s v="EC-E137000021" u="1"/>
        <s v="BCS-59056672" u="1"/>
        <s v="EC-A021000991" u="1"/>
        <s v="EC-P005003120" u="1"/>
        <s v="EC-V104000732" u="1"/>
        <s v="EC-13001744331" u="1"/>
        <s v="EURO-00031" u="1"/>
        <s v="EURO-39161" u="1"/>
        <s v="PTNUCOKPL-LIT" u="1"/>
        <s v="PTNUAGAGF-500CC" u="1"/>
        <s v="EC-70616035770" u="1"/>
        <s v="EC-A050000240" u="1"/>
        <s v="EC-WP-1000" u="1"/>
        <s v="EC-V420000540" u="1"/>
        <s v="EURO-36058" u="1"/>
        <s v="EC-A130001371" u="1"/>
        <s v="EC-12415905530" u="1"/>
        <s v="EC-450103060" u="1"/>
        <s v="EC-18F8LS3372" u="1"/>
        <s v="EC-P022033110" u="1"/>
        <s v="BCS-58056848" u="1"/>
        <s v="EC-C412000470" u="1"/>
        <s v="EC-13051630830" u="1"/>
        <s v="EC-A056000640" u="1"/>
        <s v="EC-70616006062" u="1"/>
        <s v="EC-C531000030" u="1"/>
        <s v="EC-P021003474" u="1"/>
        <s v="EURO-90072" u="1"/>
        <s v="EC-P021048040" u="1"/>
        <s v="ARS-VS-9R" u="1"/>
        <s v="PTFUCOFEG-LIT" u="1"/>
        <s v="EC-10091532530" u="1"/>
        <s v="EC-P021018290" u="1"/>
        <s v="EC-V556000020" u="1"/>
        <s v="EC-80255" u="1"/>
        <s v="EC-A175000200" u="1"/>
        <s v="EC-C536000030" u="1"/>
        <s v="INCO-036" u="1"/>
        <s v="EC-C423000790" u="1"/>
        <s v="EC-A202000012" u="1"/>
        <s v="SU-20B-32640-H8" u="1"/>
        <s v="EC-C535000530" u="1"/>
        <s v="EC-A172001140" u="1"/>
        <s v="EC-C551000070" u="1"/>
        <s v="EC-C535000630" u="1"/>
        <s v="EC-17723412220" u="1"/>
        <s v="EC-17851047530" u="1"/>
        <s v="EURO-40558" u="1"/>
        <s v="PTNUFFVIG-LIT" u="1"/>
        <s v="EURO-00028" u="1"/>
        <s v="EC-90072230112" u="1"/>
        <s v="P-0014" u="1"/>
        <s v="EC-13031306230" u="1"/>
        <s v="ARS-GR18L" u="1"/>
        <s v="SU-20B-15501-01" u="1"/>
        <s v="EC-15262660730" u="1"/>
        <s v="EC-P021045341" u="1"/>
        <s v="EC-P021035490" u="1"/>
        <s v="EC-15680142230" u="1"/>
        <s v="SU-227-42501-13" u="1"/>
        <s v="SU-227-42701-03" u="1"/>
        <s v="IMP-271" u="1"/>
        <s v="PTINCOKAR-LIT" u="1"/>
        <s v="EC-A411000780" u="1"/>
        <s v="EC-A411000880" u="1"/>
        <s v="IN-32" u="1"/>
        <s v="EC-10101055930" u="1"/>
        <s v="EC-A409000960" u="1"/>
        <s v="EC-X047000381" u="1"/>
        <s v="EC-80256" u="1"/>
        <s v="EC-P021031651" u="1"/>
        <s v="SU-281-33401-03" u="1"/>
        <s v="SU-282-63601-H1" u="1"/>
        <s v="EC-J420000080" u="1"/>
        <s v="EC-C350INTL" u="1"/>
        <s v="EURO-90069" u="1"/>
        <s v="EURO-900" u="1"/>
        <s v="EC-17720030831" u="1"/>
        <s v="EC-G186000010" u="1"/>
        <s v="EC-22190003311" u="1"/>
        <s v="EC-A030000610" u="1"/>
        <s v="EC-A232000472" u="1"/>
        <s v="EC-16201055630" u="1"/>
        <s v="EC-43311760930" u="1"/>
        <s v="EC-P004003230" u="1"/>
        <s v="SU-281-60101-11" u="1"/>
        <s v="EC-P021032391" u="1"/>
        <s v="SH-64007-67011" u="1"/>
        <s v="EC-12311605160" u="1"/>
        <s v="SU-20B-50301-20" u="1"/>
        <s v="EC-9114206016" u="1"/>
        <s v="EC-A056000050" u="1"/>
        <s v="IKRA-43224700" u="1"/>
        <s v="PTACCOYOG-LIT" u="1"/>
        <s v="EC-A130001381" u="1"/>
        <s v="EC-A052000350" u="1"/>
        <s v="EC-C415000080" u="1"/>
        <s v="IKRA-RT2107" u="1"/>
        <s v="EC-P021007312" u="1"/>
        <s v="EC-12214100230" u="1"/>
        <s v="SU-X66-00003-61" u="1"/>
        <s v="EC-P021033320" u="1"/>
        <s v="EC-V541000210" u="1"/>
        <s v="EC-A130002010" u="1"/>
        <s v="EC-A556000480" u="1"/>
        <s v="EC-61001122460" u="1"/>
        <s v="EC-10020456232" u="1"/>
        <s v="EC-A021002470" u="1"/>
        <s v="EC-A056000650" u="1"/>
        <s v="EC-A021002570" u="1"/>
        <s v="SU-279-15001-33" u="1"/>
        <s v="IN-375" u="1"/>
        <s v="EC-P021048050" u="1"/>
        <s v="EC-P021013621" u="1"/>
        <s v="EURO-36089" u="1"/>
        <s v="EC-99944100505" u="1"/>
        <s v="SU-27963601-23" u="1"/>
        <s v="EC-A175000210" u="1"/>
        <s v="PTNUCOZIN-500CC" u="1"/>
        <s v="SU-226-22501-10" u="1"/>
        <s v="EC-90028605025" u="1"/>
        <s v="SH-20035-21100" u="1"/>
        <s v="SU-20B-62430-08" u="1"/>
        <s v="EC-9403536201" u="1"/>
        <s v="EC-EDR-210" u="1"/>
        <s v="SU-269-33701-03" u="1"/>
        <s v="EC-P021000371" u="1"/>
        <s v="EC-P021034560" u="1"/>
        <s v="BR-CAT-SC3265" u="1"/>
        <s v="OT-442" u="1"/>
        <s v="JF-02.066265" u="1"/>
        <s v="EC-A510000110" u="1"/>
        <s v="IN-62" u="1"/>
        <s v="EC-P022034760" u="1"/>
        <s v="SANYO-0379" u="1"/>
        <s v="EC-C535000840" u="1"/>
        <s v="EC-15262655430" u="1"/>
        <s v="EURO-40226" u="1"/>
        <s v="EC-70602019230" u="1"/>
        <s v="EC-A511000210" u="1"/>
        <s v="PTNUCOCAL-19LIT" u="1"/>
        <s v="EC-4037771" u="1"/>
        <s v="SU-20B-35101-21" u="1"/>
        <s v="EC-90SG-39X" u="1"/>
        <s v="EC-C044000830" u="1"/>
        <s v="EC-E103001021" u="1"/>
        <s v="EC-A409000570" u="1"/>
        <s v="EC-C051000564" u="1"/>
        <s v="ARS-CB-9-1" u="1"/>
        <s v="EC-90060000006" u="1"/>
        <s v="EC-P004002200" u="1"/>
        <s v="EC-70615050520" u="1"/>
        <s v="EC-A411000790" u="1"/>
        <s v="EC-81593" u="1"/>
        <s v="EC-A030000120" u="1"/>
        <s v="EC-C050001290" u="1"/>
        <s v="EC-P021031461" u="1"/>
        <s v="EC-4527270" u="1"/>
        <s v="EC-4574920" u="1"/>
        <s v="EC-22400010610" u="1"/>
        <s v="BCS-92248332" u="1"/>
        <s v="EC-13000739932" u="1"/>
        <s v="EC-10000039130" u="1"/>
        <s v="EC-61031352932" u="1"/>
        <s v="EC-A039000020" u="1"/>
        <s v="EC-P003003140" u="1"/>
        <s v="EC-17801202061" u="1"/>
        <s v="EC-V423000060" u="1"/>
        <s v="EC-12436721330" u="1"/>
        <s v="SU-277-51202-01" u="1"/>
        <s v="EC-P004002900" u="1"/>
        <s v="SU-20B-37001-11" u="1"/>
        <s v="EC-A045000340" u="1"/>
        <s v="EC-A052000160" u="1"/>
        <s v="EC-17501842230" u="1"/>
        <s v="EC-C511000110" u="1"/>
        <s v="EC-A350000342" u="1"/>
        <s v="EC-12901152131" u="1"/>
        <s v="EC-90085506901" u="1"/>
        <s v="EURO-36392" u="1"/>
        <s v="EC-10014212330" u="1"/>
        <s v="SU-480-08010-11" u="1"/>
        <s v="EC-P021033430" u="1"/>
        <s v="EC-A051000960" u="1"/>
        <s v="SU-480-08010-12" u="1"/>
        <s v="G-001" u="1"/>
        <s v="EC-10153530830" u="1"/>
        <s v="BR-CAT-70089" u="1"/>
        <s v="EC-A172000320" u="1"/>
        <s v="EC-A556000890" u="1"/>
        <s v="PTPLINSMT-LIT" u="1"/>
        <s v="OT-107" u="1"/>
        <s v="EC-A175000220" u="1"/>
        <s v="EC-V555000140" u="1"/>
        <s v="EURO-36475" u="1"/>
        <s v="EC-10102360930" u="1"/>
        <s v="SU-481-00001-14" u="1"/>
        <s v="EC-43700239130" u="1"/>
        <s v="EC-4502640" u="1"/>
        <s v="SU-480-08010-15" u="1"/>
        <s v="EC-P021010232" u="1"/>
        <s v="SU-481-00001-15" u="1"/>
        <s v="EC-89541006961" u="1"/>
        <s v="EC-A160001640" u="1"/>
        <s v="P-0013" u="1"/>
        <s v="SU-480-08010-16" u="1"/>
        <s v="EC-569019" u="1"/>
        <s v="EC-X411000940" u="1"/>
        <s v="EC-C044000540" u="1"/>
        <s v="PTNUFFROO-LIT" u="1"/>
        <s v="EC-C535000850" u="1"/>
        <s v="SU-480-08010-17" u="1"/>
        <s v="SHDW-051" u="1"/>
        <s v="EC-C044000640" u="1"/>
        <s v="SU-226-42501-13" u="1"/>
        <s v="EC-13201119831" u="1"/>
        <s v="EC-A514000120" u="1"/>
        <s v="SU-252-62354-10" u="1"/>
        <s v="EC-17801335631" u="1"/>
        <s v="ROD 20 D6 629" u="1"/>
        <s v="EC-70602068010" u="1"/>
        <s v="EC-12311240630" u="1"/>
        <s v="EC-P003002210" u="1"/>
        <s v="MPPRFISTY-100G" u="1"/>
        <s v="PTFUCOBUC-100CC" u="1"/>
        <s v="EC-73LGX84X" u="1"/>
        <s v="EC-A011001030" u="1"/>
        <s v="SU-0401140030" u="1"/>
        <s v="SU-277-73101-H1" u="1"/>
        <s v="EC-17722601110" u="1"/>
        <s v="EC-V401000430" u="1"/>
        <s v="JF-003" u="1"/>
        <s v="JF-02.045823" u="1"/>
        <s v="BCS-55256835" u="1"/>
        <s v="PTINCOSDF-250CC" u="1"/>
        <s v="SU-X56-11100-60" u="1"/>
        <s v="EC-A033000230" u="1"/>
        <s v="PTFUCOBUC-500CC" u="1"/>
        <s v="EC-70602056411" u="1"/>
        <s v="EC-A033000330" u="1"/>
        <s v="EC-P021016254" u="1"/>
        <s v="EURO-39043" u="1"/>
        <s v="EC-A038000330" u="1"/>
        <s v="EC-A038000430" u="1"/>
        <s v="EC-A051000070" u="1"/>
        <s v="PTNUCOFOS-250CC" u="1"/>
        <s v="SU-011-00803-10" u="1"/>
        <s v="SU-277-46002-01" u="1"/>
        <s v="EC-A051000170" u="1"/>
        <s v="EC-P021032500" u="1"/>
        <s v="SHDW-012" u="1"/>
        <s v="EC-P021027031" u="1"/>
        <s v="EC-C510000120" u="1"/>
        <s v="PA-818353" u="1"/>
        <s v="EC-C506000200" u="1"/>
        <s v="SU-282-23521-H7" u="1"/>
        <s v="EC-12300057731" u="1"/>
        <s v="EC-C510000220" u="1"/>
        <s v="OT-74-02-331" u="1"/>
        <s v="EC-A052000370" u="1"/>
        <s v="EC-A056000170" u="1"/>
        <s v="EC-10021227930" u="1"/>
        <s v="EC-CS-620P-60LA" u="1"/>
        <s v="EC-C020000010" u="1"/>
        <s v="EC-C504000500" u="1"/>
        <s v="EC-A052000470" u="1"/>
        <s v="EC-A021002190" u="1"/>
        <s v="EC-C022000010" u="1"/>
        <s v="MOT-53" u="1"/>
        <s v="JF-03.100094" u="1"/>
        <s v="EC-SHP-800-2" u="1"/>
        <s v="EC-17720360930" u="1"/>
        <s v="ASAB-300A" u="1"/>
        <s v="EC-E164000100" u="1"/>
        <s v="EC-C504000700" u="1"/>
        <s v="OT-VANG18HP" u="1"/>
        <s v="EC-80187" u="1"/>
        <s v="BR-CAT-31238-00" u="1"/>
        <s v="EC-A021002690" u="1"/>
        <s v="EC-28820-08000" u="1"/>
        <s v="F-007" u="1"/>
        <s v="PTNUFFAGR-LIT" u="1"/>
        <s v="EC-V043000600" u="1"/>
        <s v="EC-10024216430" u="1"/>
        <s v="EC-V555000150" u="1"/>
        <s v="EC-E165000600" u="1"/>
        <s v="SU-282-79401-11" u="1"/>
        <s v="EC-9242432000" u="1"/>
        <s v="EC-10101016431" u="1"/>
        <s v="SH-20010-41330" u="1"/>
        <s v="EURO-00013" u="1"/>
        <s v="EURO-40011" u="1"/>
        <s v="INCO-9511900" u="1"/>
        <s v="SU-277-63601-23" u="1"/>
        <s v="EC-E105000001" u="1"/>
        <s v="EC-A504000110" u="1"/>
        <s v="PTINCOGGB-10G" u="1"/>
        <s v="EC-90003150100" u="1"/>
        <s v="EC-A160001650" u="1"/>
        <s v="EC-A172001270" u="1"/>
        <s v="EC-P033000000" u="1"/>
        <s v="SHDW-013" u="1"/>
        <s v="EC-C044000450" u="1"/>
        <s v="EC-C531000960" u="1"/>
        <s v="EC-C535000760" u="1"/>
        <s v="EC-X411000950" u="1"/>
        <s v="EC-P022034780" u="1"/>
        <s v="EC-C057000070" u="1"/>
        <s v="EC-C535000860" u="1"/>
        <s v="EC-C534000960" u="1"/>
        <s v="EC-P021010642" u="1"/>
        <s v="EC-A514000130" u="1"/>
        <s v="EC-A506000410" u="1"/>
        <s v="EC-A514000230" u="1"/>
        <s v="JF-05.00133" u="1"/>
        <s v="CO-006" u="1"/>
        <s v="SO-21171-2157" u="1"/>
        <s v="EC-73LGX98X" u="1"/>
        <s v="EC-17722040630" u="1"/>
        <s v="EC-A020000220" u="1"/>
        <s v="EC-A021000220" u="1"/>
        <s v="EURO-00030" u="1"/>
        <s v="EC-17500549930" u="1"/>
        <s v="EC-4036722" u="1"/>
        <s v="EC-10103456532" u="1"/>
        <s v="BCS-55256836" u="1"/>
        <s v="PTNUFFSIL-19LIT" u="1"/>
        <s v="EC-P004002520" u="1"/>
        <s v="BCS-92248334" u="1"/>
        <s v="EC-70602028970" u="1"/>
        <s v="EC-20091603210" u="1"/>
        <s v="BCS-58150313" u="1"/>
        <s v="JF-05.032192" u="1"/>
        <s v="EC-P003003160" u="1"/>
        <s v="EC-P004002820" u="1"/>
        <s v="EC-C501000010" u="1"/>
        <s v="EC-7061702772E" u="1"/>
        <s v="PTNUCOAGV-250CC" u="1"/>
        <s v="EC-A130001000" u="1"/>
        <s v="IN-039" u="1"/>
        <s v="EC-P021036463" u="1"/>
        <s v="EC-569021" u="1"/>
        <s v="SU-021-70600-30" u="1"/>
        <s v="PTPLFULET-LIT" u="1"/>
        <s v="EC-A052000180" u="1"/>
        <s v="SHDW-014" u="1"/>
        <s v="EC-12411405530" u="1"/>
        <s v="EC-A021001660" u="1"/>
        <s v="EC-16340032430" u="1"/>
        <s v="EC-A052000380" u="1"/>
        <s v="EC-A056000180" u="1"/>
        <s v="EC-12300038832" u="1"/>
        <s v="EC-A162000020" u="1"/>
        <s v="PTNUCOOPW-LIT" u="1"/>
        <s v="EC-90080006000" u="1"/>
        <s v="EC-C022000020" u="1"/>
        <s v="EC-17721835430" u="1"/>
        <s v="EC-16340035430" u="1"/>
        <s v="EC-P021033250" u="1"/>
        <s v="EC-C022000120" u="1"/>
        <s v="IN-139" u="1"/>
        <s v="EC-30011114010" u="1"/>
        <s v="PTACCOABM-LIT" u="1"/>
        <s v="IN-00102" u="1"/>
        <s v="EC-P021017990" u="1"/>
        <s v="EC-43021531733" u="1"/>
        <s v="EURO-00027" u="1"/>
        <s v="EC-22200001110" u="1"/>
        <s v="PTHECOGLF-250CC" u="1"/>
        <s v="EURO-36343" u="1"/>
        <s v="INCO-9031910" u="1"/>
        <s v="EC-61032052130" u="1"/>
        <s v="P-0012" u="1"/>
        <s v="EC-21560056" u="1"/>
        <s v="EURO-40211" u="1"/>
        <s v="SU-064-13600-10" u="1"/>
        <s v="EC-13030020960" u="1"/>
        <s v="PTNUCOFER-LIT" u="1"/>
        <s v="EC-99944200595" u="1"/>
        <s v="EC-61042606560" u="1"/>
        <s v="EC-12310052130" u="1"/>
        <s v="EC-17722827030" u="1"/>
        <s v="JACTO-1182196" u="1"/>
        <s v="EURO-39091" u="1"/>
        <s v="SHDW-015" u="1"/>
        <s v="EC-C535000770" u="1"/>
        <s v="JF-265" u="1"/>
        <s v="SU-X85-10613-52" u="1"/>
        <s v="EC-X411000960" u="1"/>
        <s v="EC-32D8PS3805" u="1"/>
        <s v="SHDW-045" u="1"/>
        <s v="EC-70617019061" u="1"/>
        <s v="EC-17720016431" u="1"/>
        <s v="EC-A509000320" u="1"/>
        <s v="EC-V401000050" u="1"/>
        <s v="EURO-700" u="1"/>
        <s v="JF-002" u="1"/>
        <s v="ASAB-W-2D-3" u="1"/>
        <s v="EC-C670000070" u="1"/>
        <s v="SU-480-05010-01" u="1"/>
        <s v="EC-A023000230" u="1"/>
        <s v="EC-70617050720" u="1"/>
        <s v="SU-263-23301-33" u="1"/>
        <s v="EC-V401000350" u="1"/>
        <s v="EC-A011000810" u="1"/>
        <s v="EURO-40909" u="1"/>
        <s v="PTNUCOFLO-KIL" u="1"/>
        <s v="EC-14571130830" u="1"/>
        <s v="SU-480-05010-02" u="1"/>
        <s v="IN-00103" u="1"/>
        <s v="EC-V401000450" u="1"/>
        <s v="EC-SRM-2305/ULA" u="1"/>
        <s v="EC-A030000250" u="1"/>
        <s v="EC-P004002730" u="1"/>
        <s v="PTNUAGAGF-250CC" u="1"/>
        <s v="EURO-40843" u="1"/>
        <s v="EC-21250101111" u="1"/>
        <s v="EC-43301116430" u="1"/>
        <s v="SU-480-05010-04" u="1"/>
        <s v="EURO-40311" u="1"/>
        <s v="SU-281-23521-H7" u="1"/>
        <s v="JF-03.046449" u="1"/>
        <s v="EC-70617038721" u="1"/>
        <s v="SU-277-15001-33" u="1"/>
        <s v="SHDW-016" u="1"/>
        <s v="EC-108636-10" u="1"/>
        <s v="EC-A052000290" u="1"/>
        <s v="SHDW-036" u="1"/>
        <s v="JF-03.046499" u="1"/>
        <s v="EURO-39088" u="1"/>
        <s v="EURO-36274" u="1"/>
        <s v="EC-C504000620" u="1"/>
        <s v="EC-C022000130" u="1"/>
        <s v="EC-C504000720" u="1"/>
        <s v="PTNUFFAGB-LIT" u="1"/>
        <s v="SU-480-05010-09" u="1"/>
        <s v="SU-277-36913-13" u="1"/>
        <s v="SU-281-79401-11" u="1"/>
        <s v="EC-89757005560" u="1"/>
        <s v="SU-279-50301-20" u="1"/>
        <s v="EC-V043000420" u="1"/>
        <s v="EC-12313419730" u="1"/>
        <s v="EC-70602049A20" u="1"/>
        <s v="EC-43021530833" u="1"/>
        <s v="EC-A175000150" u="1"/>
        <s v="EC-43710038832" u="1"/>
        <s v="BR-CAT-70973" u="1"/>
        <s v="INCO-9051910" u="1"/>
        <s v="SU-277-20901-51" u="1"/>
        <s v="EC-13192311120" u="1"/>
        <s v="EC-43302116430" u="1"/>
        <s v="SU-20B-62434-08" u="1"/>
        <s v="EC-38201312620" u="1"/>
        <s v="EC-C535000480" u="1"/>
        <s v="EC-13001743130" u="1"/>
        <s v="ARS-SH-VSZ" u="1"/>
        <s v="EC-70616015430" u="1"/>
        <s v="EC-C534000680" u="1"/>
        <s v="EURO-10069-2M" u="1"/>
        <s v="EC-69621206032" u="1"/>
        <s v="EC-P004001300" u="1"/>
        <s v="SU-20B-35201-13" u="1"/>
        <s v="CO-005" u="1"/>
        <s v="EC-A011000120" u="1"/>
        <s v="EC-13031703710" u="1"/>
        <s v="EC-C531000980" u="1"/>
        <s v="EC-C535000780" u="1"/>
        <s v="EC-A506000230" u="1"/>
        <s v="SHDW-037" u="1"/>
        <s v="EC-A511000250" u="1"/>
        <s v="EC-17722035430" u="1"/>
        <s v="01-00102" u="1"/>
        <s v="EC-A518000050" u="1"/>
        <s v="SU-056-51600-10" u="1"/>
        <s v="SANYO-0395" u="1"/>
        <s v="EC-C044000870" u="1"/>
        <s v="EC-A520000170" u="1"/>
        <s v="PTFUORBIO-LIT" u="1"/>
        <s v="PTFUCOSKK-100G" u="1"/>
        <s v="EC-A011000720" u="1"/>
        <s v="EC-70613005230" u="1"/>
        <s v="PA-809981" u="1"/>
        <s v="EURO-001-F" u="1"/>
        <s v="EC-A011001060" u="1"/>
        <s v="PTFUCOSKK-200G" u="1"/>
        <s v="EC-V401000360" u="1"/>
        <s v="IKRA-77033951-EC" u="1"/>
        <s v="EC-V510000000" u="1"/>
        <s v="EURO-40139" u="1"/>
        <s v="EURO-36989" u="1"/>
        <s v="EC-V152002340" u="1"/>
        <s v="EC-V513000000" u="1"/>
        <s v="SH-20021-81920" u="1"/>
        <s v="PTFUCOSKK-500G" u="1"/>
        <s v="EC-BOM-PRUEBA" u="1"/>
        <s v="EC-P004002640" u="1"/>
        <s v="PTNUCOEPG-LIT" u="1"/>
        <s v="IN-038" u="1"/>
        <s v="EC-27001806210" u="1"/>
        <s v="EC-P022002080" u="1"/>
        <s v="EC-X047000520" u="1"/>
        <s v="INCO-9061910" u="1"/>
        <s v="EC-10101161230" u="1"/>
        <s v="EC-10021219830" u="1"/>
        <s v="SU-20B-35601-H1" u="1"/>
        <s v="JF-064" u="1"/>
        <s v="EC-99944100484" u="1"/>
        <s v="PTFUORBIO-20LIT" u="1"/>
        <s v="EC-A130001020" u="1"/>
        <s v="EC-2216982420" u="1"/>
        <s v="EC-70602041720" u="1"/>
        <s v="EC-A021001580" u="1"/>
        <s v="EC-A021001680" u="1"/>
        <s v="EURO-39008" u="1"/>
        <s v="SHDW-038" u="1"/>
        <s v="SHDW-048" u="1"/>
        <s v="EC-17724214730" u="1"/>
        <s v="EC-P021012831" u="1"/>
        <s v="EURO-36474" u="1"/>
        <s v="EC-C021000040" u="1"/>
        <s v="SU-279-99001-07" u="1"/>
        <s v="SH-713545" u="1"/>
        <s v="EC-X600000111" u="1"/>
        <s v="EC-A171000060" u="1"/>
        <s v="EC-88198-S" u="1"/>
        <s v="EURO-41090" u="1"/>
        <s v="P-0011" u="1"/>
        <s v="EC-V043000530" u="1"/>
        <s v="EC-PPT-266LA" u="1"/>
        <s v="EC-12314103930" u="1"/>
        <s v="EURO-10492" u="1"/>
        <s v="EURO-39025" u="1"/>
        <s v="EC-43700237530" u="1"/>
        <s v="SU-252-23501-17" u="1"/>
        <s v="EC-DMAD-4610EUSTD" u="1"/>
        <s v="PTHECOKEM-LIT" u="1"/>
        <s v="EC-V651000600" u="1"/>
        <s v="EURO-POL5" u="1"/>
        <s v="EC-V651000700" u="1"/>
        <s v="EC-P005001110" u="1"/>
        <s v="EURO-10069-3M" u="1"/>
        <s v="EC-C044000480" u="1"/>
        <s v="EC-P021014700" u="1"/>
        <s v="EC-C535000790" u="1"/>
        <s v="SU-282-23411-H3" u="1"/>
        <s v="PA-818226" u="1"/>
        <s v="SHDW-039" u="1"/>
        <s v="EC-P004001510" u="1"/>
        <s v="EC-C535000990" u="1"/>
        <s v="SU-279-62411-08" u="1"/>
        <s v="EC-A520000080" u="1"/>
        <s v="IN-086" u="1"/>
        <s v="SU-279-42301-60" u="1"/>
        <s v="EC-A500000840" u="1"/>
        <s v="EC-12438012710" u="1"/>
        <s v="BCS-92380270" u="1"/>
        <s v="EC-V401000170" u="1"/>
        <s v="EC-P021029730" u="1"/>
        <s v="EC-90050300006" u="1"/>
        <s v="EC-13001755630" u="1"/>
        <s v="OT-854" u="1"/>
        <s v="EC-A027000150" u="1"/>
        <s v="EC-10010160931" u="1"/>
        <s v="EC-A011000830" u="1"/>
        <s v="EC-V510000010" u="1"/>
        <s v="EC-10020457031" u="1"/>
        <s v="EC-12534107360" u="1"/>
        <s v="EC-A033000070" u="1"/>
        <s v="EC-A021000550" u="1"/>
        <s v="EC-A030000270" u="1"/>
        <s v="EC-E034000060" u="1"/>
        <s v="EC-A011001270" u="1"/>
        <s v="EC-P004002550" u="1"/>
        <s v="EC-B45INTL" u="1"/>
        <s v="EC-13040538332" u="1"/>
        <s v="EC-P022002090" u="1"/>
        <s v="EC-A030000570" u="1"/>
        <s v="JF-278" u="1"/>
        <s v="EC-25021111610" u="1"/>
        <s v="EC-90022006014" u="1"/>
        <s v="AM-001" u="1"/>
        <s v="EC-10091516430" u="1"/>
        <s v="EC-12900643130" u="1"/>
        <s v="EC-12312232630" u="1"/>
        <s v="EC-10020430833" u="1"/>
        <s v="EC-17800151030" u="1"/>
        <s v="JF-05.035274" u="1"/>
        <s v="EC-21002300210" u="1"/>
        <s v="EC-99909-55113" u="1"/>
        <s v="EC-99909-160" u="1"/>
        <s v="EC-12411411120" u="1"/>
        <s v="EURO-00012" u="1"/>
        <s v="EC-C504000740" u="1"/>
        <s v="EC-22010501610" u="1"/>
        <s v="EC-10101030830" u="1"/>
        <s v="EC-38402612620" u="1"/>
        <s v="EURO-41010" u="1"/>
        <s v="EC-P021033480" u="1"/>
        <s v="SUB-EX 17" u="1"/>
        <s v="EC-P021007772" u="1"/>
        <s v="EC-A369000101" u="1"/>
        <s v="EC-STSHINLIT" u="1"/>
        <s v="EC-14586130830" u="1"/>
        <s v="EC-V043000540" u="1"/>
        <s v="PTNUFFBOR-LIT" u="1"/>
        <s v="EC-43721139133" u="1"/>
        <s v="EC-10091035630" u="1"/>
        <s v="SU-252-23502-17" u="1"/>
        <s v="EC-9404506200" u="1"/>
        <s v="EC-17722010631" u="1"/>
        <s v="EC-A160001490" u="1"/>
        <s v="EC-ECHO" u="1"/>
        <s v="EC-PHP-800/B" u="1"/>
        <s v="EURO-10069-4M" u="1"/>
        <s v="JF-05.000260" u="1"/>
        <s v="EURO-40708" u="1"/>
        <s v="EC-70602016970" u="1"/>
        <s v="EC-A014000040" u="1"/>
        <s v="OT-705" u="1"/>
        <s v="EC-15280156530" u="1"/>
        <s v="EC-P021010596" u="1"/>
        <s v="EC-P021015350" u="1"/>
        <s v="EC-70616002061" u="1"/>
        <s v="EURO-DISPLAY" u="1"/>
        <s v="ASAB-AP-1" u="1"/>
        <s v="BCS-92380271" u="1"/>
        <s v="EC-V102000001" u="1"/>
        <s v="EC-13030013411" u="1"/>
        <s v="EC-A023000160" u="1"/>
        <s v="EC-70617047620" u="1"/>
        <s v="EURO-40390" u="1"/>
        <s v="EC-99909-55130" u="1"/>
        <s v="EC-9242428000" u="1"/>
        <s v="PTFUCOBUC-250CC" u="1"/>
        <s v="EC-A011000840" u="1"/>
        <s v="EC-V510000020" u="1"/>
        <s v="JF-02.055600" u="1"/>
        <s v="EC-V509000000" u="1"/>
        <s v="EURO-00009" u="1"/>
        <s v="EC-A033000280" u="1"/>
        <s v="EC-P004002860" u="1"/>
        <s v="PTNUCOPRO-KIL" u="1"/>
        <s v="PA-817216" u="1"/>
        <s v="EC-P004002960" u="1"/>
        <s v="PTNUCOCAL-500CC" u="1"/>
        <s v="EC-17721830830" u="1"/>
        <s v="EC-16340030830" u="1"/>
        <s v="EURO-40808" u="1"/>
        <s v="EC-A130001340" u="1"/>
        <s v="SU-227-14202-03" u="1"/>
        <s v="EC-90010905010" u="1"/>
        <s v="EC-35161638130" u="1"/>
        <s v="SU-253-31701-11" u="1"/>
        <s v="EURO-00026" u="1"/>
        <s v="EURO-40024" u="1"/>
        <s v="EC-C504000550" u="1"/>
        <s v="SU-227-42301-11" u="1"/>
        <s v="EC-12311215030" u="1"/>
        <s v="EC-12312540630" u="1"/>
        <s v="OT-1041" u="1"/>
        <s v="EURO-36239" u="1"/>
        <s v="OT-72LPX" u="1"/>
        <s v="EC-V043000550" u="1"/>
        <s v="EC-20D8TW3872" u="1"/>
        <s v="EC-A175000180" u="1"/>
        <s v="EC-30100156831" u="1"/>
        <s v="EC-S28H8TW3892" u="1"/>
        <s v="EC-10001101110" u="1"/>
        <s v="EC-91101" u="1"/>
        <s v="SU-252-23503-17" u="1"/>
        <s v="EC-V651000520" u="1"/>
        <s v="EC-P021014320" u="1"/>
        <s v="SU-20B-42201-01" u="1"/>
        <s v="SU-281-23411-H3" u="1"/>
        <s v="EC-P021028610" u="1"/>
        <s v="EC-V356000352" u="1"/>
        <s v="JACTO-1200332" u="1"/>
        <s v="EC-P005001130" u="1"/>
        <s v="EC-17722830830" u="1"/>
        <s v="EC-C450000022" u="1"/>
        <s v="EURO-36508" u="1"/>
        <s v="PTPLHEBIS-100CC" u="1"/>
        <s v="EC-A011000150" u="1"/>
        <s v="EC-P004001430" u="1"/>
        <s v="EC-A506000260" u="1"/>
        <s v="EC-13040622360" u="1"/>
        <s v="EC-A011000250" u="1"/>
        <s v="EC-10010030830" u="1"/>
        <s v="EC-70616017870" u="1"/>
        <s v="EURO-CANALIZADO" u="1"/>
        <s v="EC-A514000180" u="1"/>
        <s v="EC-12300060930" u="1"/>
        <s v="BR-CAT-71247" u="1"/>
        <s v="EC-14551006211" u="1"/>
        <s v="EC-61001222361" u="1"/>
        <s v="ARS-GR-17" u="1"/>
        <s v="EC-10152130832" u="1"/>
        <s v="EC-17723661830" u="1"/>
        <s v="EC-E025000260" u="1"/>
        <s v="EC-V401000390" u="1"/>
        <s v="EC-A030000190" u="1"/>
        <s v="EC-V510000030" u="1"/>
        <s v="OR-206045" u="1"/>
        <s v="EC-V508000010" u="1"/>
        <s v="IN-33" u="1"/>
        <s v="EC-E025000560" u="1"/>
        <s v="BCS-92244806" u="1"/>
        <s v="PTPLFUBOT-LIT" u="1"/>
        <s v="EC-17504656030" u="1"/>
        <s v="EC-A021000684" u="1"/>
        <s v="EC-SP40BPS" u="1"/>
        <s v="EC-P004002870" u="1"/>
        <s v="EC-70602037620" u="1"/>
        <s v="EC-569024" u="1"/>
        <s v="EC-A130001150" u="1"/>
        <s v="SU-20B-23401-J3" u="1"/>
        <s v="EC-A130000910" u="1"/>
        <s v="EC-C506000160" u="1"/>
        <s v="SU-277-50301-20" u="1"/>
        <s v="PTPLFUSCO-LIT" u="1"/>
        <s v="EC-43171730230" u="1"/>
        <s v="SANYO-0377" u="1"/>
        <s v="EC-C020000070" u="1"/>
        <s v="EC-C504000560" u="1"/>
        <s v="PTNUCOAGV-GLN" u="1"/>
        <s v="OT-99909-55133" u="1"/>
        <s v="EURO-17011" u="1"/>
        <s v="EC-AP004001950" u="1"/>
        <s v="EC-A130001750" u="1"/>
        <s v="EC-10091030830" u="1"/>
        <s v="EC-A0300001100" u="1"/>
        <s v="EC-36301100210" u="1"/>
        <s v="EC-90050000005" u="1"/>
        <s v="EC-4048451" u="1"/>
        <s v="SU-279-23511-17" u="1"/>
        <s v="EC-V652000030" u="1"/>
        <s v="PTACLUGUL-GAL" u="1"/>
        <s v="JF-02.070822" u="1"/>
        <s v="EC-17800159230" u="1"/>
        <s v="EC-36301900310" u="1"/>
        <s v="EC-V043000560" u="1"/>
        <s v="JF-02.070842" u="1"/>
        <s v="PTFUCOBFT-100CC" u="1"/>
        <s v="EC-10021338330" u="1"/>
        <s v="JA-002" u="1"/>
        <s v="JF-02.070862" u="1"/>
        <s v="EC-99944100475" u="1"/>
        <s v="EC-GP450INTL" u="1"/>
        <s v="EC-P004000700" u="1"/>
        <s v="PTFUCOBFT-500CC" u="1"/>
        <s v="PTFUCOPCHA-500G" u="1"/>
        <s v="EC-P005001140" u="1"/>
        <s v="EC-P004001340" u="1"/>
        <s v="EC-12300055630" u="1"/>
        <s v="IN-63" u="1"/>
        <s v="EC-A506000270" u="1"/>
        <s v="EC-P021045020" u="1"/>
        <s v="PTHECOGLF-GLN" u="1"/>
        <s v="EC-30002906210" u="1"/>
        <s v="SU-279-62414-08" u="1"/>
        <s v="EC-A020000080" u="1"/>
        <s v="EC-P021009461" u="1"/>
        <s v="EC-17504903920" u="1"/>
        <s v="IKRA-11020115" u="1"/>
        <s v="BR-CAT-71248" u="1"/>
        <s v="EURO-90004" u="1"/>
        <s v="EURO-40072" u="1"/>
        <s v="EC-61020643131" u="1"/>
        <s v="EURO-39110" u="1"/>
        <s v="EC-P004001940" u="1"/>
        <s v="EC-12438055430" u="1"/>
        <s v="EC-9311503010" u="1"/>
        <s v="SU-480-08010-01" u="1"/>
        <s v="EC-A011000860" u="1"/>
        <s v="PTNUCORFT-500CC" u="1"/>
        <s v="EC-35810001111" u="1"/>
        <s v="ROD-69002RS" u="1"/>
        <s v="SU-277-43801-01" u="1"/>
        <s v="EC-P004002680" u="1"/>
        <s v="EC-70616029260" u="1"/>
        <s v="EC-P050009310" u="1"/>
        <s v="EC-C501000070" u="1"/>
        <s v="EC-17500660730" u="1"/>
        <s v="EC-43301416430" u="1"/>
        <s v="EC-17500942231" u="1"/>
        <s v="EC-70602038720" u="1"/>
        <s v="SU-20B-32901-K1" u="1"/>
        <s v="SU-282-51260-11" u="1"/>
        <s v="EC-13211556230" u="1"/>
        <s v="EC-17720212220" u="1"/>
        <s v="EC-70602039720" u="1"/>
        <s v="EC-P021032670" u="1"/>
        <s v="BR-CAT-18551-00" u="1"/>
        <s v="EC-4557850" u="1"/>
        <s v="EURO-39024" u="1"/>
        <s v="EC-A162000180" u="1"/>
        <s v="EC-99909-207" u="1"/>
        <s v="EC-C504000770" u="1"/>
        <s v="PTNUFFSIL-500CC" u="1"/>
        <s v="SU-481-00001-08" u="1"/>
        <s v="BCS-38110873" u="1"/>
        <s v="EC-70604003770" u="1"/>
        <s v="SU-480-08010-09" u="1"/>
        <s v="SU-279-23512-17" u="1"/>
        <s v="EC-25000105610" u="1"/>
        <s v="EC-C630000150" u="1"/>
        <s v="EC-14551055932" u="1"/>
        <s v="EC-SRM-3605/ULA" u="1"/>
        <s v="SU-282-23311-H3" u="1"/>
        <s v="EC-43760532430" u="1"/>
        <s v="EC-43301060931" u="1"/>
        <s v="JF-02.081227" u="1"/>
        <s v="SU-268-23301-13" u="1"/>
        <s v="EC-V043000870" u="1"/>
        <s v="EURO-450" u="1"/>
        <s v="EC-V651000540" u="1"/>
        <s v="PTFUCOPLAC-LIT" u="1"/>
        <s v="EC-P021014440" u="1"/>
        <s v="EC-70616009A70" u="1"/>
        <s v="EC-38201612620" u="1"/>
        <s v="EC-12312032631" u="1"/>
        <s v="EC-P005001150" u="1"/>
        <s v="EC-A506000080" u="1"/>
        <s v="EC-C450000042" u="1"/>
        <s v="EC-P021028830" u="1"/>
        <s v="JF-02.081277" u="1"/>
        <s v="EC-10090519830" u="1"/>
        <s v="SU-266-31701-13" u="1"/>
        <s v="SU-277-36911-00" u="1"/>
        <s v="JF-02.051081" u="1"/>
        <s v="SU-277-15503-01" u="1"/>
        <s v="EC-12213700230" u="1"/>
        <s v="EURO-40710" u="1"/>
        <s v="EC-P003002190" u="1"/>
        <s v="EC-12436312710" u="1"/>
        <s v="EC-V105000031" u="1"/>
        <s v="EC-A011000770" u="1"/>
        <s v="EC-6450061" u="1"/>
        <s v="SU-277-36911-03" u="1"/>
        <s v="EC-P021015780" u="1"/>
        <s v="EC-DM-6110-13EUSTD" u="1"/>
        <s v="EC-SRM-4605/ULA" u="1"/>
        <s v="SH-813010" u="1"/>
        <s v="EC-90060500004" u="1"/>
        <s v="EC-91032" u="1"/>
        <s v="EC-A130000430" u="1"/>
        <s v="SU-268-33501-03" u="1"/>
        <s v="EC-10101160730" u="1"/>
        <s v="EC-91116" u="1"/>
        <s v="PTNUCOCIT-100CC" u="1"/>
        <s v="EURO-00011" u="1"/>
        <s v="EC-V299000410" u="1"/>
        <s v="EC-61091051830" u="1"/>
        <s v="CR-115" u="1"/>
        <s v="EC-A130001070" u="1"/>
        <s v="EC-4070981" u="1"/>
        <s v="EC-17720060934" u="1"/>
        <s v="SU-227-32650-H0" u="1"/>
        <s v="EC-99944200540" u="1"/>
        <s v="BR-CAT-12390" u="1"/>
        <s v="EC-12311212330" u="1"/>
        <s v="EC-43301403931" u="1"/>
        <s v="JF-02.045510" u="1"/>
        <s v="EC-V495001201" u="1"/>
        <s v="EC-P021012781" u="1"/>
        <s v="JF-02.045520" u="1"/>
        <s v="JF-02.045530" u="1"/>
        <s v="EC-A162000190" u="1"/>
        <s v="EC-C022000090" u="1"/>
        <s v="BCS-55243340" u="1"/>
        <s v="EC-A130001670" u="1"/>
        <s v="SU-279-35602-H1" u="1"/>
        <s v="SU-EH12-2DPR" u="1"/>
        <s v="EC-4525920" u="1"/>
        <s v="EC-70602004970" u="1"/>
        <s v="JF-027" u="1"/>
        <s v="EC-V652000050" u="1"/>
        <s v="JA-001" u="1"/>
        <s v="EC-12313719830" u="1"/>
        <s v="P-003" u="1"/>
        <s v="EC-V655000050" u="1"/>
        <s v="EC-13031039132" u="1"/>
        <s v="EC-91043" u="1"/>
        <s v="EURO-36055" u="1"/>
        <s v="EC-V651000450" u="1"/>
        <s v="G-0012" u="1"/>
        <s v="EC-V651000550" u="1"/>
        <s v="EC-70602009970" u="1"/>
        <s v="EC-A202000011" u="1"/>
        <s v="EC-10092139131" u="1"/>
        <s v="EC-P005001160" u="1"/>
        <s v="PTNUCOZIN-GLN" u="1"/>
        <s v="EC-A504000190" u="1"/>
        <s v="EC-P021028840" u="1"/>
        <s v="EC-P004001360" u="1"/>
        <s v="EC-61030056930" u="1"/>
        <s v="EC-9711141" u="1"/>
        <s v="EC-A509000190" u="1"/>
        <s v="EC-P021015190" u="1"/>
        <s v="EURO-36324" u="1"/>
        <s v="EC-P021015290" u="1"/>
        <s v="EC-C460000072" u="1"/>
        <s v="EC-E127000010" u="1"/>
        <s v="SU-277-36902-03" u="1"/>
        <s v="EC-P021045540" u="1"/>
        <s v="EC-17501830830" u="1"/>
        <s v="EC-35121452931" u="1"/>
        <s v="EC-V505000140" u="1"/>
        <s v="EC-21003604110" u="1"/>
        <s v="EC-91004" u="1"/>
        <s v="EC-4575700" u="1"/>
        <s v="EC-21560031" u="1"/>
        <s v="SU-276-99001-07" u="1"/>
        <s v="EC-91024" u="1"/>
        <s v="EURO-36049-1M" u="1"/>
        <s v="EC-91044" u="1"/>
        <s v="PTFICOAFX-LIT" u="1"/>
        <s v="EURO-00025" u="1"/>
        <s v="SU-281-51260-11" u="1"/>
        <s v="EC-P050009330" u="1"/>
        <s v="EC-C501000090" u="1"/>
        <s v="EC-90024204012" u="1"/>
        <s v="EC-C503000090" u="1"/>
        <s v="EC-V299000420" u="1"/>
        <s v="EC-A350000131" u="1"/>
        <s v="BCS-38213800" u="1"/>
        <s v="PTNUCOCBI-200G" u="1"/>
        <s v="EURO-40106" u="1"/>
        <s v="EC-A356000031" u="1"/>
        <s v="EC-P021012791" u="1"/>
        <s v="MOT-005" u="1"/>
        <s v="EC-99944900260" u="1"/>
        <s v="EC-470001490" u="1"/>
        <s v="EC-ETISHINXLTB" u="1"/>
        <s v="SU-282-35901-03" u="1"/>
        <s v="EC-C504000690" u="1"/>
        <s v="EC-V641000140" u="1"/>
        <s v="EC-99909-185" u="1"/>
        <s v="EC-A130001780" u="1"/>
        <s v="EURO-2000" u="1"/>
        <s v="EC-V150000030" u="1"/>
        <s v="EC-99909-229" u="1"/>
        <s v="EC-90029204018" u="1"/>
        <s v="EC-17809037930" u="1"/>
        <s v="EURO-330" u="1"/>
        <s v="EC-91015" u="1"/>
        <s v="EC-P021027910" u="1"/>
        <s v="SU-20B-31601-11" u="1"/>
        <s v="EC-P004000430" u="1"/>
        <s v="EC-V353000192" u="1"/>
        <s v="EC-91045" u="1"/>
        <s v="SU-227-62410-08" u="1"/>
        <s v="EC-V651000460" u="1"/>
        <s v="EURO-10070-2M" u="1"/>
        <s v="EC-12435521330" u="1"/>
        <s v="EC-91139" u="1"/>
        <s v="EC-13031303712" u="1"/>
        <s v="SU-065-50000-81" u="1"/>
        <s v="EC-P004000930" u="1"/>
        <s v="EC-P005001170" u="1"/>
        <s v="EC-CS-600-60LA" u="1"/>
        <s v="SU-20B-23501-07" u="1"/>
        <s v="EC-P021028850" u="1"/>
        <s v="EC-70602018220" u="1"/>
        <s v="SU-277-15001-23" u="1"/>
        <s v="EC-P021039241" u="1"/>
        <s v="EC-13001005960" u="1"/>
        <s v="EC-17810009061" u="1"/>
        <s v="EC-70604001A61" u="1"/>
        <s v="EURO-36272" u="1"/>
        <s v="JF-02.055541" u="1"/>
        <s v="JF-012" u="1"/>
        <s v="ARS-SE-45" u="1"/>
        <s v="EC-V508000050" u="1"/>
        <s v="EC-P021031560" u="1"/>
        <s v="EC-61031307132" u="1"/>
        <s v="SU-281-30101-N1" u="1"/>
        <s v="EC-17800143230" u="1"/>
        <s v="EC-A130000550" u="1"/>
        <s v="PTNUCOCAL-250CC" u="1"/>
        <s v="EC-43710019832" u="1"/>
        <s v="EC-10091016430" u="1"/>
        <s v="EC-CS-510-50LA" u="1"/>
        <s v="EC-V299000430" u="1"/>
        <s v="JF-02.043906" u="1"/>
        <s v="PTFUCORID-100CC" u="1"/>
        <s v="EC-99944200600" u="1"/>
        <s v="JACTO-559088" u="1"/>
        <s v="SU-277-23501-17" u="1"/>
        <s v="PTFUCORID-200CC" u="1"/>
        <s v="EC-569007" u="1"/>
        <s v="EC-12415846630" u="1"/>
        <s v="EC-35131122431" u="1"/>
        <s v="EC-A130001390" u="1"/>
        <s v="PTFUCORID-400CC" u="1"/>
        <s v="EC-99909-156" u="1"/>
        <s v="PTFUCORID-500CC" u="1"/>
        <s v="EC-MKT0900214" u="1"/>
        <s v="EC-99988801510" u="1"/>
        <s v="EC-V641000150" u="1"/>
        <s v="SU-056-51400-10" u="1"/>
        <s v="SANYO-0393" u="1"/>
        <s v="SU-279-33601-03" u="1"/>
        <s v="EC-P003000240" u="1"/>
        <s v="PTFUCOPLAC-250CC" u="1"/>
        <s v="BR-CAT-72493" u="1"/>
        <s v="EC-V652000170" u="1"/>
        <s v="EC-P021027920" u="1"/>
        <s v="EC-SHINDAIWA" u="1"/>
        <s v="EC-P004000440" u="1"/>
        <s v="CO-0010" u="1"/>
        <s v="EC-17500955931" u="1"/>
        <s v="EC-90025304014" u="1"/>
        <s v="EC-91077" u="1"/>
        <s v="EC-A101000000" u="1"/>
        <s v="PA-817201" u="1"/>
        <s v="EC-91097" u="1"/>
        <s v="EC-P003000840" u="1"/>
        <s v="EC-P005001080" u="1"/>
        <s v="EC-13101064931" u="1"/>
        <s v="EC-99944100483" u="1"/>
        <s v="EC-A101000300" u="1"/>
        <s v="EC-A101000400" u="1"/>
        <s v="SU-277-35201-13" u="1"/>
        <s v="OT-A90" u="1"/>
        <s v="EC-6450009" u="1"/>
        <s v="EC-10151142230" u="1"/>
        <s v="EURO-10473" u="1"/>
        <s v="EC-10001132431" u="1"/>
        <s v="EC-102922452" u="1"/>
        <s v="EC-13100546831" u="1"/>
        <s v="OT-0010" u="1"/>
        <s v="SH-20021-96601" u="1"/>
        <s v="EC-X640000150" u="1"/>
        <s v="EC-V000000130" u="1"/>
        <s v="EC-12312515030" u="1"/>
        <s v="EC-88521" u="1"/>
        <s v="PA-814716" u="1"/>
        <s v="EC-90080400608" u="1"/>
        <s v="EC-88551" u="1"/>
        <s v="EC-35701501110" u="1"/>
        <s v="SU-277-43501-13" u="1"/>
        <s v="EC-70602032010" u="1"/>
        <s v="EC-450093990" u="1"/>
        <s v="EC-12534408560" u="1"/>
        <s v="SU-277-37101-03" u="1"/>
        <s v="EC-P050009350" u="1"/>
        <s v="PA-817211" u="1"/>
        <s v="PTPLINANI-100CC" u="1"/>
        <s v="IKRA-71206200-CL" u="1"/>
        <s v="EC-V131000010" u="1"/>
        <s v="EC-12411305910" u="1"/>
        <s v="SU-277-23512-17" u="1"/>
        <s v="EC-10494022560" u="1"/>
        <s v="EC-P021027130" u="1"/>
        <s v="PTPLINANI-500CC" u="1"/>
        <s v="EC-10021330830" u="1"/>
        <s v="EC-12314016131" u="1"/>
        <s v="EC-90033040088" u="1"/>
        <s v="EC-61002522361" u="1"/>
        <s v="EC-C624000070" u="1"/>
        <s v="PTPLFULET-50CC" u="1"/>
        <s v="EC-V151000050" u="1"/>
        <s v="EC-V650000080" u="1"/>
        <s v="EC-P003000250" u="1"/>
        <s v="PTINORVRF-250CC" u="1"/>
        <s v="EC-90060300005" u="1"/>
        <s v="BCS-55248379" u="1"/>
        <s v="EC-V652000180" u="1"/>
        <s v="EURO-40869" u="1"/>
        <s v="EURO-99998" u="1"/>
        <s v="EC-70602052950" u="1"/>
        <s v="IB-011" u="1"/>
        <s v="PTFUCOBFT-250CC" u="1"/>
        <s v="EC-A101000010" u="1"/>
        <s v="JF-274" u="1"/>
        <s v="SH-CAB.- BUJIA" u="1"/>
        <s v="EC-P005001090" u="1"/>
        <s v="EC-12310105960" u="1"/>
        <s v="EURO-40271" u="1"/>
        <s v="EC-A101000210" u="1"/>
        <s v="EC-14551042231" u="1"/>
        <s v="EC-6450060" u="1"/>
        <s v="EC-17721511120" u="1"/>
        <s v="SU-060-03003-41" u="1"/>
        <s v="SO-23.00.713" u="1"/>
        <s v="F-013" u="1"/>
        <s v="EC-P021038921" u="1"/>
        <s v="IKRA-11020151" u="1"/>
        <s v="EC-V000000040" u="1"/>
        <s v="EC-17851505060" u="1"/>
        <s v="EC-70604047001" u="1"/>
        <s v="SU-268-33401-03" u="1"/>
        <s v="IKRA-11020079" u="1"/>
        <s v="EC-P004001890" u="1"/>
        <s v="EURO-00010" u="1"/>
        <s v="EC-13211544330" u="1"/>
        <s v="EC-43706333231" u="1"/>
        <s v="EC-P021041831" u="1"/>
        <s v="EC-V224000031" u="1"/>
        <s v="SU-277-35602-H1" u="1"/>
        <s v="EC-V103001200" u="1"/>
        <s v="EC-SRM-4300F" u="1"/>
        <s v="EC-V104001200" u="1"/>
        <s v="PTNUCOSVR-KIL" u="1"/>
        <s v="SU-277-23513-17" u="1"/>
        <s v="EC-P021027040" u="1"/>
        <s v="COR-002" u="1"/>
        <s v="EURO-40706" u="1"/>
        <s v="SU-237-14201-03" u="1"/>
        <s v="EC-A226001410" u="1"/>
        <s v="EC-37030106211" u="1"/>
        <s v="EC-V104001500" u="1"/>
        <s v="EC-P021012810" u="1"/>
        <s v="EC-V138000020" u="1"/>
        <s v="PTNUFFSIL-250CC" u="1"/>
        <s v="OT-701" u="1"/>
        <s v="EURO-39054" u="1"/>
        <s v="EC-36301400310" u="1"/>
        <s v="SU-226-62411-08" u="1"/>
        <s v="EC-V652000090" u="1"/>
        <s v="JF-125" u="1"/>
        <s v="EC-9242426000" u="1"/>
        <s v="EC-V652000190" u="1"/>
        <s v="EC-43331232630" u="1"/>
        <s v="ASAB-TREE" u="1"/>
        <s v="EC-72LPX60CQ" u="1"/>
        <s v="EC-SRM-270/ULA" u="1"/>
        <s v="EC-12533708260" u="1"/>
        <s v="EC-90005300400" u="1"/>
        <s v="EC-P021043800" u="1"/>
        <s v="EC-16202132431" u="1"/>
        <s v="EC-70602035911" u="1"/>
        <s v="EC-10001142230" u="1"/>
        <s v="OR-65789" u="1"/>
        <s v="ARS-LPB-30L" u="1"/>
        <s v="EC-P004000660" u="1"/>
        <s v="EC-10001143230" u="1"/>
        <s v="PTNUCOTHI-500G" u="1"/>
        <s v="EC-V651000590" u="1"/>
        <s v="EC-V651000690" u="1"/>
        <s v="SU-20B-45003-11" u="1"/>
        <s v="EURO-39071" u="1"/>
        <s v="EC-V265000200" u="1"/>
        <s v="JF-039" u="1"/>
        <s v="EC-88421" u="1"/>
        <s v="EC-A101000520" u="1"/>
        <s v="EC-P021030550" u="1"/>
        <s v="EURO-36048-1M" u="1"/>
        <s v="PTNUCOKPL-500CC" u="1"/>
        <s v="EC-12211200230" u="1"/>
        <s v="EURO-00024" u="1"/>
        <s v="IKRA-11020089" u="1"/>
        <s v="EC-P021000803" u="1"/>
        <s v="EC-V475004810" u="1"/>
        <s v="EC-13031013410" u="1"/>
        <s v="EC-V505000080" u="1"/>
        <s v="EC-A230000000" u="1"/>
        <s v="EC-V508000080" u="1"/>
        <s v="EC-38501412620" u="1"/>
        <s v="EURO-36237" u="1"/>
        <s v="PTFUCOFEG-100CC" u="1"/>
        <s v="EC-EB500/EC1" u="1"/>
        <s v="EC-A235000300" u="1"/>
        <s v="EC-V103001010" u="1"/>
        <s v="PTFUCOFEG-500CC" u="1"/>
        <s v="EURO-37171" u="1"/>
        <s v="EURO-10069" u="1"/>
        <s v="EURO-90065" u="1"/>
        <s v="ASAB-5HEADS-30" u="1"/>
        <s v="PTNUCOCIT-250CC" u="1"/>
        <s v="EURO-36251-1M" u="1"/>
        <s v="EC-V103001210" u="1"/>
        <s v="EC-17800147530" u="1"/>
        <s v="ARS-180ZR-3.0-5" u="1"/>
        <s v="EC-A226001220" u="1"/>
        <s v="EC-A130000980" u="1"/>
        <s v="EC-10091019730" u="1"/>
        <s v="EC-P021012620" u="1"/>
        <s v="EC-17722135631" u="1"/>
        <s v="SU-237-14202-03" u="1"/>
        <s v="EC-99909-159" u="1"/>
        <s v="EURO-39068" u="1"/>
        <s v="EC-V104001610" u="1"/>
        <s v="EC-P021012920" u="1"/>
        <s v="JF-05.001544" u="1"/>
        <s v="EC-P021002983" u="1"/>
        <s v="SU-227-33701-03" u="1"/>
        <s v="EC-89541039131" u="1"/>
        <s v="EC-X605000100" u="1"/>
        <s v="EURO-10086" u="1"/>
        <s v="EC-43021330833" u="1"/>
        <s v="SU-001-04083-50" u="1"/>
        <s v="EURO-41019" u="1"/>
        <s v="ARS-180ZR-1" u="1"/>
        <s v="PTINCOKAR-300CC" u="1"/>
        <s v="P-009" u="1"/>
        <s v="EC-P003000570" u="1"/>
        <s v="EC-90024205057" u="1"/>
        <s v="SU-227-62414-08" u="1"/>
        <s v="EC-21BPX78X" u="1"/>
        <s v="PTNUFFRFT-500G" u="1"/>
        <s v="EC-682100" u="1"/>
        <s v="JF-010" u="1"/>
        <s v="SU-044-02500-70" u="1"/>
        <s v="EC-A101000330" u="1"/>
        <s v="EC-P021030360" u="1"/>
        <s v="SU-279-23301-13" u="1"/>
        <s v="EC-70102102910" u="1"/>
        <s v="EC-400851010" u="1"/>
        <s v="SU-279-31601-11" u="1"/>
        <s v="EC-12312512330" u="1"/>
        <s v="PTACCOYOG-100CC" u="1"/>
        <s v="EC-A100000730" u="1"/>
        <s v="PTACCOYOG-200CC" u="1"/>
        <s v="EC-C460000011" u="1"/>
        <s v="EC-17504646430" u="1"/>
        <s v="EC-10101147530" u="1"/>
        <s v="SU-227-43501-13" u="1"/>
        <s v="EC-61022222360" u="1"/>
        <s v="EURO-CODO50" u="1"/>
        <s v="EC-SP53BPE" u="1"/>
        <s v="IN-34" u="1"/>
        <s v="BR-CAT-77022-00" u="1"/>
        <s v="EC-10001139731" u="1"/>
        <s v="EURO-40305" u="1"/>
        <s v="SU-021-70600-70" u="1"/>
        <s v="SU-044-03001-60" u="1"/>
        <s v="EC-A241000030" u="1"/>
        <s v="EC-43301060830" u="1"/>
        <s v="EC-17807819830" u="1"/>
        <s v="EC-V103001020" u="1"/>
        <s v="JF-024" u="1"/>
        <s v="EC-61031507130" u="1"/>
        <s v="EC-V13800020" u="1"/>
        <s v="EC-99944100474" u="1"/>
        <s v="PA-817199" u="1"/>
        <s v="EURO-36251-2M" u="1"/>
        <s v="EC-A232000710" u="1"/>
        <s v="EC-13211555930" u="1"/>
        <s v="EC-12411346630" u="1"/>
        <s v="IKRA-11021614" u="1"/>
        <s v="SU-277-23401-J3" u="1"/>
        <s v="EC-A232001250" u="1"/>
        <s v="EC-V104001620" u="1"/>
        <s v="EC-17720042033" u="1"/>
        <s v="EC-37031606210" u="1"/>
        <s v="EC-PAS-266LA" u="1"/>
        <s v="EC-70101406510" u="1"/>
        <s v="EC-70602050000" u="1"/>
        <s v="EC-43301230830" u="1"/>
        <s v="EURO-90002" u="1"/>
        <s v="EURO-40070" u="1"/>
        <s v="EC-P021027760" u="1"/>
        <s v="EC-X602000210" u="1"/>
        <s v="SU-X641360010" u="1"/>
        <s v="SU-281-34201-J1" u="1"/>
        <s v="EURO-36537" u="1"/>
        <s v="EURO-36099" u="1"/>
        <s v="EC-V252000200" u="1"/>
        <s v="EC-X114000000" u="1"/>
        <s v="EC-61043450031" u="1"/>
        <s v="EC-90016205057" u="1"/>
        <s v="EC-43700037530" u="1"/>
        <s v="SU-227-62415-08" u="1"/>
        <s v="JF-038" u="1"/>
        <s v="PR-002" u="1"/>
        <s v="EURO-10747-A" u="1"/>
        <s v="SU-043-04300-15" u="1"/>
        <s v="BCS-92380177" u="1"/>
        <s v="EC-P004000880" u="1"/>
        <s v="SU-277-45004-K1" u="1"/>
        <s v="SU-044-03500-91" u="1"/>
        <s v="EC-A393000050" u="1"/>
        <s v="EC-10001146430" u="1"/>
        <s v="EC-13120519832" u="1"/>
        <s v="EC-17531320430" u="1"/>
        <s v="SU-227-43302-20" u="1"/>
        <s v="EC-10001130831" u="1"/>
        <s v="IKRA-11020081" u="1"/>
        <s v="IN-64" u="1"/>
        <s v="EC-P021030570" u="1"/>
        <s v="EC-43301402830" u="1"/>
        <s v="OR-238337" u="1"/>
        <s v="EC-A200000771" u="1"/>
        <s v="EC-10151144630" u="1"/>
        <s v="EC-90080406001" u="1"/>
        <s v="SU-20B-42701-23" u="1"/>
        <s v="EC-4562530" u="1"/>
        <s v="BORALSAN-1120" u="1"/>
        <s v="SU-480-05010-43" u="1"/>
        <s v="BR-CAT-12273" u="1"/>
        <s v="SU-20B-36501-03" u="1"/>
        <s v="BR-CAT-70738" u="1"/>
        <s v="EC-A226000300" u="1"/>
        <s v="EC-A225000400" u="1"/>
        <s v="EURO-40067" u="1"/>
        <s v="EC-P050009190" u="1"/>
        <s v="PTPLINSMT-100CC" u="1"/>
        <s v="SU-20B-1600-03" u="1"/>
        <s v="OT-113" u="1"/>
        <s v="EC-P050009290" u="1"/>
        <s v="EC-A235000220" u="1"/>
        <s v="EC-17801022560" u="1"/>
        <s v="EC-22090106211" u="1"/>
        <s v="EC-A226000600" u="1"/>
        <s v="EC-12311347530" u="1"/>
        <s v="EC-V103001030" u="1"/>
        <s v="EC-43331060930" u="1"/>
        <s v="EURO-36251-3M" u="1"/>
        <s v="PTPLINSMT-500CC" u="1"/>
        <s v="OT-00404" u="1"/>
        <s v="PUBLI-002" u="1"/>
        <s v="PTFUCORID-250CC" u="1"/>
        <s v="EC-A232000820" u="1"/>
        <s v="EC-P021007071" u="1"/>
        <s v="EC-V104001330" u="1"/>
        <s v="EC-V495001171" u="1"/>
        <s v="EURO-40868" u="1"/>
        <s v="#N/A" u="1"/>
        <s v="OT-1131" u="1"/>
        <s v="JF-086" u="1"/>
        <s v="BR-CAT-SC2170" u="1"/>
        <s v="EC-P003000090" u="1"/>
        <s v="EC-X602000020" u="1"/>
        <s v="EURO-40270" u="1"/>
        <s v="PTNUCOINI-500G" u="1"/>
        <s v="EC-P021027770" u="1"/>
        <s v="PTINCOKAR-120CC" u="1"/>
        <s v="EC-X602000220" u="1"/>
        <s v="EC-10020455430" u="1"/>
        <s v="EC-90081200626" u="1"/>
        <s v="EC-4573060" u="1"/>
        <s v="EC-13000039131" u="1"/>
        <s v="EC-4575060" u="1"/>
        <s v="EURO-001" u="1"/>
        <s v="SU-X85-10614-91" u="1"/>
        <s v="SU-044-00600-20" u="1"/>
        <s v="SU-044-00800-10" u="1"/>
        <s v="EC-12311824430" u="1"/>
        <s v="EC-A101000150" u="1"/>
        <s v="EC-P005000790" u="1"/>
        <s v="EC-A202000081" u="1"/>
        <s v="EC-P004000890" u="1"/>
        <s v="EC-A101000250" u="1"/>
        <s v="EC-A392000060" u="1"/>
        <s v="EC-V265000230" u="1"/>
        <s v="EC-A101000350" u="1"/>
        <s v="EC-14561062630" u="1"/>
        <s v="EC-82002" u="1"/>
        <s v="EC-17801205960" u="1"/>
        <s v="EC-A101000550" u="1"/>
        <s v="EC-10151442230" u="1"/>
        <s v="EC-82082" u="1"/>
        <s v="EC-V475004640" u="1"/>
        <s v="EC-V103000000" u="1"/>
        <s v="BCS-58056190" u="1"/>
        <s v="IN-380" u="1"/>
        <s v="JF-253046" u="1"/>
        <s v="EC-70602008A43" u="1"/>
        <s v="SANYO-3961" u="1"/>
        <s v="EC-A226000310" u="1"/>
        <s v="EC-P021011610" u="1"/>
        <s v="EURO-36305" u="1"/>
        <s v="EC-61032027430" u="1"/>
        <s v="EC-A238000030" u="1"/>
        <s v="EC-V103000600" u="1"/>
        <s v="PTHECOKEM-5GLN" u="1"/>
        <s v="EC-C300000001" u="1"/>
        <s v="EC-V103001040" u="1"/>
        <s v="EC-V299000390" u="1"/>
        <s v="PA-817214" u="1"/>
        <s v="EURO-39053" u="1"/>
        <s v="EC-12313704260" u="1"/>
        <s v="EC-569002" u="1"/>
        <s v="EC-P021042400" u="1"/>
        <s v="EC-A226001250" u="1"/>
        <s v="MP-7881" u="1"/>
        <s v="PTPLINANI-250CC" u="1"/>
        <s v="SU-277-23403-J3" u="1"/>
        <s v="EC-82003" u="1"/>
        <s v="EC-P022007081" u="1"/>
        <s v="PTPLFUBOT-50CC" u="1"/>
        <s v="PA-818354" u="1"/>
        <s v="PTPLINKSHI-150G" u="1"/>
        <s v="EC-V136000060" u="1"/>
        <s v="EURO-41098" u="1"/>
        <s v="EC-99988802000" u="1"/>
        <s v="EC-09510" u="1"/>
        <s v="EC-09530" u="1"/>
        <s v="EC-A350001030" u="1"/>
        <s v="SH-9214D-24" u="1"/>
        <s v="PTPLINSKE-LIT" u="1"/>
        <s v="EC-X602000230" u="1"/>
        <s v="SU-226-50711-50" u="1"/>
        <s v="PTPLFUSCO-50CC" u="1"/>
        <s v="EC-90023805018" u="1"/>
        <s v="PTFUCOSTY-100G" u="1"/>
        <s v="EC-24D8TW3884" u="1"/>
        <s v="ASAB-1HEADSW-2" u="1"/>
        <s v="EC-13051039932" u="1"/>
        <s v="EC-43021531731" u="1"/>
        <s v="EURO-00023" u="1"/>
        <s v="SU-227-42201-01" u="1"/>
        <s v="FUM-010" u="1"/>
        <s v="EC-A101000160" u="1"/>
        <s v="PTFUCOSTY-500G" u="1"/>
        <s v="FERRR-6010277" u="1"/>
        <s v="PTNUCOIMP-LIT" u="1"/>
        <s v="EC-V265000240" u="1"/>
        <s v="EC-A101000360" u="1"/>
        <s v="EC-P021039000" u="1"/>
        <s v="IN-045" u="1"/>
        <s v="EC-70602017920" u="1"/>
        <s v="PTPLFULET-100CC" u="1"/>
        <s v="SU-227-42201-03" u="1"/>
        <s v="EC-A101000560" u="1"/>
        <s v="EURO-36236" u="1"/>
        <s v="3982-000-1640" u="1"/>
        <s v="BORALSAN-1140" u="1"/>
        <s v="PTNUCOCRE-KIL" u="1"/>
        <s v="PTPLFULET-500CC" u="1"/>
        <s v="EC-A100000960" u="1"/>
        <s v="EC-C460000241" u="1"/>
        <s v="IKRA-11020118" u="1"/>
        <s v="EC-ETISHINXLTA" u="1"/>
        <s v="BCS-58056191" u="1"/>
        <s v="BCS-58048009" u="1"/>
        <s v="EC-BP35INTL" u="1"/>
        <s v="EC-A320000251" u="1"/>
        <s v="EC-35701001110" u="1"/>
        <s v="EC-43721031730" u="1"/>
        <s v="EC-A226000020" u="1"/>
        <s v="PTACCOABM-100CC" u="1"/>
        <s v="EC-61028222360" u="1"/>
        <s v="EURO-36319" u="1"/>
        <s v="EC-P021009950" u="1"/>
        <s v="EC-V100000410" u="1"/>
        <s v="EC-V104000210" u="1"/>
        <s v="PTNUCOOPW-500CC" u="1"/>
        <s v="EC-35131128330" u="1"/>
        <s v="EC-90051600005" u="1"/>
        <s v="EURO-1022-45" u="1"/>
        <s v="SU-282-99001-17" u="1"/>
        <s v="PTNUAGABC-LIT" u="1"/>
        <s v="EC-P021005911" u="1"/>
        <s v="EC-A226000520" u="1"/>
        <s v="EC-3002433" u="1"/>
        <s v="EC-17500539133" u="1"/>
        <s v="EC-17722005730" u="1"/>
        <s v="EC-A226000620" u="1"/>
        <s v="PTNUCORFT-GLN" u="1"/>
        <s v="BCS-TCLY40B0" u="1"/>
        <s v="EURO-40121" u="1"/>
        <s v="EC-10020442230" u="1"/>
        <s v="EC-C302000011" u="1"/>
        <s v="SU-277-62302-50" u="1"/>
        <s v="SU-20B-20901-21" u="1"/>
        <s v="EC-569022" u="1"/>
        <s v="EC-V104000910" u="1"/>
        <s v="SU-227-33601-03" u="1"/>
        <s v="EURO-1022AX" u="1"/>
        <s v="IKRA-78001060-EC" u="1"/>
        <s v="EC-A226001260" u="1"/>
        <s v="EC-A232000840" u="1"/>
        <s v="EC-P021027090" u="1"/>
        <s v="SU-277-23404-J3" u="1"/>
        <s v="EC-P021012660" u="1"/>
        <s v="EC-13001606211" u="1"/>
        <s v="EC-17722811120" u="1"/>
        <s v="EC-A232000940" u="1"/>
        <s v="EC-12411505530" u="1"/>
        <s v="EURO-41018" u="1"/>
        <s v="EC-P021002612" u="1"/>
        <s v="EC-70602042040" u="1"/>
        <s v="PTNUCOFER-500CC" u="1"/>
      </sharedItems>
    </cacheField>
    <cacheField name="CODIGO_GENERICO" numFmtId="0" sqlType="12">
      <sharedItems containsBlank="1" count="3">
        <m u="1"/>
        <s v="#N/A" u="1"/>
        <s v="0" u="1"/>
      </sharedItems>
    </cacheField>
    <cacheField name="FECHA" numFmtId="0" sqlType="9">
      <sharedItems containsSemiMixedTypes="0" containsNonDate="0" containsDate="1" containsString="0" minDate="1905-01-01T00:00:00" maxDate="1905-01-01T00:00:00"/>
      <fieldGroup par="15" base="7">
        <rangePr groupBy="days" startDate="1905-01-01T00:00:00" endDate="1905-01-01T00:00:00"/>
        <groupItems count="368">
          <s v="&lt;01/01/1905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1/01/1905"/>
        </groupItems>
      </fieldGroup>
    </cacheField>
    <cacheField name="BUFFER" numFmtId="0" sqlType="3">
      <sharedItems containsSemiMixedTypes="0" containsString="0"/>
    </cacheField>
    <cacheField name="ZONA_AMARILLA" numFmtId="0" sqlType="3">
      <sharedItems containsSemiMixedTypes="0" containsString="0"/>
    </cacheField>
    <cacheField name="ZONA_ROJA" numFmtId="0" sqlType="3">
      <sharedItems containsSemiMixedTypes="0" containsString="0"/>
    </cacheField>
    <cacheField name="INVENTARIO_FISICO" numFmtId="0" sqlType="3">
      <sharedItems containsSemiMixedTypes="0" containsString="0"/>
    </cacheField>
    <cacheField name="INVENTARIO_PROYECTADO" numFmtId="0" sqlType="3">
      <sharedItems containsSemiMixedTypes="0" containsString="0"/>
    </cacheField>
    <cacheField name="CAUSA" numFmtId="0" sqlType="12">
      <sharedItems count="1">
        <s v="" u="1"/>
      </sharedItems>
    </cacheField>
    <cacheField name="Meses" numFmtId="0" databaseField="0">
      <fieldGroup base="7">
        <rangePr groupBy="months" startDate="1905-01-01T00:00:00" endDate="1905-01-01T00:00:00"/>
        <groupItems count="14">
          <s v="&lt;01/01/190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1/01/1905"/>
        </groupItems>
      </fieldGroup>
    </cacheField>
    <cacheField name="Años" numFmtId="0" databaseField="0">
      <fieldGroup base="7">
        <rangePr groupBy="years" startDate="1905-01-01T00:00:00" endDate="1905-01-01T00:00:00"/>
        <groupItems count="3">
          <s v="&lt;01/01/1905"/>
          <s v="1905"/>
          <s v="&gt;01/01/190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BUFFER" refreshedDate="42826.870198842589" createdVersion="3" refreshedVersion="5" minRefreshableVersion="3" recordCount="59">
  <cacheSource type="worksheet">
    <worksheetSource name="Tabla_Buffers_Historicos"/>
  </cacheSource>
  <cacheFields count="13">
    <cacheField name="Bodega" numFmtId="0">
      <sharedItems containsBlank="1" count="5">
        <s v="Bodega Central Agrota"/>
        <s v="BP-MATRIZ" u="1"/>
        <m u="1"/>
        <s v="BDG. DE PRODUCTO TERMI PLANTA" u="1"/>
        <s v="Bodega ECU" u="1"/>
      </sharedItems>
    </cacheField>
    <cacheField name="Codigo" numFmtId="0">
      <sharedItems containsBlank="1" count="7780">
        <s v="10000000972"/>
        <m u="1"/>
        <s v="H710C858" u="1"/>
        <s v="H710G000" u="1"/>
        <s v="01.018.0016" u="1"/>
        <s v="03.013.0036" u="1"/>
        <s v="06.166.0003" u="1"/>
        <s v="SH-20018-31260" u="1"/>
        <s v="EC-12312338330" u="1"/>
        <s v="H710C868" u="1"/>
        <s v="H710C878" u="1"/>
        <s v="01.018.0017" u="1"/>
        <s v="03.013.0037" u="1"/>
        <s v="06.166.0004" u="1"/>
        <s v="H710C888" u="1"/>
        <s v="H710C898" u="1"/>
        <s v="T614A100" u="1"/>
        <s v="01.018.0018" u="1"/>
        <s v="03.013.0038" u="1"/>
        <s v="06.166.0005" u="1"/>
        <s v="01.018.0019" u="1"/>
        <s v="03.013.0039" u="1"/>
        <s v="06.166.0006" u="1"/>
        <s v="SH-22035-13140" u="1"/>
        <s v="SH-22104-75420" u="1"/>
        <s v="SH-20000-81340" u="1"/>
        <s v="06.072.0040" u="1"/>
        <s v="06.166.0007" u="1"/>
        <s v="06.072.0041" u="1"/>
        <s v="06.166.0008" u="1"/>
        <s v="SH-62035-83111" u="1"/>
        <s v="ZM-064" u="1"/>
        <s v="H710C601" u="1"/>
        <s v="SH-68501-81010" u="1"/>
        <s v="CR-0100" u="1"/>
        <s v="06.072.0042" u="1"/>
        <s v="06.166.0009" u="1"/>
        <s v="SH-20016-81180" u="1"/>
        <s v="H710C611" u="1"/>
        <s v="H710C621" u="1"/>
        <s v="06.072.0043" u="1"/>
        <s v="H710C631" u="1"/>
        <s v="H710C1082" u="1"/>
        <s v="H316A000" u="1"/>
        <s v="H710C641" u="1"/>
        <s v="H710C1182" u="1"/>
        <s v="EC-13192055430" u="1"/>
        <s v="H336A000" u="1"/>
        <s v="H710C651" u="1"/>
        <s v="H710C1282" u="1"/>
        <s v="H710C661" u="1"/>
        <s v="06.042.0090" u="1"/>
        <s v="EC-V265000250" u="1"/>
        <s v="01.024.0050" u="1"/>
        <s v="01.028.0030" u="1"/>
        <s v="03.023.0050" u="1"/>
        <s v="H710C1382" u="1"/>
        <s v="H710C671" u="1"/>
        <s v="EC-A101000370" u="1"/>
        <s v="H710C705" u="1"/>
        <s v="H710C1482" u="1"/>
        <s v="H710C681" u="1"/>
        <s v="T615A100" u="1"/>
        <s v="06.042.0091" u="1"/>
        <s v="01.024.0051" u="1"/>
        <s v="01.028.0031" u="1"/>
        <s v="03.023.0051" u="1"/>
        <s v="H710C715" u="1"/>
        <s v="H710C1582" u="1"/>
        <s v="EC-SP30BPE" u="1"/>
        <s v="02.001.0021" u="1"/>
        <s v="06.003.0001" u="1"/>
        <s v="H710C691" u="1"/>
        <s v="H710C725" u="1"/>
        <s v="H710C1682" u="1"/>
        <s v="06.042.0092" u="1"/>
        <s v="01.024.0052" u="1"/>
        <s v="01.028.0032" u="1"/>
        <s v="03.023.0052" u="1"/>
        <s v="SH-99909-229" u="1"/>
        <s v="H710C735" u="1"/>
        <s v="H710C1782" u="1"/>
        <s v="06.003.0002" u="1"/>
        <s v="JF-285" u="1"/>
        <s v="H710C745" u="1"/>
        <s v="H710C1882" u="1"/>
        <s v="06.042.0093" u="1"/>
        <s v="EC-A100000670" u="1"/>
        <s v="H710C2025" u="1"/>
        <s v="01.024.0053" u="1"/>
        <s v="03.023.0053" u="1"/>
        <s v="H710C755" u="1"/>
        <s v="H710C1982" u="1"/>
        <s v="04.004.0003" u="1"/>
        <s v="06.003.0003" u="1"/>
        <s v="H710C2125" u="1"/>
        <s v="H710C765" u="1"/>
        <s v="CR-024" u="1"/>
        <s v="06.042.0094" u="1"/>
        <s v="01.024.0054" u="1"/>
        <s v="03.023.0054" u="1"/>
        <s v="H710C775" u="1"/>
        <s v="04.004.0004" u="1"/>
        <s v="06.003.0004" u="1"/>
        <s v="H710C809" u="1"/>
        <s v="H710C785" u="1"/>
        <s v="H710C819" u="1"/>
        <s v="06.042.0095" u="1"/>
        <s v="01.024.0055" u="1"/>
        <s v="03.023.0055" u="1"/>
        <s v="H710C795" u="1"/>
        <s v="06.003.0005" u="1"/>
        <s v="06.094.0100" u="1"/>
        <s v="H710C829" u="1"/>
        <s v="EC-13191043130" u="1"/>
        <s v="H710C839" u="1"/>
        <s v="06.042.0096" u="1"/>
        <s v="01.024.0056" u="1"/>
        <s v="03.023.0056" u="1"/>
        <s v="06.094.0101" u="1"/>
        <s v="EC-13040652131" u="1"/>
        <s v="H710C849" u="1"/>
        <s v="JF-022" u="1"/>
        <s v="EC-400442310" u="1"/>
        <s v="EC-17722138330" u="1"/>
        <s v="H710C859" u="1"/>
        <s v="06.042.0097" u="1"/>
        <s v="01.024.0057" u="1"/>
        <s v="03.023.0057" u="1"/>
        <s v="02.001.0027" u="1"/>
        <s v="06.094.0102" u="1"/>
        <s v="H710C869" u="1"/>
        <s v="H710C879" u="1"/>
        <s v="06.042.0098" u="1"/>
        <s v="03.023.0058" u="1"/>
        <s v="02.001.0028" u="1"/>
        <s v="06.094.0103" u="1"/>
        <s v="SH-62035-75120" u="1"/>
        <s v="H710C889" u="1"/>
        <s v="10.008.0001" u="1"/>
        <s v="H710C899" u="1"/>
        <s v="T616A100" u="1"/>
        <s v="06.042.0099" u="1"/>
        <s v="01.024.0059" u="1"/>
        <s v="03.023.0059" u="1"/>
        <s v="10000000980" u="1"/>
        <s v="02.001.0029" u="1"/>
        <s v="06.094.0104" u="1"/>
        <s v="06.103.0001" u="1"/>
        <s v="10.008.0002" u="1"/>
        <s v="06.080.0070" u="1"/>
        <s v="SH-62022-15100" u="1"/>
        <s v="06.094.0105" u="1"/>
        <s v="06.103.0002" u="1"/>
        <s v="SH-22169-72220" u="1"/>
        <s v="10.008.0003" u="1"/>
        <s v="06.080.0071" u="1"/>
        <s v="06.088.0031" u="1"/>
        <s v="06.094.0106" u="1"/>
        <s v="06.103.0003" u="1"/>
        <s v="SH-70210-41110" u="1"/>
        <s v="EC-CS 1201-90EU" u="1"/>
        <s v="06.080.0072" u="1"/>
        <s v="06.088.0032" u="1"/>
        <s v="06.094.0107" u="1"/>
        <s v="10.008.0005" u="1"/>
        <s v="H710C602" u="1"/>
        <s v="06.094.0108" u="1"/>
        <s v="06.103.0005" u="1"/>
        <s v="H224A000" u="1"/>
        <s v="H710C612" u="1"/>
        <s v="10.008.0006" u="1"/>
        <s v="H710C622" u="1"/>
        <s v="06.094.0109" u="1"/>
        <s v="06.103.0006" u="1"/>
        <s v="H710C632" u="1"/>
        <s v="H710C1092" u="1"/>
        <s v="10.008.0007" u="1"/>
        <s v="H710C642" u="1"/>
        <s v="01.018.0150" u="1"/>
        <s v="H710C1192" u="1"/>
        <s v="06.103.0007" u="1"/>
        <s v="H710C652" u="1"/>
        <s v="EC-10092138330" u="1"/>
        <s v="H710C1292" u="1"/>
        <s v="10.008.0008" u="1"/>
        <s v="H710C662" u="1"/>
        <s v="01.018.0151" u="1"/>
        <s v="H710C1392" u="1"/>
        <s v="06.017.0001" u="1"/>
        <s v="H710C672" u="1"/>
        <s v="H710C706" u="1"/>
        <s v="H710C1492" u="1"/>
        <s v="10.008.0009" u="1"/>
        <s v="H710C682" u="1"/>
        <s v="01.018.0152" u="1"/>
        <s v="H710C716" u="1"/>
        <s v="H710C1592" u="1"/>
        <s v="06.017.0002" u="1"/>
        <s v="H710C692" u="1"/>
        <s v="H710C726" u="1"/>
        <s v="H710C1692" u="1"/>
        <s v="01.018.0153" u="1"/>
        <s v="06.088.0038" u="1"/>
        <s v="H710C736" u="1"/>
        <s v="H710C1792" u="1"/>
        <s v="06.017.0003" u="1"/>
        <s v="H710C746" u="1"/>
        <s v="H710C1892" u="1"/>
        <s v="CR-038" u="1"/>
        <s v="H710C2035" u="1"/>
        <s v="01.018.0154" u="1"/>
        <s v="H710C756" u="1"/>
        <s v="H710C1992" u="1"/>
        <s v="H710C766" u="1"/>
        <s v="01.018.0155" u="1"/>
        <s v="H710C776" u="1"/>
        <s v="H710C786" u="1"/>
        <s v="01.018.0156" u="1"/>
        <s v="H710C796" u="1"/>
        <s v="T620A000" u="1"/>
        <s v="PRO-001" u="1"/>
        <s v="06.115.0010" u="1"/>
        <s v="EC-CS600" u="1"/>
        <s v="06.115.0011" u="1"/>
        <s v="06.117.0001" u="1"/>
        <s v="EC-CS600       " u="1"/>
        <s v="06.115.0012" u="1"/>
        <s v="06.117.0002" u="1"/>
        <s v="06.094.0071" u="1"/>
        <s v="06.115.0013" u="1"/>
        <s v="06.117.0003" u="1"/>
        <s v="SH-20020-75180" u="1"/>
        <s v="SH-67000-81010" u="1"/>
        <s v="SH-20016-42002" u="1"/>
        <s v="06.094.0072" u="1"/>
        <s v="06.115.0014" u="1"/>
        <s v="06.117.0004" u="1"/>
        <s v="SH-20140-75100" u="1"/>
        <s v="45ST3018" u="1"/>
        <s v="SH-20021-81171" u="1"/>
        <s v="06.115.0015" u="1"/>
        <s v="EC-43721015130" u="1"/>
        <s v="H710C603" u="1"/>
        <s v="06.094.0074" u="1"/>
        <s v="06.115.0016" u="1"/>
        <s v="H226A000" u="1"/>
        <s v="H710C613" u="1"/>
        <s v="SH-99909-156" u="1"/>
        <s v="H710C623" u="1"/>
        <s v="06.094.0075" u="1"/>
        <s v="SH-22169-54630" u="1"/>
        <s v="06.027.0020" u="1"/>
        <s v="06.029.0010" u="1"/>
        <s v="01.003.0010" u="1"/>
        <s v="05.001.0010" u="1"/>
        <s v="H710C633" u="1"/>
        <s v="H710C643" u="1"/>
        <s v="06.094.0076" u="1"/>
        <s v="06.027.0021" u="1"/>
        <s v="06.029.0011" u="1"/>
        <s v="H710C1005" u="1"/>
        <s v="01.005.0001" u="1"/>
        <s v="03.002.0011" u="1"/>
        <s v="05.001.0011" u="1"/>
        <s v="05.003.0001" u="1"/>
        <s v="09.001.0001" u="1"/>
        <s v="H710C653" u="1"/>
        <s v="ZM-015" u="1"/>
        <s v="H710C1105" u="1"/>
        <s v="H710C663" u="1"/>
        <s v="SH-62035-85351" u="1"/>
        <s v="06.094.0077" u="1"/>
        <s v="06.027.0022" u="1"/>
        <s v="06.029.0012" u="1"/>
        <s v="06.217.0001" u="1"/>
        <s v="H710C1205" u="1"/>
        <s v="01.005.0002" u="1"/>
        <s v="05.003.0002" u="1"/>
        <s v="H710C673" u="1"/>
        <s v="EC-A101000380" u="1"/>
        <s v="H710C707" u="1"/>
        <s v="H710C1305" u="1"/>
        <s v="H710C683" u="1"/>
        <s v="T619A100" u="1"/>
        <s v="SH-70200-71200" u="1"/>
        <s v="06.094.0078" u="1"/>
        <s v="H710C717" u="1"/>
        <s v="06.029.0013" u="1"/>
        <s v="H710C1405" u="1"/>
        <s v="01.005.0003" u="1"/>
        <s v="H710C693" u="1"/>
        <s v="H710C727" u="1"/>
        <s v="H710C1505" u="1"/>
        <s v="EC-A200000500" u="1"/>
        <s v="06.094.0079" u="1"/>
        <s v="H710C737" u="1"/>
        <s v="06.027.0024" u="1"/>
        <s v="EC-61020656930" u="1"/>
        <s v="H710C1605" u="1"/>
        <s v="01.005.0004" u="1"/>
        <s v="H521B200" u="1"/>
        <s v="H710C747" u="1"/>
        <s v="H710C1705" u="1"/>
        <s v="EC-A100000680" u="1"/>
        <s v="H710C2045" u="1"/>
        <s v="H710C757" u="1"/>
        <s v="06.027.0025" u="1"/>
        <s v="06.029.0015" u="1"/>
        <s v="H710C1805" u="1"/>
        <s v="01.005.0005" u="1"/>
        <s v="05.001.0015" u="1"/>
        <s v="05.003.0005" u="1"/>
        <s v="H710C767" u="1"/>
        <s v="H710C1905" u="1"/>
        <s v="H710C777" u="1"/>
        <s v="06.027.0026" u="1"/>
        <s v="06.029.0016" u="1"/>
        <s v="01.005.0006" u="1"/>
        <s v="H710C787" u="1"/>
        <s v="H710C797" u="1"/>
        <s v="06.027.0027" u="1"/>
        <s v="06.029.0017" u="1"/>
        <s v="05.003.0007" u="1"/>
        <s v="06.027.0028" u="1"/>
        <s v="06.029.0018" u="1"/>
        <s v="H277A000" u="1"/>
        <s v="EC-17504805530" u="1"/>
        <s v="06.027.0029" u="1"/>
        <s v="06.029.0019" u="1"/>
        <s v="01.003.0019" u="1"/>
        <s v="05.003.0009" u="1"/>
        <s v="SH-70210-81022" u="1"/>
        <s v="06.061.0020" u="1"/>
        <s v="H710C500" u="1"/>
        <s v="06.061.0021" u="1"/>
        <s v="06.065.0001" u="1"/>
        <s v="H710C510" u="1"/>
        <s v="H710C520" u="1"/>
        <s v="H710C530" u="1"/>
        <s v="EC-001107" u="1"/>
        <s v="H710C540" u="1"/>
        <s v="06.061.0023" u="1"/>
        <s v="06.065.0003" u="1"/>
        <s v="SH-70012-31111" u="1"/>
        <s v="H710C550" u="1"/>
        <s v="CR-524" u="1"/>
        <s v="H710C560" u="1"/>
        <s v="EC-A238000060" u="1"/>
        <s v="06.065.0004" u="1"/>
        <s v="H710C570" u="1"/>
        <s v="EC-90072000012" u="1"/>
        <s v="H710C604" u="1"/>
        <s v="H710C580" u="1"/>
        <s v="01.011.0040" u="1"/>
        <s v="01.017.0010" u="1"/>
        <s v="03.012.0030" u="1"/>
        <s v="03.014.0020" u="1"/>
        <s v="03.016.0010" u="1"/>
        <s v="06.065.0005" u="1"/>
        <s v="H710C614" u="1"/>
        <s v="H710C590" u="1"/>
        <s v="H710C624" u="1"/>
        <s v="01.011.0041" u="1"/>
        <s v="01.017.0011" u="1"/>
        <s v="01.019.0001" u="1"/>
        <s v="03.012.0031" u="1"/>
        <s v="03.014.0021" u="1"/>
        <s v="03.016.0011" u="1"/>
        <s v="03.018.0001" u="1"/>
        <s v="06.065.0006" u="1"/>
        <s v="H710C634" u="1"/>
        <s v="EC-A226000740" u="1"/>
        <s v="JF-084" u="1"/>
        <s v="13.002.0029" u="1"/>
        <s v="H710C644" u="1"/>
        <s v="EC-A244000180" u="1"/>
        <s v="H710C1015" u="1"/>
        <s v="01.011.0042" u="1"/>
        <s v="01.017.0012" u="1"/>
        <s v="01.019.0002" u="1"/>
        <s v="03.012.0032" u="1"/>
        <s v="03.014.0022" u="1"/>
        <s v="03.016.0012" u="1"/>
        <s v="03.018.0002" u="1"/>
        <s v="06.061.0027" u="1"/>
        <s v="H710C654" u="1"/>
        <s v="JF-270" u="1"/>
        <s v="H710C1115" u="1"/>
        <s v="H710C664" u="1"/>
        <s v="H710C1215" u="1"/>
        <s v="01.011.0043" u="1"/>
        <s v="01.017.0013" u="1"/>
        <s v="01.019.0003" u="1"/>
        <s v="03.012.0033" u="1"/>
        <s v="03.014.0023" u="1"/>
        <s v="06.061.0028" u="1"/>
        <s v="H710C674" u="1"/>
        <s v="HM750-3020" u="1"/>
        <s v="H710C708" u="1"/>
        <s v="H710C1315" u="1"/>
        <s v="H710C684" u="1"/>
        <s v="H710C718" u="1"/>
        <s v="H710C1415" u="1"/>
        <s v="01.011.0044" u="1"/>
        <s v="01.017.0014" u="1"/>
        <s v="01.019.0004" u="1"/>
        <s v="03.012.0034" u="1"/>
        <s v="03.014.0024" u="1"/>
        <s v="03.018.0004" u="1"/>
        <s v="05.017.0004" u="1"/>
        <s v="06.061.0029" u="1"/>
        <s v="H710C694" u="1"/>
        <s v="SH-70870-98020" u="1"/>
        <s v="H710C728" u="1"/>
        <s v="H710C1515" u="1"/>
        <s v="04.008.0090" u="1"/>
        <s v="H710C738" u="1"/>
        <s v="H710C1615" u="1"/>
        <s v="01.011.0045" u="1"/>
        <s v="01.013.0035" u="1"/>
        <s v="01.017.0015" u="1"/>
        <s v="03.012.0035" u="1"/>
        <s v="03.014.0025" u="1"/>
        <s v="03.018.0005" u="1"/>
        <s v="06.165.0002" u="1"/>
        <s v="EC-P022007100" u="1"/>
        <s v="H710C748" u="1"/>
        <s v="H710C1715" u="1"/>
        <s v="EC-P021012780" u="1"/>
        <s v="H710C2055" u="1"/>
        <s v="04.008.0091" u="1"/>
        <s v="H710C758" u="1"/>
        <s v="H710C1815" u="1"/>
        <s v="01.011.0046" u="1"/>
        <s v="01.013.0036" u="1"/>
        <s v="01.017.0016" u="1"/>
        <s v="03.012.0036" u="1"/>
        <s v="03.014.0026" u="1"/>
        <s v="06.165.0003" u="1"/>
        <s v="H710C768" u="1"/>
        <s v="H710C1915" u="1"/>
        <s v="04.008.0092" u="1"/>
        <s v="H710C778" u="1"/>
        <s v="01.011.0047" u="1"/>
        <s v="01.013.0037" u="1"/>
        <s v="01.017.0017" u="1"/>
        <s v="01.019.0007" u="1"/>
        <s v="03.012.0037" u="1"/>
        <s v="03.014.0027" u="1"/>
        <s v="03.018.0007" u="1"/>
        <s v="06.165.0004" u="1"/>
        <s v="H710C788" u="1"/>
        <s v="04.008.0093" u="1"/>
        <s v="H710C798" u="1"/>
        <s v="06.133.0060" u="1"/>
        <s v="01.011.0048" u="1"/>
        <s v="01.013.0038" u="1"/>
        <s v="01.017.0018" u="1"/>
        <s v="01.019.0008" u="1"/>
        <s v="03.012.0038" u="1"/>
        <s v="03.014.0028" u="1"/>
        <s v="03.018.0008" u="1"/>
        <s v="04.008.0094" u="1"/>
        <s v="06.133.0061" u="1"/>
        <s v="01.011.0049" u="1"/>
        <s v="01.013.0039" u="1"/>
        <s v="01.017.0019" u="1"/>
        <s v="01.019.0009" u="1"/>
        <s v="03.012.0039" u="1"/>
        <s v="03.014.0029" u="1"/>
        <s v="04.008.0095" u="1"/>
        <s v="SH-22021-12400" u="1"/>
        <s v="06.133.0062" u="1"/>
        <s v="06.077.0010" u="1"/>
        <s v="04.008.0096" u="1"/>
        <s v="06.077.0011" u="1"/>
        <s v="06.079.0001" u="1"/>
        <s v="SH-20020-75140" u="1"/>
        <s v="04.008.0097" u="1"/>
        <s v="H710C501" u="1"/>
        <s v="H450B200" u="1"/>
        <s v="06.077.0012" u="1"/>
        <s v="H710C511" u="1"/>
        <s v="04.008.0098" u="1"/>
        <s v="H710C521" u="1"/>
        <s v="06.077.0013" u="1"/>
        <s v="H710C531" u="1"/>
        <s v="04.008.0099" u="1"/>
        <s v="H710C541" u="1"/>
        <s v="H710C551" u="1"/>
        <s v="H710C561" u="1"/>
        <s v="01.025.0040" u="1"/>
        <s v="04.001.0010" u="1"/>
        <s v="H710C571" u="1"/>
        <s v="H710C605" u="1"/>
        <s v="H710C581" u="1"/>
        <s v="T415A100" u="1"/>
        <s v="10000001186" u="1"/>
        <s v="01.025.0041" u="1"/>
        <s v="06.077.0016" u="1"/>
        <s v="H710C615" u="1"/>
        <s v="04.001.0011" u="1"/>
        <s v="H710C591" u="1"/>
        <s v="H710C625" u="1"/>
        <s v="06.077.0017" u="1"/>
        <s v="H710C635" u="1"/>
        <s v="04.003.0002" u="1"/>
        <s v="JF-284" u="1"/>
        <s v="SH-20040-81680" u="1"/>
        <s v="H710C645" u="1"/>
        <s v="EC-P021010210" u="1"/>
        <s v="H710C1025" u="1"/>
        <s v="01.025.0043" u="1"/>
        <s v="06.077.0018" u="1"/>
        <s v="H710C655" u="1"/>
        <s v="02.002.0013" u="1"/>
        <s v="04.003.0003" u="1"/>
        <s v="06.002.0003" u="1"/>
        <s v="H710C1125" u="1"/>
        <s v="H710C665" u="1"/>
        <s v="CR-023" u="1"/>
        <s v="SH-63019-63170" u="1"/>
        <s v="H710C1225" u="1"/>
        <s v="01.025.0044" u="1"/>
        <s v="06.077.0019" u="1"/>
        <s v="06.179.0001" u="1"/>
        <s v="H710C675" u="1"/>
        <s v="04.001.0014" u="1"/>
        <s v="04.003.0004" u="1"/>
        <s v="06.002.0004" u="1"/>
        <s v="H710C709" u="1"/>
        <s v="SH-68501-81490" u="1"/>
        <s v="H710C1325" u="1"/>
        <s v="H710C685" u="1"/>
        <s v="H710C719" u="1"/>
        <s v="H451B200" u="1"/>
        <s v="H710C1425" u="1"/>
        <s v="SH-20142-41110" u="1"/>
        <s v="H710C695" u="1"/>
        <s v="04.001.0015" u="1"/>
        <s v="04.003.0005" u="1"/>
        <s v="06.002.0005" u="1"/>
        <s v="H710C729" u="1"/>
        <s v="H710C1525" u="1"/>
        <s v="H710C739" u="1"/>
        <s v="H710C1625" u="1"/>
        <s v="04.001.0016" u="1"/>
        <s v="04.003.0006" u="1"/>
        <s v="H710C749" u="1"/>
        <s v="JF-021" u="1"/>
        <s v="H710C1725" u="1"/>
        <s v="H710C2065" u="1"/>
        <s v="H710C759" u="1"/>
        <s v="H710C1825" u="1"/>
        <s v="04.001.0017" u="1"/>
        <s v="04.003.0007" u="1"/>
        <s v="06.002.0007" u="1"/>
        <s v="H710C769" u="1"/>
        <s v="H710C1925" u="1"/>
        <s v="H710C779" u="1"/>
        <s v="04.003.0008" u="1"/>
        <s v="SH-20016-12112" u="1"/>
        <s v="H710C789" u="1"/>
        <s v="10.007.0001" u="1"/>
        <s v="EC-V100000040" u="1"/>
        <s v="H710C799" u="1"/>
        <s v="01.025.0049" u="1"/>
        <s v="04.001.0019" u="1"/>
        <s v="04.003.0009" u="1"/>
        <s v="06.102.0001" u="1"/>
        <s v="06.089.0020" u="1"/>
        <s v="06.089.0021" u="1"/>
        <s v="SH-22160-71511" u="1"/>
        <s v="CR-123" u="1"/>
        <s v="06.089.0022" u="1"/>
        <s v="H622B100" u="1"/>
        <s v="H632B100" u="1"/>
        <s v="H710C502" u="1"/>
        <s v="06.089.0023" u="1"/>
        <s v="OR-205963" u="1"/>
        <s v="H710C512" u="1"/>
        <s v="H710C522" u="1"/>
        <s v="06.089.0024" u="1"/>
        <s v="H710C532" u="1"/>
        <s v="EC-13031357030" u="1"/>
        <s v="H710C542" u="1"/>
        <s v="01.019.0140" u="1"/>
        <s v="06.089.0025" u="1"/>
        <s v="06.014.0010" u="1"/>
        <s v="H710C552" u="1"/>
        <s v="H710C562" u="1"/>
        <s v="01.019.0141" u="1"/>
        <s v="06.089.0026" u="1"/>
        <s v="EC-ES726" u="1"/>
        <s v="06.016.0001" u="1"/>
        <s v="SH-20140-12220" u="1"/>
        <s v="H710C572" u="1"/>
        <s v="H710C606" u="1"/>
        <s v="H710C582" u="1"/>
        <s v="T617A000" u="1"/>
        <s v="SH-20011-81680" u="1"/>
        <s v="01.019.0142" u="1"/>
        <s v="H710C616" u="1"/>
        <s v="T427A100" u="1"/>
        <s v="06.014.0012" u="1"/>
        <s v="06.016.0002" u="1"/>
        <s v="06.202.0001" u="1"/>
        <s v="EC-A226000650" u="1"/>
        <s v="H710C592" u="1"/>
        <s v="H710C626" u="1"/>
        <s v="EC-V103001080" u="1"/>
        <s v="01.019.0143" u="1"/>
        <s v="H710C636" u="1"/>
        <s v="06.014.0013" u="1"/>
        <s v="06.202.0002" u="1"/>
        <s v="H710C646" u="1"/>
        <s v="H710C1035" u="1"/>
        <s v="01.019.0144" u="1"/>
        <s v="H710C656" u="1"/>
        <s v="06.014.0014" u="1"/>
        <s v="06.016.0004" u="1"/>
        <s v="H710C1135" u="1"/>
        <s v="H710C666" u="1"/>
        <s v="H710C1235" u="1"/>
        <s v="01.019.0145" u="1"/>
        <s v="H710C676" u="1"/>
        <s v="06.014.0015" u="1"/>
        <s v="06.016.0005" u="1"/>
        <s v="H710C1335" u="1"/>
        <s v="H710C686" u="1"/>
        <s v="EC-P021012590" u="1"/>
        <s v="EC-A232000870" u="1"/>
        <s v="H453B200" u="1"/>
        <s v="H710C1435" u="1"/>
        <s v="01.019.0146" u="1"/>
        <s v="H710C696" u="1"/>
        <s v="06.014.0016" u="1"/>
        <s v="T420A000" u="1"/>
        <s v="JF-035" u="1"/>
        <s v="H710C1535" u="1"/>
        <s v="H710C1635" u="1"/>
        <s v="01.019.0147" u="1"/>
        <s v="06.014.0017" u="1"/>
        <s v="06.016.0007" u="1"/>
        <s v="SH-70131-75100" u="1"/>
        <s v="H710C1735" u="1"/>
        <s v="EC-P021012790" u="1"/>
        <s v="H710C2075" u="1"/>
        <s v="H710C1835" u="1"/>
        <s v="01.019.0148" u="1"/>
        <s v="06.110.0030" u="1"/>
        <s v="06.114.0010" u="1"/>
        <s v="H710C1935" u="1"/>
        <s v="01.019.0149" u="1"/>
        <s v="06.110.0031" u="1"/>
        <s v="06.114.0011" u="1"/>
        <s v="EC-12411511120" u="1"/>
        <s v="06.110.0032" u="1"/>
        <s v="06.114.0012" u="1"/>
        <s v="06.114.0013" u="1"/>
        <s v="EC-43113516431" u="1"/>
        <s v="06.050.0001" u="1"/>
        <s v="06.110.0034" u="1"/>
        <s v="06.110.0035" u="1"/>
        <s v="06.050.0003" u="1"/>
        <s v="H710C503" u="1"/>
        <s v="T411A000" u="1"/>
        <s v="06.110.0036" u="1"/>
        <s v="06.050.0004" u="1"/>
        <s v="H710C513" u="1"/>
        <s v="T421A000" u="1"/>
        <s v="H710C523" u="1"/>
        <s v="04.003.0140" u="1"/>
        <s v="04.005.0130" u="1"/>
        <s v="06.050.0005" u="1"/>
        <s v="H710C533" u="1"/>
        <s v="SH-70210-42001" u="1"/>
        <s v="H710C543" u="1"/>
        <s v="04.003.0141" u="1"/>
        <s v="04.005.0131" u="1"/>
        <s v="03.001.0011" u="1"/>
        <s v="05.002.0001" u="1"/>
        <s v="06.050.0006" u="1"/>
        <s v="H710C553" u="1"/>
        <s v="ZM-014" u="1"/>
        <s v="H710C563" u="1"/>
        <s v="04.003.0142" u="1"/>
        <s v="04.005.0132" u="1"/>
        <s v="06.216.0001" u="1"/>
        <s v="03.001.0012" u="1"/>
        <s v="06.050.0007" u="1"/>
        <s v="H710C573" u="1"/>
        <s v="H710C607" u="1"/>
        <s v="SH-20000-85500" u="1"/>
        <s v="H710C583" u="1"/>
        <s v="T619A000" u="1"/>
        <s v="H710C617" u="1"/>
        <s v="04.003.0143" u="1"/>
        <s v="04.005.0133" u="1"/>
        <s v="06.050.0008" u="1"/>
        <s v="H710C593" u="1"/>
        <s v="H710C627" u="1"/>
        <s v="SH-63019-63130" u="1"/>
        <s v="H710C637" u="1"/>
        <s v="04.003.0144" u="1"/>
        <s v="04.005.0134" u="1"/>
        <s v="06.050.0009" u="1"/>
        <s v="H710C647" u="1"/>
        <s v="H710C1045" u="1"/>
        <s v="H710C657" u="1"/>
        <s v="04.003.0145" u="1"/>
        <s v="04.005.0135" u="1"/>
        <s v="03.001.0015" u="1"/>
        <s v="03.003.0005" u="1"/>
        <s v="06.150.0002" u="1"/>
        <s v="H710C1145" u="1"/>
        <s v="H710C667" u="1"/>
        <s v="H710C1245" u="1"/>
        <s v="H710C677" u="1"/>
        <s v="04.005.0136" u="1"/>
        <s v="03.001.0016" u="1"/>
        <s v="03.003.0006" u="1"/>
        <s v="06.150.0003" u="1"/>
        <s v="SH-72017-14100" u="1"/>
        <s v="H710C1345" u="1"/>
        <s v="H710C687" u="1"/>
        <s v="SH-20016-71601" u="1"/>
        <s v="H710C1445" u="1"/>
        <s v="SH-20142-41210" u="1"/>
        <s v="H710C697" u="1"/>
        <s v="04.005.0137" u="1"/>
        <s v="03.001.0017" u="1"/>
        <s v="03.003.0007" u="1"/>
        <s v="06.150.0004" u="1"/>
        <s v="H710C1545" u="1"/>
        <s v="H710C1645" u="1"/>
        <s v="04.005.0138" u="1"/>
        <s v="03.001.0018" u="1"/>
        <s v="03.003.0008" u="1"/>
        <s v="H710C1745" u="1"/>
        <s v="H710C2085" u="1"/>
        <s v="H710C1845" u="1"/>
        <s v="04.005.0139" u="1"/>
        <s v="03.003.0009" u="1"/>
        <s v="06.150.0006" u="1"/>
        <s v="H710C1945" u="1"/>
        <s v="SH-70162-75100" u="1"/>
        <s v="06.062.0010" u="1"/>
        <s v="06.150.0007" u="1"/>
        <s v="H710C400" u="1"/>
        <s v="SH-20018-31251" u="1"/>
        <s v="06.062.0011" u="1"/>
        <s v="06.150.0008" u="1"/>
        <s v="H710C410" u="1"/>
        <s v="H710C420" u="1"/>
        <s v="06.062.0012" u="1"/>
        <s v="06.150.0009" u="1"/>
        <s v="H710C430" u="1"/>
        <s v="H710C440" u="1"/>
        <s v="H224C700" u="1"/>
        <s v="06.062.0013" u="1"/>
        <s v="H710C450" u="1"/>
        <s v="OT-02030-06202" u="1"/>
        <s v="CR-523" u="1"/>
        <s v="H710C460" u="1"/>
        <s v="06.062.0014" u="1"/>
        <s v="EC-61020623030" u="1"/>
        <s v="H710C470" u="1"/>
        <s v="EC-V100000450" u="1"/>
        <s v="H710C504" u="1"/>
        <s v="CRE-856" u="1"/>
        <s v="H710C480" u="1"/>
        <s v="01.016.0010" u="1"/>
        <s v="03.011.0030" u="1"/>
        <s v="03.015.0010" u="1"/>
        <s v="06.062.0015" u="1"/>
        <s v="H710C514" u="1"/>
        <s v="CRE-857" u="1"/>
        <s v="H710C490" u="1"/>
        <s v="H710C524" u="1"/>
        <s v="SH-22160-51220" u="1"/>
        <s v="01.016.0011" u="1"/>
        <s v="01.018.0001" u="1"/>
        <s v="03.011.0031" u="1"/>
        <s v="03.015.0011" u="1"/>
        <s v="03.017.0001" u="1"/>
        <s v="06.062.0016" u="1"/>
        <s v="H710C534" u="1"/>
        <s v="SH-22035-13271" u="1"/>
        <s v="JF-083" u="1"/>
        <s v="H710C544" u="1"/>
        <s v="SH-67001-62211" u="1"/>
        <s v="01.016.0012" u="1"/>
        <s v="01.018.0002" u="1"/>
        <s v="03.011.0032" u="1"/>
        <s v="03.013.0022" u="1"/>
        <s v="03.015.0012" u="1"/>
        <s v="03.017.0002" u="1"/>
        <s v="H710C554" u="1"/>
        <s v="H710C564" u="1"/>
        <s v="SH-88421" u="1"/>
        <s v="ALEN 6X20" u="1"/>
        <s v="01.016.0013" u="1"/>
        <s v="01.018.0003" u="1"/>
        <s v="03.011.0033" u="1"/>
        <s v="03.013.0023" u="1"/>
        <s v="03.015.0013" u="1"/>
        <s v="03.017.0003" u="1"/>
        <s v="H710C574" u="1"/>
        <s v="H710C608" u="1"/>
        <s v="H710C584" u="1"/>
        <s v="H710C618" u="1"/>
        <s v="EC-A226000660" u="1"/>
        <s v="SH-38500-71110" u="1"/>
        <s v="01.018.0004" u="1"/>
        <s v="03.011.0034" u="1"/>
        <s v="03.013.0024" u="1"/>
        <s v="03.015.0014" u="1"/>
        <s v="H710C594" u="1"/>
        <s v="EC-17812743230" u="1"/>
        <s v="H710C628" u="1"/>
        <s v="H710C638" u="1"/>
        <s v="EC-V103000850" u="1"/>
        <s v="01.018.0005" u="1"/>
        <s v="03.011.0035" u="1"/>
        <s v="03.013.0025" u="1"/>
        <s v="03.015.0015" u="1"/>
        <s v="03.017.0005" u="1"/>
        <s v="06.164.0002" u="1"/>
        <s v="H523B100" u="1"/>
        <s v="H710C648" u="1"/>
        <s v="110106152555374" u="1"/>
        <s v="H710C1055" u="1"/>
        <s v="H710C658" u="1"/>
        <s v="EC-V103000950" u="1"/>
        <s v="01.018.0006" u="1"/>
        <s v="03.013.0026" u="1"/>
        <s v="03.015.0016" u="1"/>
        <s v="03.017.0006" u="1"/>
        <s v="06.164.0003" u="1"/>
        <s v="H710C1155" u="1"/>
        <s v="SH-62113-83010" u="1"/>
        <s v="H710C668" u="1"/>
        <s v="H710C1255" u="1"/>
        <s v="H710C678" u="1"/>
        <s v="01.016.0017" u="1"/>
        <s v="01.018.0007" u="1"/>
        <s v="03.013.0027" u="1"/>
        <s v="03.015.0017" u="1"/>
        <s v="H710C1355" u="1"/>
        <s v="H710C688" u="1"/>
        <s v="H710C1455" u="1"/>
        <s v="EC-P022007020" u="1"/>
        <s v="H710C698" u="1"/>
        <s v="01.016.0018" u="1"/>
        <s v="01.018.0008" u="1"/>
        <s v="03.013.0028" u="1"/>
        <s v="03.015.0018" u="1"/>
        <s v="H710C1555" u="1"/>
        <s v="H710C1655" u="1"/>
        <s v="01.016.0019" u="1"/>
        <s v="01.018.0009" u="1"/>
        <s v="03.013.0029" u="1"/>
        <s v="03.015.0019" u="1"/>
        <s v="03.017.0009" u="1"/>
        <s v="SH-72933-75140" u="1"/>
        <s v="SH-70131-75200" u="1"/>
        <s v="H710C1755" u="1"/>
        <s v="H710C2095" u="1"/>
        <s v="H710C1855" u="1"/>
        <s v="H710C1955" u="1"/>
        <s v="06.072.0031" u="1"/>
        <s v="06.078.0001" u="1"/>
        <s v="EC-488/EMC" u="1"/>
        <s v="H710C401" u="1"/>
        <s v="06.072.0032" u="1"/>
        <s v="H710C411" u="1"/>
        <s v="H710C421" u="1"/>
        <s v="06.072.0033" u="1"/>
        <s v="H710C431" u="1"/>
        <s v="CR-099" u="1"/>
        <s v="H710C441" u="1"/>
        <s v="06.072.0034" u="1"/>
        <s v="H710C451" u="1"/>
        <s v="H710C461" u="1"/>
        <s v="06.042.0080" u="1"/>
        <s v="01.024.0040" u="1"/>
        <s v="03.023.0040" u="1"/>
        <s v="06.072.0035" u="1"/>
        <s v="02.001.0010" u="1"/>
        <s v="H710C471" u="1"/>
        <s v="H710C505" u="1"/>
        <s v="H710C481" u="1"/>
        <s v="T415A000" u="1"/>
        <s v="06.042.0081" u="1"/>
        <s v="01.024.0041" u="1"/>
        <s v="01.028.0021" u="1"/>
        <s v="03.023.0041" u="1"/>
        <s v="06.072.0036" u="1"/>
        <s v="H710C515" u="1"/>
        <s v="T425A000" u="1"/>
        <s v="02.001.0011" u="1"/>
        <s v="02.003.0001" u="1"/>
        <s v="H710C491" u="1"/>
        <s v="H710C525" u="1"/>
        <s v="SH-4551800" u="1"/>
        <s v="06.042.0082" u="1"/>
        <s v="01.028.0022" u="1"/>
        <s v="03.023.0042" u="1"/>
        <s v="06.072.0037" u="1"/>
        <s v="H710C535" u="1"/>
        <s v="02.001.0012" u="1"/>
        <s v="SH-20000-81740" u="1"/>
        <s v="JF-283" u="1"/>
        <s v="H710C545" u="1"/>
        <s v="06.042.0083" u="1"/>
        <s v="01.024.0043" u="1"/>
        <s v="01.028.0023" u="1"/>
        <s v="03.023.0043" u="1"/>
        <s v="06.072.0038" u="1"/>
        <s v="SH-20000-21211" u="1"/>
        <s v="SH-20000-41210" u="1"/>
        <s v="H710C555" u="1"/>
        <s v="02.001.0013" u="1"/>
        <s v="SH-20010-21211" u="1"/>
        <s v="SH-20010-41210" u="1"/>
        <s v="OT-587" u="1"/>
        <s v="H710C565" u="1"/>
        <s v="CR-022" u="1"/>
        <s v="06.042.0084" u="1"/>
        <s v="01.024.0044" u="1"/>
        <s v="01.028.0024" u="1"/>
        <s v="03.023.0044" u="1"/>
        <s v="06.072.0039" u="1"/>
        <s v="06.178.0001" u="1"/>
        <s v="H710C575" u="1"/>
        <s v="02.001.0014" u="1"/>
        <s v="H710C609" u="1"/>
        <s v="H710C585" u="1"/>
        <s v="H710C619" u="1"/>
        <s v="06.042.0085" u="1"/>
        <s v="01.024.0045" u="1"/>
        <s v="01.028.0025" u="1"/>
        <s v="03.023.0045" u="1"/>
        <s v="06.176.0012" u="1"/>
        <s v="06.178.0002" u="1"/>
        <s v="SH-99909-159" u="1"/>
        <s v="H710C595" u="1"/>
        <s v="H710C629" u="1"/>
        <s v="H710C639" u="1"/>
        <s v="06.042.0086" u="1"/>
        <s v="SH-70020-75100" u="1"/>
        <s v="01.024.0046" u="1"/>
        <s v="01.028.0026" u="1"/>
        <s v="03.023.0046" u="1"/>
        <s v="06.176.0013" u="1"/>
        <s v="06.178.0003" u="1"/>
        <s v="H710C649" u="1"/>
        <s v="JF-020" u="1"/>
        <s v="H710C1065" u="1"/>
        <s v="EC-13031002910" u="1"/>
        <s v="H710C659" u="1"/>
        <s v="06.042.0087" u="1"/>
        <s v="01.028.0027" u="1"/>
        <s v="03.023.0047" u="1"/>
        <s v="06.176.0014" u="1"/>
        <s v="06.178.0004" u="1"/>
        <s v="02.001.0017" u="1"/>
        <s v="H710C1165" u="1"/>
        <s v="SH-4042881" u="1"/>
        <s v="H710C669" u="1"/>
        <s v="H710C1265" u="1"/>
        <s v="H710C679" u="1"/>
        <s v="06.042.0088" u="1"/>
        <s v="01.028.0028" u="1"/>
        <s v="03.023.0048" u="1"/>
        <s v="06.176.0015" u="1"/>
        <s v="02.001.0018" u="1"/>
        <s v="H710C1365" u="1"/>
        <s v="SH-72432-13230" u="1"/>
        <s v="H710C689" u="1"/>
        <s v="10.006.0001" u="1"/>
        <s v="H710C1465" u="1"/>
        <s v="H710C699" u="1"/>
        <s v="06.042.0089" u="1"/>
        <s v="01.024.0049" u="1"/>
        <s v="01.028.0029" u="1"/>
        <s v="03.023.0049" u="1"/>
        <s v="02.001.0019" u="1"/>
        <s v="06.101.0001" u="1"/>
        <s v="H710C1565" u="1"/>
        <s v="10.006.0002" u="1"/>
        <s v="H710C1665" u="1"/>
        <s v="06.080.0060" u="1"/>
        <s v="SH-72051-98310" u="1"/>
        <s v="H710C1765" u="1"/>
        <s v="10.006.0003" u="1"/>
        <s v="H710C1865" u="1"/>
        <s v="06.080.0061" u="1"/>
        <s v="06.088.0021" u="1"/>
        <s v="H710C2008" u="1"/>
        <s v="H710C1965" u="1"/>
        <s v="H710C2108" u="1"/>
        <s v="10.006.0004" u="1"/>
        <s v="CR-122" u="1"/>
        <s v="EC-13031051730" u="1"/>
        <s v="06.080.0062" u="1"/>
        <s v="06.088.0022" u="1"/>
        <s v="06.101.0004" u="1"/>
        <s v="SH-70210-12111" u="1"/>
        <s v="H710C402" u="1"/>
        <s v="06.080.0063" u="1"/>
        <s v="06.088.0023" u="1"/>
        <s v="10000000974" u="1"/>
        <s v="H710C412" u="1"/>
        <s v="H710C422" u="1"/>
        <s v="06.080.0064" u="1"/>
        <s v="06.088.0024" u="1"/>
        <s v="H710C432" u="1"/>
        <s v="H710C442" u="1"/>
        <s v="EC-A226000070" u="1"/>
        <s v="01.018.0140" u="1"/>
        <s v="06.080.0065" u="1"/>
        <s v="H710C452" u="1"/>
        <s v="H710C462" u="1"/>
        <s v="01.018.0141" u="1"/>
        <s v="06.080.0066" u="1"/>
        <s v="06.015.0001" u="1"/>
        <s v="SH-62035-33130" u="1"/>
        <s v="H710C472" u="1"/>
        <s v="H710C506" u="1"/>
        <s v="H710C482" u="1"/>
        <s v="01.018.0142" u="1"/>
        <s v="06.080.0067" u="1"/>
        <s v="H710C516" u="1"/>
        <s v="T427A000" u="1"/>
        <s v="06.015.0002" u="1"/>
        <s v="06.201.0001" u="1"/>
        <s v="H710C492" u="1"/>
        <s v="H710C526" u="1"/>
        <s v="01.018.0143" u="1"/>
        <s v="06.080.0068" u="1"/>
        <s v="H710C536" u="1"/>
        <s v="06.201.0002" u="1"/>
        <s v="EC-9103006010" u="1"/>
        <s v="H710C546" u="1"/>
        <s v="3FPAP310218" u="1"/>
        <s v="CR-036" u="1"/>
        <s v="01.018.0144" u="1"/>
        <s v="06.080.0069" u="1"/>
        <s v="H710C556" u="1"/>
        <s v="H710C566" u="1"/>
        <s v="01.018.0145" u="1"/>
        <s v="SH-20021-41210" u="1"/>
        <s v="H710C576" u="1"/>
        <s v="H710C586" u="1"/>
        <s v="SH-108644-30" u="1"/>
        <s v="EC-A226000670" u="1"/>
        <s v="01.018.0146" u="1"/>
        <s v="H710C596" u="1"/>
        <s v="JF-034" u="1"/>
        <s v="01.018.0147" u="1"/>
        <s v="H710C1075" u="1"/>
        <s v="01.018.0148" u="1"/>
        <s v="06.113.0010" u="1"/>
        <s v="H710C1175" u="1"/>
        <s v="H710C1275" u="1"/>
        <s v="01.018.0149" u="1"/>
        <s v="06.113.0011" u="1"/>
        <s v="06.115.0001" u="1"/>
        <s v="H710C1375" u="1"/>
        <s v="H710C1475" u="1"/>
        <s v="EC-P022007030" u="1"/>
        <s v="06.094.0060" u="1"/>
        <s v="06.115.0002" u="1"/>
        <s v="H710C1575" u="1"/>
        <s v="EC-13120519831" u="1"/>
        <s v="H710C1675" u="1"/>
        <s v="06.094.0061" u="1"/>
        <s v="06.115.0003" u="1"/>
        <s v="EC-A356000050" u="1"/>
        <s v="SH-67000-51011" u="1"/>
        <s v="H710C1775" u="1"/>
        <s v="H710C1875" u="1"/>
        <s v="EC-P022007230" u="1"/>
        <s v="06.094.0062" u="1"/>
        <s v="06.098.0042" u="1"/>
        <s v="H710C2018" u="1"/>
        <s v="06.115.0004" u="1"/>
        <s v="H710C1975" u="1"/>
        <s v="H710C2118" u="1"/>
        <s v="06.098.0043" u="1"/>
        <s v="06.115.0005" u="1"/>
        <s v="EC-P022007430" u="1"/>
        <s v="H710C403" u="1"/>
        <s v="06.115.0006" u="1"/>
        <s v="H710C413" u="1"/>
        <s v="SH-02432-32120" u="1"/>
        <s v="H710C423" u="1"/>
        <s v="06.027.0010" u="1"/>
        <s v="06.115.0007" u="1"/>
        <s v="H710C433" u="1"/>
        <s v="EC-17723440630" u="1"/>
        <s v="SH-20011-12220" u="1"/>
        <s v="H710C443" u="1"/>
        <s v="06.027.0011" u="1"/>
        <s v="06.029.0001" u="1"/>
        <s v="06.115.0008" u="1"/>
        <s v="01.003.0001" u="1"/>
        <s v="05.001.0001" u="1"/>
        <s v="SH-22410-13530" u="1"/>
        <s v="H710C453" u="1"/>
        <s v="EC-A369000070" u="1"/>
        <s v="ZM-013" u="1"/>
        <s v="SH-4584160" u="1"/>
        <s v="SH-20024-75240" u="1"/>
        <s v="H710C463" u="1"/>
        <s v="06.094.0067" u="1"/>
        <s v="06.027.0012" u="1"/>
        <s v="06.029.0002" u="1"/>
        <s v="06.115.0009" u="1"/>
        <s v="06.215.0001" u="1"/>
        <s v="01.003.0002" u="1"/>
        <s v="H710C473" u="1"/>
        <s v="H710C507" u="1"/>
        <s v="H710C483" u="1"/>
        <s v="06.094.0068" u="1"/>
        <s v="H710C517" u="1"/>
        <s v="06.027.0013" u="1"/>
        <s v="06.029.0003" u="1"/>
        <s v="06.215.0002" u="1"/>
        <s v="01.003.0003" u="1"/>
        <s v="H710C493" u="1"/>
        <s v="H710C527" u="1"/>
        <s v="H710C537" u="1"/>
        <s v="06.027.0014" u="1"/>
        <s v="06.029.0004" u="1"/>
        <s v="01.003.0004" u="1"/>
        <s v="H710C547" u="1"/>
        <s v="H710C557" u="1"/>
        <s v="06.027.0015" u="1"/>
        <s v="06.029.0005" u="1"/>
        <s v="01.003.0005" u="1"/>
        <s v="05.001.0005" u="1"/>
        <s v="H710C567" u="1"/>
        <s v="H710C577" u="1"/>
        <s v="06.027.0016" u="1"/>
        <s v="06.029.0006" u="1"/>
        <s v="01.003.0006" u="1"/>
        <s v="03.002.0006" u="1"/>
        <s v="H710C587" u="1"/>
        <s v="EC-70602060A22" u="1"/>
        <s v="SH-20016-85400" u="1"/>
        <s v="H710C597" u="1"/>
        <s v="06.027.0017" u="1"/>
        <s v="06.029.0007" u="1"/>
        <s v="01.003.0007" u="1"/>
        <s v="EC-A200000140" u="1"/>
        <s v="06.027.0018" u="1"/>
        <s v="06.029.0008" u="1"/>
        <s v="06.127.0010" u="1"/>
        <s v="SH-M230" u="1"/>
        <s v="01.003.0008" u="1"/>
        <s v="H710C1085" u="1"/>
        <s v="EC-13201035430" u="1"/>
        <s v="SH-72518-91180" u="1"/>
        <s v="06.027.0019" u="1"/>
        <s v="06.029.0009" u="1"/>
        <s v="06.127.0011" u="1"/>
        <s v="06.129.0001" u="1"/>
        <s v="H710C1185" u="1"/>
        <s v="05.001.0009" u="1"/>
        <s v="H710C1285" u="1"/>
        <s v="13.002.0012" u="1"/>
        <s v="CR-DPTECT" u="1"/>
        <s v="06.129.0002" u="1"/>
        <s v="H710C1385" u="1"/>
        <s v="06.061.0010" u="1"/>
        <s v="H710C1485" u="1"/>
        <s v="13.002.0013" u="1"/>
        <s v="EC-P022010440" u="1"/>
        <s v="H710C300" u="1"/>
        <s v="06.129.0003" u="1"/>
        <s v="EC-15262656032" u="1"/>
        <s v="H710C1585" u="1"/>
        <s v="H710C2000" u="1"/>
        <s v="06.061.0011" u="1"/>
        <s v="H710C310" u="1"/>
        <s v="H710C1685" u="1"/>
        <s v="H710C2100" u="1"/>
        <s v="H710C320" u="1"/>
        <s v="H710C1785" u="1"/>
        <s v="06.061.0012" u="1"/>
        <s v="06.063.0002" u="1"/>
        <s v="EC-A200000640" u="1"/>
        <s v="H710C330" u="1"/>
        <s v="H710C1885" u="1"/>
        <s v="13.002.0015" u="1"/>
        <s v="H710C340" u="1"/>
        <s v="H710C2028" u="1"/>
        <s v="H710C1985" u="1"/>
        <s v="06.061.0013" u="1"/>
        <s v="06.063.0003" u="1"/>
        <s v="H710C350" u="1"/>
        <s v="13.002.0016" u="1"/>
        <s v="EC-13031051830" u="1"/>
        <s v="CR-084" u="1"/>
        <s v="H710C360" u="1"/>
        <s v="06.061.0014" u="1"/>
        <s v="06.063.0004" u="1"/>
        <s v="H710C370" u="1"/>
        <s v="H710C404" u="1"/>
        <s v="H710C380" u="1"/>
        <s v="01.011.0030" u="1"/>
        <s v="01.013.0020" u="1"/>
        <s v="06.061.0015" u="1"/>
        <s v="06.063.0005" u="1"/>
        <s v="H710C414" u="1"/>
        <s v="H710C390" u="1"/>
        <s v="SH-70005-86131" u="1"/>
        <s v="H710C424" u="1"/>
        <s v="01.011.0031" u="1"/>
        <s v="01.017.0001" u="1"/>
        <s v="03.012.0021" u="1"/>
        <s v="03.014.0011" u="1"/>
        <s v="06.061.0016" u="1"/>
        <s v="06.063.0006" u="1"/>
        <s v="H710C434" u="1"/>
        <s v="JF-082" u="1"/>
        <s v="H710C444" u="1"/>
        <s v="A518000010" u="1"/>
        <s v="01.011.0032" u="1"/>
        <s v="01.017.0002" u="1"/>
        <s v="03.012.0022" u="1"/>
        <s v="06.061.0017" u="1"/>
        <s v="H710C454" u="1"/>
        <s v="H710C464" u="1"/>
        <s v="01.011.0033" u="1"/>
        <s v="01.017.0003" u="1"/>
        <s v="03.012.0023" u="1"/>
        <s v="03.016.0003" u="1"/>
        <s v="06.061.0018" u="1"/>
        <s v="SH-22015-14331" u="1"/>
        <s v="H710C474" u="1"/>
        <s v="EC-V100000470" u="1"/>
        <s v="H710C508" u="1"/>
        <s v="H710C484" u="1"/>
        <s v="H710C518" u="1"/>
        <s v="01.011.0034" u="1"/>
        <s v="03.012.0024" u="1"/>
        <s v="03.014.0014" u="1"/>
        <s v="03.016.0004" u="1"/>
        <s v="06.061.0019" u="1"/>
        <s v="06.163.0001" u="1"/>
        <s v="H710C494" u="1"/>
        <s v="SH-20021-81700" u="1"/>
        <s v="H710C528" u="1"/>
        <s v="04.008.0080" u="1"/>
        <s v="H710C538" u="1"/>
        <s v="01.011.0035" u="1"/>
        <s v="01.017.0005" u="1"/>
        <s v="03.012.0025" u="1"/>
        <s v="03.014.0015" u="1"/>
        <s v="03.016.0005" u="1"/>
        <s v="06.163.0002" u="1"/>
        <s v="SH-18500-90000" u="1"/>
        <s v="H710C548" u="1"/>
        <s v="EC-P021006200" u="1"/>
        <s v="SH-20019-81440" u="1"/>
        <s v="04.008.0081" u="1"/>
        <s v="H710C558" u="1"/>
        <s v="01.011.0036" u="1"/>
        <s v="01.017.0006" u="1"/>
        <s v="03.012.0026" u="1"/>
        <s v="03.016.0006" u="1"/>
        <s v="06.163.0003" u="1"/>
        <s v="H710C568" u="1"/>
        <s v="EC-A226000580" u="1"/>
        <s v="04.008.0082" u="1"/>
        <s v="H710C578" u="1"/>
        <s v="01.011.0037" u="1"/>
        <s v="01.017.0007" u="1"/>
        <s v="03.012.0027" u="1"/>
        <s v="03.016.0007" u="1"/>
        <s v="06.163.0004" u="1"/>
        <s v="H710C588" u="1"/>
        <s v="04.008.0083" u="1"/>
        <s v="H710C598" u="1"/>
        <s v="06.133.0050" u="1"/>
        <s v="01.011.0038" u="1"/>
        <s v="01.013.0028" u="1"/>
        <s v="01.017.0008" u="1"/>
        <s v="03.012.0028" u="1"/>
        <s v="03.016.0008" u="1"/>
        <s v="04.008.0084" u="1"/>
        <s v="06.133.0051" u="1"/>
        <s v="01.011.0039" u="1"/>
        <s v="01.013.0029" u="1"/>
        <s v="01.017.0009" u="1"/>
        <s v="03.012.0029" u="1"/>
        <s v="03.014.0019" u="1"/>
        <s v="03.016.0009" u="1"/>
        <s v="JF-05001498" u="1"/>
        <s v="SH-4562530" u="1"/>
        <s v="H710C1095" u="1"/>
        <s v="04.008.0085" u="1"/>
        <s v="06.133.0052" u="1"/>
        <s v="SH-70157-51101" u="1"/>
        <s v="H710C1195" u="1"/>
        <s v="SH-22157-41112" u="1"/>
        <s v="EC-B450/AUS" u="1"/>
        <s v="H710C1295" u="1"/>
        <s v="04.008.0086" u="1"/>
        <s v="06.133.0053" u="1"/>
        <s v="H410B000" u="1"/>
        <s v="H710C1395" u="1"/>
        <s v="06.077.0001" u="1"/>
        <s v="ZM-061" u="1"/>
        <s v="H710C1495" u="1"/>
        <s v="SH-63880-62390" u="1"/>
        <s v="04.008.0087" u="1"/>
        <s v="H710C301" u="1"/>
        <s v="06.133.0054" u="1"/>
        <s v="H710C1595" u="1"/>
        <s v="H710C2010" u="1"/>
        <s v="H460B000" u="1"/>
        <s v="H710C311" u="1"/>
        <s v="H710C1695" u="1"/>
        <s v="H710C2110" u="1"/>
        <s v="04.008.0088" u="1"/>
        <s v="H710C321" u="1"/>
        <s v="06.133.0055" u="1"/>
        <s v="H710C1795" u="1"/>
        <s v="06.077.0003" u="1"/>
        <s v="H710C331" u="1"/>
        <s v="H710C1895" u="1"/>
        <s v="CR-098" u="1"/>
        <s v="04.008.0089" u="1"/>
        <s v="H710C341" u="1"/>
        <s v="H710C2038" u="1"/>
        <s v="06.133.0056" u="1"/>
        <s v="H710C1995" u="1"/>
        <s v="06.077.0004" u="1"/>
        <s v="EC-89852017130" u="1"/>
        <s v="H710C351" u="1"/>
        <s v="H710C361" u="1"/>
        <s v="06.133.0057" u="1"/>
        <s v="SH-72451-14570" u="1"/>
        <s v="01.025.0030" u="1"/>
        <s v="06.077.0005" u="1"/>
        <s v="H710C371" u="1"/>
        <s v="H710C405" u="1"/>
        <s v="H710C381" u="1"/>
        <s v="06.133.0058" u="1"/>
        <s v="01.025.0031" u="1"/>
        <s v="06.077.0006" u="1"/>
        <s v="H710C415" u="1"/>
        <s v="H710C391" u="1"/>
        <s v="H710C425" u="1"/>
        <s v="06.133.0059" u="1"/>
        <s v="01.025.0032" u="1"/>
        <s v="06.077.0007" u="1"/>
        <s v="H710C435" u="1"/>
        <s v="JF-282" u="1"/>
        <s v="H710C445" u="1"/>
        <s v="01.025.0033" u="1"/>
        <s v="06.077.0008" u="1"/>
        <s v="06.175.0010" u="1"/>
        <s v="H710C455" u="1"/>
        <s v="04.001.0003" u="1"/>
        <s v="H710C465" u="1"/>
        <s v="CR-021" u="1"/>
        <s v="ALEN 5X30" u="1"/>
        <s v="01.025.0034" u="1"/>
        <s v="06.077.0009" u="1"/>
        <s v="EC-70602046780" u="1"/>
        <s v="H710C475" u="1"/>
        <s v="H710C509" u="1"/>
        <s v="H710C485" u="1"/>
        <s v="H710C519" u="1"/>
        <s v="01.025.0035" u="1"/>
        <s v="H710C495" u="1"/>
        <s v="H461B000" u="1"/>
        <s v="H710C529" u="1"/>
        <s v="H710C539" u="1"/>
        <s v="01.025.0036" u="1"/>
        <s v="06.177.0003" u="1"/>
        <s v="04.001.0006" u="1"/>
        <s v="H710C549" u="1"/>
        <s v="SH-P230/EC1" u="1"/>
        <s v="H710C559" u="1"/>
        <s v="01.025.0037" u="1"/>
        <s v="04.001.0007" u="1"/>
        <s v="H710C569" u="1"/>
        <s v="SH-20024-41210" u="1"/>
        <s v="H710C579" u="1"/>
        <s v="01.025.0038" u="1"/>
        <s v="04.001.0008" u="1"/>
        <s v="H710C589" u="1"/>
        <s v="SH-22155-97610" u="1"/>
        <s v="10.005.0001" u="1"/>
        <s v="H710C599" u="1"/>
        <s v="01.025.0039" u="1"/>
        <s v="06.177.0006" u="1"/>
        <s v="04.001.0009" u="1"/>
        <s v="06.100.0001" u="1"/>
        <s v="06.089.0010" u="1"/>
        <s v="06.100.0002" u="1"/>
        <s v="CR-999" u="1"/>
        <s v="10.005.0003" u="1"/>
        <s v="06.089.0011" u="1"/>
        <s v="H710C1008" u="1"/>
        <s v="H710C1108" u="1"/>
        <s v="10.005.0004" u="1"/>
        <s v="CR-121" u="1"/>
        <s v="06.089.0012" u="1"/>
        <s v="H710C1208" u="1"/>
        <s v="H710C1308" u="1"/>
        <s v="H710C302" u="1"/>
        <s v="H710C2020" u="1"/>
        <s v="H710C1408" u="1"/>
        <s v="H462B000" u="1"/>
        <s v="H710C312" u="1"/>
        <s v="H710C2120" u="1"/>
        <s v="H710C1508" u="1"/>
        <s v="H710C322" u="1"/>
        <s v="06.089.0014" u="1"/>
        <s v="H710C1608" u="1"/>
        <s v="H710C332" u="1"/>
        <s v="H710C1708" u="1"/>
        <s v="H710C342" u="1"/>
        <s v="H710C2048" u="1"/>
        <s v="01.019.0130" u="1"/>
        <s v="06.089.0015" u="1"/>
        <s v="H710C1808" u="1"/>
        <s v="EC-P022025180" u="1"/>
        <s v="SH-4573060" u="1"/>
        <s v="H710C352" u="1"/>
        <s v="H710C1908" u="1"/>
        <s v="SH-99909-34570" u="1"/>
        <s v="H710C362" u="1"/>
        <s v="01.019.0131" u="1"/>
        <s v="06.089.0016" u="1"/>
        <s v="06.014.0001" u="1"/>
        <s v="SH-4575060" u="1"/>
        <s v="H710C372" u="1"/>
        <s v="H710C406" u="1"/>
        <s v="H710C382" u="1"/>
        <s v="01.019.0132" u="1"/>
        <s v="H710C416" u="1"/>
        <s v="06.014.0002" u="1"/>
        <s v="06.200.0001" u="1"/>
        <s v="H710C392" u="1"/>
        <s v="H710C426" u="1"/>
        <s v="01.019.0133" u="1"/>
        <s v="06.089.0018" u="1"/>
        <s v="H710C436" u="1"/>
        <s v="SH-20035-75200" u="1"/>
        <s v="SH-20016-12120" u="1"/>
        <s v="H710C446" u="1"/>
        <s v="CR-035" u="1"/>
        <s v="01.019.0134" u="1"/>
        <s v="06.089.0019" u="1"/>
        <s v="SH-62035-32330" u="1"/>
        <s v="H710C456" u="1"/>
        <s v="SH-70210-15311" u="1"/>
        <s v="H710C466" u="1"/>
        <s v="EC-V107000080" u="1"/>
        <s v="H403B000" u="1"/>
        <s v="ALEN 5X40" u="1"/>
        <s v="01.019.0135" u="1"/>
        <s v="H710C476" u="1"/>
        <s v="06.014.0005" u="1"/>
        <s v="H710C486" u="1"/>
        <s v="EC-SRM 4300R" u="1"/>
        <s v="01.019.0136" u="1"/>
        <s v="H710C496" u="1"/>
        <s v="06.014.0006" u="1"/>
        <s v="SH-22150-51520" u="1"/>
        <s v="JF-033" u="1"/>
        <s v="01.019.0137" u="1"/>
        <s v="SH-18500-50102" u="1"/>
        <s v="06.014.0007" u="1"/>
        <s v="EC-A225000490" u="1"/>
        <s v="EC-12532508360" u="1"/>
        <s v="SH-20010-81771" u="1"/>
        <s v="SH-82002" u="1"/>
        <s v="01.019.0138" u="1"/>
        <s v="06.014.0008" u="1"/>
        <s v="06.110.0020" u="1"/>
        <s v="10.019.0001" u="1"/>
        <s v="01.019.0139" u="1"/>
        <s v="06.014.0009" u="1"/>
        <s v="06.110.0021" u="1"/>
        <s v="06.114.0001" u="1"/>
        <s v="SH-72547-91100" u="1"/>
        <s v="06.110.0022" u="1"/>
        <s v="06.114.0002" u="1"/>
        <s v="10.019.0003" u="1"/>
        <s v="06.110.0023" u="1"/>
        <s v="06.114.0003" u="1"/>
        <s v="H710C1018" u="1"/>
        <s v="06.110.0024" u="1"/>
        <s v="06.114.0004" u="1"/>
        <s v="H710C1118" u="1"/>
        <s v="H710C1218" u="1"/>
        <s v="06.110.0025" u="1"/>
        <s v="06.114.0005" u="1"/>
        <s v="H224B100" u="1"/>
        <s v="H710C1318" u="1"/>
        <s v="H710C303" u="1"/>
        <s v="H710C2030" u="1"/>
        <s v="SH-22175-82310" u="1"/>
        <s v="H710C1418" u="1"/>
        <s v="06.110.0026" u="1"/>
        <s v="06.114.0006" u="1"/>
        <s v="SH-20016-71200" u="1"/>
        <s v="H710C313" u="1"/>
        <s v="H710C1518" u="1"/>
        <s v="H710C323" u="1"/>
        <s v="EC-P022006910" u="1"/>
        <s v="H710C1618" u="1"/>
        <s v="04.003.0130" u="1"/>
        <s v="04.005.0120" u="1"/>
        <s v="06.026.0010" u="1"/>
        <s v="06.110.0027" u="1"/>
        <s v="06.114.0007" u="1"/>
        <s v="SH-20016-72200" u="1"/>
        <s v="H710C333" u="1"/>
        <s v="EC-90016205050" u="1"/>
        <s v="EC-A556000021" u="1"/>
        <s v="H710C1718" u="1"/>
        <s v="H710C343" u="1"/>
        <s v="H710C2058" u="1"/>
        <s v="H710C1818" u="1"/>
        <s v="04.003.0131" u="1"/>
        <s v="04.005.0121" u="1"/>
        <s v="06.026.0011" u="1"/>
        <s v="06.028.0001" u="1"/>
        <s v="06.110.0028" u="1"/>
        <s v="06.114.0008" u="1"/>
        <s v="EC-10101006211" u="1"/>
        <s v="01.002.0001" u="1"/>
        <s v="03.001.0001" u="1"/>
        <s v="H710C353" u="1"/>
        <s v="ZM-012" u="1"/>
        <s v="H710C1918" u="1"/>
        <s v="H710C363" u="1"/>
        <s v="T427B300" u="1"/>
        <s v="04.003.0132" u="1"/>
        <s v="04.005.0122" u="1"/>
        <s v="06.026.0012" u="1"/>
        <s v="06.028.0002" u="1"/>
        <s v="06.110.0029" u="1"/>
        <s v="06.114.0009" u="1"/>
        <s v="01.002.0002" u="1"/>
        <s v="03.001.0002" u="1"/>
        <s v="H710C373" u="1"/>
        <s v="H710C407" u="1"/>
        <s v="H710C383" u="1"/>
        <s v="H710C417" u="1"/>
        <s v="04.003.0133" u="1"/>
        <s v="04.005.0123" u="1"/>
        <s v="06.026.0013" u="1"/>
        <s v="06.028.0003" u="1"/>
        <s v="06.214.0002" u="1"/>
        <s v="01.002.0003" u="1"/>
        <s v="03.001.0003" u="1"/>
        <s v="H710C393" u="1"/>
        <s v="H710C427" u="1"/>
        <s v="CR-049" u="1"/>
        <s v="H710C437" u="1"/>
        <s v="04.003.0134" u="1"/>
        <s v="06.028.0004" u="1"/>
        <s v="H710C447" u="1"/>
        <s v="H710C457" u="1"/>
        <s v="04.003.0135" u="1"/>
        <s v="04.005.0125" u="1"/>
        <s v="03.001.0005" u="1"/>
        <s v="H710C467" u="1"/>
        <s v="H710C477" u="1"/>
        <s v="04.003.0136" u="1"/>
        <s v="04.005.0126" u="1"/>
        <s v="06.028.0006" u="1"/>
        <s v="03.001.0006" u="1"/>
        <s v="H710C487" u="1"/>
        <s v="H710C497" u="1"/>
        <s v="04.003.0137" u="1"/>
        <s v="04.005.0127" u="1"/>
        <s v="06.028.0007" u="1"/>
        <s v="03.001.0007" u="1"/>
        <s v="JF-233" u="1"/>
        <s v="04.003.0138" u="1"/>
        <s v="04.005.0128" u="1"/>
        <s v="SH-82003" u="1"/>
        <s v="04.003.0139" u="1"/>
        <s v="04.005.0129" u="1"/>
        <s v="06.128.0001" u="1"/>
        <s v="03.001.0009" u="1"/>
        <s v="SH-60035-98070" u="1"/>
        <s v="SH-22169-53120" u="1"/>
        <s v="06.042.0100" u="1"/>
        <s v="SH-20056-81740" u="1"/>
        <s v="H710C200" u="1"/>
        <s v="EC-A202000060" u="1"/>
        <s v="H710C1000" u="1"/>
        <s v="06.042.0101" u="1"/>
        <s v="06.062.0001" u="1"/>
        <s v="SH-90SG-033X" u="1"/>
        <s v="H710C210" u="1"/>
        <s v="H710C1100" u="1"/>
        <s v="H710C220" u="1"/>
        <s v="SH-70036-75100" u="1"/>
        <s v="H710C1200" u="1"/>
        <s v="06.042.0102" u="1"/>
        <s v="06.062.0002" u="1"/>
        <s v="H710C230" u="1"/>
        <s v="SH-09510" u="1"/>
        <s v="H710C1300" u="1"/>
        <s v="SH-4044231" u="1"/>
        <s v="H342B000" u="1"/>
        <s v="H352B000" u="1"/>
        <s v="H710C240" u="1"/>
        <s v="H710C1028" u="1"/>
        <s v="H710C1400" u="1"/>
        <s v="06.062.0003" u="1"/>
        <s v="H710C250" u="1"/>
        <s v="H710C1128" u="1"/>
        <s v="H710C1500" u="1"/>
        <s v="H710C260" u="1"/>
        <s v="H710C1228" u="1"/>
        <s v="H710C1600" u="1"/>
        <s v="06.062.0004" u="1"/>
        <s v="H710C270" u="1"/>
        <s v="H710C1328" u="1"/>
        <s v="EC-SHP 800" u="1"/>
        <s v="H710C1700" u="1"/>
        <s v="H710C304" u="1"/>
        <s v="H710C2040" u="1"/>
        <s v="EC-A411000031" u="1"/>
        <s v="H710C280" u="1"/>
        <s v="H710C1428" u="1"/>
        <s v="H710C1800" u="1"/>
        <s v="03.011.0020" u="1"/>
        <s v="06.062.0005" u="1"/>
        <s v="H710C314" u="1"/>
        <s v="H710C290" u="1"/>
        <s v="H710C1528" u="1"/>
        <s v="H710C1900" u="1"/>
        <s v="H710C324" u="1"/>
        <s v="H710C1628" u="1"/>
        <s v="01.016.0001" u="1"/>
        <s v="03.011.0021" u="1"/>
        <s v="03.013.0011" u="1"/>
        <s v="03.015.0001" u="1"/>
        <s v="06.062.0006" u="1"/>
        <s v="H710C334" u="1"/>
        <s v="JF-081" u="1"/>
        <s v="H710C1728" u="1"/>
        <s v="H710C344" u="1"/>
        <s v="H710C2068" u="1"/>
        <s v="EC-P021010574" u="1"/>
        <s v="H710C1828" u="1"/>
        <s v="01.016.0002" u="1"/>
        <s v="03.011.0022" u="1"/>
        <s v="03.015.0002" u="1"/>
        <s v="06.062.0007" u="1"/>
        <s v="H710C354" u="1"/>
        <s v="SH-90SG-039X" u="1"/>
        <s v="H710C1928" u="1"/>
        <s v="H710C364" u="1"/>
        <s v="ALEN 4X20" u="1"/>
        <s v="01.016.0003" u="1"/>
        <s v="03.011.0023" u="1"/>
        <s v="03.013.0013" u="1"/>
        <s v="03.015.0003" u="1"/>
        <s v="06.062.0008" u="1"/>
        <s v="H710C374" u="1"/>
        <s v="H710C408" u="1"/>
        <s v="H710C384" u="1"/>
        <s v="H710C418" u="1"/>
        <s v="H711C200" u="1"/>
        <s v="01.016.0004" u="1"/>
        <s v="03.011.0024" u="1"/>
        <s v="03.013.0014" u="1"/>
        <s v="03.015.0004" u="1"/>
        <s v="06.062.0009" u="1"/>
        <s v="06.162.0001" u="1"/>
        <s v="H710C394" u="1"/>
        <s v="H710C428" u="1"/>
        <s v="H710C438" u="1"/>
        <s v="01.016.0005" u="1"/>
        <s v="03.013.0015" u="1"/>
        <s v="03.015.0005" u="1"/>
        <s v="06.162.0002" u="1"/>
        <s v="H710C448" u="1"/>
        <s v="04.005.0091" u="1"/>
        <s v="71420544" u="1"/>
        <s v="H710C458" u="1"/>
        <s v="01.016.0006" u="1"/>
        <s v="03.013.0016" u="1"/>
        <s v="03.015.0006" u="1"/>
        <s v="H710C468" u="1"/>
        <s v="SH-62104-32321" u="1"/>
        <s v="SH-20011-35110" u="1"/>
        <s v="04.005.0092" u="1"/>
        <s v="H710C478" u="1"/>
        <s v="01.016.0007" u="1"/>
        <s v="03.013.0017" u="1"/>
        <s v="03.015.0007" u="1"/>
        <s v="H710C488" u="1"/>
        <s v="04.005.0093" u="1"/>
        <s v="H710C498" u="1"/>
        <s v="01.016.0008" u="1"/>
        <s v="03.011.0028" u="1"/>
        <s v="03.013.0018" u="1"/>
        <s v="03.015.0008" u="1"/>
        <s v="04.005.0094" u="1"/>
        <s v="01.016.0009" u="1"/>
        <s v="03.011.0029" u="1"/>
        <s v="03.015.0009" u="1"/>
        <s v="SH-72330-54651" u="1"/>
        <s v="04.005.0095" u="1"/>
        <s v="EC-CS 680S-50" u="1"/>
        <s v="06.072.0020" u="1"/>
        <s v="06.074.0010" u="1"/>
        <s v="04.005.0096" u="1"/>
        <s v="06.074.0011" u="1"/>
        <s v="06.076.0001" u="1"/>
        <s v="ZM-060" u="1"/>
        <s v="SH-20051-83900" u="1"/>
        <s v="04.005.0097" u="1"/>
        <s v="H710C201" u="1"/>
        <s v="H710C1010" u="1"/>
        <s v="06.074.0012" u="1"/>
        <s v="06.076.0002" u="1"/>
        <s v="H710C211" u="1"/>
        <s v="MY-1901-12" u="1"/>
        <s v="H710C1110" u="1"/>
        <s v="04.005.0098" u="1"/>
        <s v="H710C221" u="1"/>
        <s v="H710C1210" u="1"/>
        <s v="06.072.0023" u="1"/>
        <s v="06.074.0013" u="1"/>
        <s v="06.076.0003" u="1"/>
        <s v="H710C231" u="1"/>
        <s v="H710C1310" u="1"/>
        <s v="EC-C400000211" u="1"/>
        <s v="CR-097" u="1"/>
        <s v="04.005.0099" u="1"/>
        <s v="H710C241" u="1"/>
        <s v="H710C1038" u="1"/>
        <s v="H710C1410" u="1"/>
        <s v="06.072.0024" u="1"/>
        <s v="06.074.0014" u="1"/>
        <s v="06.076.0004" u="1"/>
        <s v="H364B000" u="1"/>
        <s v="H374B000" u="1"/>
        <s v="H710C251" u="1"/>
        <s v="H710C1138" u="1"/>
        <s v="H710C1510" u="1"/>
        <s v="H710C261" u="1"/>
        <s v="H710C1238" u="1"/>
        <s v="06.042.0070" u="1"/>
        <s v="H710C1610" u="1"/>
        <s v="01.028.0010" u="1"/>
        <s v="03.023.0030" u="1"/>
        <s v="06.072.0025" u="1"/>
        <s v="06.074.0015" u="1"/>
        <s v="06.076.0005" u="1"/>
        <s v="H710C271" u="1"/>
        <s v="H710C1338" u="1"/>
        <s v="H710C1710" u="1"/>
        <s v="H710C305" u="1"/>
        <s v="SH-4567930" u="1"/>
        <s v="H710C2050" u="1"/>
        <s v="H710C281" u="1"/>
        <s v="H710C1438" u="1"/>
        <s v="06.042.0071" u="1"/>
        <s v="H710C1810" u="1"/>
        <s v="01.028.0011" u="1"/>
        <s v="03.023.0031" u="1"/>
        <s v="06.074.0016" u="1"/>
        <s v="06.076.0006" u="1"/>
        <s v="H710C315" u="1"/>
        <s v="02.001.0001" u="1"/>
        <s v="EC-P022007160" u="1"/>
        <s v="H710C291" u="1"/>
        <s v="H710C1538" u="1"/>
        <s v="SH-70210-51100" u="1"/>
        <s v="H710C1910" u="1"/>
        <s v="H710C325" u="1"/>
        <s v="H710C1638" u="1"/>
        <s v="06.042.0072" u="1"/>
        <s v="01.028.0012" u="1"/>
        <s v="03.023.0032" u="1"/>
        <s v="06.074.0017" u="1"/>
        <s v="H710C335" u="1"/>
        <s v="02.001.0002" u="1"/>
        <s v="JF-281" u="1"/>
        <s v="H710C1738" u="1"/>
        <s v="H710C345" u="1"/>
        <s v="H710C2078" u="1"/>
        <s v="H710C1838" u="1"/>
        <s v="06.042.0073" u="1"/>
        <s v="01.028.0013" u="1"/>
        <s v="03.023.0033" u="1"/>
        <s v="06.072.0028" u="1"/>
        <s v="06.074.0018" u="1"/>
        <s v="06.174.0010" u="1"/>
        <s v="H710C355" u="1"/>
        <s v="02.001.0003" u="1"/>
        <s v="H710C1938" u="1"/>
        <s v="H710C365" u="1"/>
        <s v="EC-V471002660" u="1"/>
        <s v="CR-020" u="1"/>
        <s v="01.028.0014" u="1"/>
        <s v="03.023.0034" u="1"/>
        <s v="06.072.0029" u="1"/>
        <s v="06.074.0019" u="1"/>
        <s v="06.176.0001" u="1"/>
        <s v="SH-64112-66330" u="1"/>
        <s v="H710C375" u="1"/>
        <s v="02.001.0004" u="1"/>
        <s v="EC-P022007460" u="1"/>
        <s v="H710C409" u="1"/>
        <s v="SH-20010-12211" u="1"/>
        <s v="H710C385" u="1"/>
        <s v="H710C419" u="1"/>
        <s v="06.042.0075" u="1"/>
        <s v="01.028.0015" u="1"/>
        <s v="03.023.0035" u="1"/>
        <s v="06.176.0002" u="1"/>
        <s v="H710C395" u="1"/>
        <s v="02.001.0005" u="1"/>
        <s v="H710C429" u="1"/>
        <s v="SH-70210-15102" u="1"/>
        <s v="H315B000" u="1"/>
        <s v="H710C439" u="1"/>
        <s v="06.042.0076" u="1"/>
        <s v="H710H000" u="1"/>
        <s v="01.024.0036" u="1"/>
        <s v="01.028.0016" u="1"/>
        <s v="03.023.0036" u="1"/>
        <s v="H325B000" u="1"/>
        <s v="02.001.0006" u="1"/>
        <s v="H335B000" u="1"/>
        <s v="H710C449" u="1"/>
        <s v="H710C459" u="1"/>
        <s v="06.042.0077" u="1"/>
        <s v="01.024.0037" u="1"/>
        <s v="01.028.0017" u="1"/>
        <s v="03.023.0037" u="1"/>
        <s v="06.176.0004" u="1"/>
        <s v="02.001.0007" u="1"/>
        <s v="H710C469" u="1"/>
        <s v="H395B000" u="1"/>
        <s v="H710C479" u="1"/>
        <s v="06.042.0078" u="1"/>
        <s v="01.028.0018" u="1"/>
        <s v="03.023.0038" u="1"/>
        <s v="06.176.0005" u="1"/>
        <s v="02.001.0008" u="1"/>
        <s v="H710C489" u="1"/>
        <s v="10.004.0001" u="1"/>
        <s v="H710C499" u="1"/>
        <s v="06.042.0079" u="1"/>
        <s v="01.024.0039" u="1"/>
        <s v="03.023.0039" u="1"/>
        <s v="02.001.0009" u="1"/>
        <s v="SH-60035-98030" u="1"/>
        <s v="10.004.0002" u="1"/>
        <s v="EC-13001038330" u="1"/>
        <s v="06.080.0050" u="1"/>
        <s v="06.176.0007" u="1"/>
        <s v="10.004.0003" u="1"/>
        <s v="06.080.0051" u="1"/>
        <s v="06.088.0011" u="1"/>
        <s v="10.004.0004" u="1"/>
        <s v="EC-V358000130" u="1"/>
        <s v="CR-120" u="1"/>
        <s v="06.080.0052" u="1"/>
        <s v="06.088.0012" u="1"/>
        <s v="06.176.0009" u="1"/>
        <s v="EC-12312203660" u="1"/>
        <s v="EC-V353000430" u="1"/>
        <s v="10.004.0005" u="1"/>
        <s v="H710C202" u="1"/>
        <s v="H710C1020" u="1"/>
        <s v="06.080.0053" u="1"/>
        <s v="H710C212" u="1"/>
        <s v="H710C1120" u="1"/>
        <s v="H710C222" u="1"/>
        <s v="H711H000" u="1"/>
        <s v="H710C1220" u="1"/>
        <s v="06.080.0054" u="1"/>
        <s v="H710C232" u="1"/>
        <s v="T531B100" u="1"/>
        <s v="H710C1320" u="1"/>
        <s v="H710C242" u="1"/>
        <s v="H710C1048" u="1"/>
        <s v="H710C1420" u="1"/>
        <s v="01.018.0130" u="1"/>
        <s v="06.080.0055" u="1"/>
        <s v="SH-72080-13013" u="1"/>
        <s v="H710C252" u="1"/>
        <s v="H710C1148" u="1"/>
        <s v="H710C1520" u="1"/>
        <s v="SH-20000-96104" u="1"/>
        <s v="H710C262" u="1"/>
        <s v="H710C1248" u="1"/>
        <s v="H710C1620" u="1"/>
        <s v="01.018.0131" u="1"/>
        <s v="06.080.0056" u="1"/>
        <s v="06.013.0001" u="1"/>
        <s v="H710C272" u="1"/>
        <s v="H710C1348" u="1"/>
        <s v="H710C1720" u="1"/>
        <s v="H710C306" u="1"/>
        <s v="H710C2060" u="1"/>
        <s v="H710C282" u="1"/>
        <s v="H710C1448" u="1"/>
        <s v="H710C1820" u="1"/>
        <s v="01.018.0132" u="1"/>
        <s v="06.080.0057" u="1"/>
        <s v="H710C316" u="1"/>
        <s v="06.013.0002" u="1"/>
        <s v="SH-22169-57360" u="1"/>
        <s v="H710C292" u="1"/>
        <s v="H710C1548" u="1"/>
        <s v="H710C1920" u="1"/>
        <s v="H710C326" u="1"/>
        <s v="H710C1648" u="1"/>
        <s v="01.018.0133" u="1"/>
        <s v="06.080.0058" u="1"/>
        <s v="H710C336" u="1"/>
        <s v="H710C1748" u="1"/>
        <s v="H710C346" u="1"/>
        <s v="H710C2088" u="1"/>
        <s v="H710C1848" u="1"/>
        <s v="01.018.0134" u="1"/>
        <s v="06.080.0059" u="1"/>
        <s v="06.088.0019" u="1"/>
        <s v="H710C356" u="1"/>
        <s v="H710C1948" u="1"/>
        <s v="H710C366" u="1"/>
        <s v="EC-A200000870" u="1"/>
        <s v="01.018.0135" u="1"/>
        <s v="H710C376" u="1"/>
        <s v="H710C386" u="1"/>
        <s v="EC-DM6110-13" u="1"/>
        <s v="01.018.0136" u="1"/>
        <s v="H710C396" u="1"/>
        <s v="SH-1001101" u="1"/>
        <s v="01.018.0137" u="1"/>
        <s v="EC-17720241030" u="1"/>
        <s v="10.012.0030" u="1"/>
        <s v="10.014.0020" u="1"/>
        <s v="01.018.0138" u="1"/>
        <s v="10.014.0021" u="1"/>
        <s v="10.018.0001" u="1"/>
        <s v="01.018.0139" u="1"/>
        <s v="06.111.0011" u="1"/>
        <s v="06.113.0001" u="1"/>
        <s v="SH-22175-71110" u="1"/>
        <s v="10.014.0022" u="1"/>
        <s v="EC-V206000220" u="1"/>
        <s v="06.094.0050" u="1"/>
        <s v="10.014.0023" u="1"/>
        <s v="10.018.0003" u="1"/>
        <s v="EC-61031005730" u="1"/>
        <s v="06.094.0051" u="1"/>
        <s v="06.098.0031" u="1"/>
        <s v="06.111.0013" u="1"/>
        <s v="06.113.0003" u="1"/>
        <s v="10.014.0024" u="1"/>
        <s v="EC-V216000040" u="1"/>
        <s v="EC-V490000530" u="1"/>
        <s v="EC-CS 680S-60" u="1"/>
        <s v="06.098.0032" u="1"/>
        <s v="EC-CS 680S-60  " u="1"/>
        <s v="06.111.0014" u="1"/>
        <s v="06.113.0004" u="1"/>
        <s v="10.014.0025" u="1"/>
        <s v="06.094.0053" u="1"/>
        <s v="06.098.0033" u="1"/>
        <s v="CR-01001" u="1"/>
        <s v="06.113.0005" u="1"/>
        <s v="H224B000" u="1"/>
        <s v="SH-62083-81310" u="1"/>
        <s v="10.014.0026" u="1"/>
        <s v="H710C203" u="1"/>
        <s v="H710C1030" u="1"/>
        <s v="06.098.0034" u="1"/>
        <s v="06.113.0006" u="1"/>
        <s v="H710C213" u="1"/>
        <s v="H710C1130" u="1"/>
        <s v="H710C223" u="1"/>
        <s v="H710C1230" u="1"/>
        <s v="06.094.0055" u="1"/>
        <s v="04.008.0100" u="1"/>
        <s v="06.025.0010" u="1"/>
        <s v="06.113.0007" u="1"/>
        <s v="H710C233" u="1"/>
        <s v="H710C1330" u="1"/>
        <s v="H710C243" u="1"/>
        <s v="H710C1058" u="1"/>
        <s v="H710C1430" u="1"/>
        <s v="06.098.0036" u="1"/>
        <s v="04.008.0101" u="1"/>
        <s v="06.025.0011" u="1"/>
        <s v="06.027.0001" u="1"/>
        <s v="06.113.0008" u="1"/>
        <s v="01.001.0001" u="1"/>
        <s v="H710C253" u="1"/>
        <s v="H710C1158" u="1"/>
        <s v="ZM-011" u="1"/>
        <s v="H710C1530" u="1"/>
        <s v="H710C263" u="1"/>
        <s v="H710C1258" u="1"/>
        <s v="H710C1630" u="1"/>
        <s v="04.008.0102" u="1"/>
        <s v="06.025.0012" u="1"/>
        <s v="06.027.0002" u="1"/>
        <s v="06.113.0009" u="1"/>
        <s v="06.213.0001" u="1"/>
        <s v="01.001.0002" u="1"/>
        <s v="SH-22169-82310" u="1"/>
        <s v="H710C273" u="1"/>
        <s v="H710C1358" u="1"/>
        <s v="H710C1730" u="1"/>
        <s v="H710C307" u="1"/>
        <s v="H710C2070" u="1"/>
        <s v="SH-22175-82510" u="1"/>
        <s v="H710C283" u="1"/>
        <s v="H710C1458" u="1"/>
        <s v="H710C1830" u="1"/>
        <s v="H710C317" u="1"/>
        <s v="04.008.0103" u="1"/>
        <s v="06.027.0003" u="1"/>
        <s v="H710C293" u="1"/>
        <s v="H710C1558" u="1"/>
        <s v="EC-17721535632" u="1"/>
        <s v="H710C1930" u="1"/>
        <s v="H710C327" u="1"/>
        <s v="SH-02432-26120" u="1"/>
        <s v="CR-048" u="1"/>
        <s v="H710C1658" u="1"/>
        <s v="06.094.0059" u="1"/>
        <s v="H710C337" u="1"/>
        <s v="04.008.0104" u="1"/>
        <s v="06.027.0004" u="1"/>
        <s v="EC-A057000011" u="1"/>
        <s v="H710C1758" u="1"/>
        <s v="H710C347" u="1"/>
        <s v="H710C2098" u="1"/>
        <s v="H710C1858" u="1"/>
        <s v="H710C357" u="1"/>
        <s v="04.008.0105" u="1"/>
        <s v="06.027.0005" u="1"/>
        <s v="H710C1958" u="1"/>
        <s v="H710C367" u="1"/>
        <s v="SH-02432-28120" u="1"/>
        <s v="H710C377" u="1"/>
        <s v="04.008.0106" u="1"/>
        <s v="06.027.0006" u="1"/>
        <s v="H710C387" u="1"/>
        <s v="H710C397" u="1"/>
        <s v="06.027.0007" u="1"/>
        <s v="JF-232" u="1"/>
        <s v="06.027.0008" u="1"/>
        <s v="13.002.0001" u="1"/>
        <s v="06.027.0009" u="1"/>
        <s v="06.127.0001" u="1"/>
        <s v="06.127.0002" u="1"/>
        <s v="SH-22150-52411" u="1"/>
        <s v="EC-V352000140" u="1"/>
        <s v="13.002.0003" u="1"/>
        <s v="06.127.0003" u="1"/>
        <s v="06.061.0001" u="1"/>
        <s v="13.002.0004" u="1"/>
        <s v="06.127.0004" u="1"/>
        <s v="06.061.0002" u="1"/>
        <s v="EC-C535000001" u="1"/>
        <s v="06.127.0005" u="1"/>
        <s v="06.061.0003" u="1"/>
        <s v="CR-082" u="1"/>
        <s v="06.127.0006" u="1"/>
        <s v="SH-20087-81531" u="1"/>
        <s v="06.061.0004" u="1"/>
        <s v="SH-22169-52460" u="1"/>
        <s v="H710C204" u="1"/>
        <s v="H710C1040" u="1"/>
        <s v="06.033.0040" u="1"/>
        <s v="06.127.0007" u="1"/>
        <s v="01.011.0020" u="1"/>
        <s v="06.061.0005" u="1"/>
        <s v="EC-43101330831" u="1"/>
        <s v="H710C214" u="1"/>
        <s v="H710C1140" u="1"/>
        <s v="SH-82067" u="1"/>
        <s v="13.002.0008" u="1"/>
        <s v="H710C224" u="1"/>
        <s v="EC-A202000180" u="1"/>
        <s v="H710C1240" u="1"/>
        <s v="06.033.0041" u="1"/>
        <s v="06.127.0008" u="1"/>
        <s v="01.011.0021" u="1"/>
        <s v="03.012.0011" u="1"/>
        <s v="03.014.0001" u="1"/>
        <s v="06.061.0006" u="1"/>
        <s v="H710C234" u="1"/>
        <s v="H710C1340" u="1"/>
        <s v="JF-080" u="1"/>
        <s v="SH-20010-86130" u="1"/>
        <s v="SH-72447-13121" u="1"/>
        <s v="13.002.0009" u="1"/>
        <s v="H710C244" u="1"/>
        <s v="H710C1068" u="1"/>
        <s v="H710C1440" u="1"/>
        <s v="06.127.0009" u="1"/>
        <s v="SH-09026-03001" u="1"/>
        <s v="01.011.0022" u="1"/>
        <s v="01.013.0012" u="1"/>
        <s v="01.015.0002" u="1"/>
        <s v="06.061.0007" u="1"/>
        <s v="H710C254" u="1"/>
        <s v="H710C1168" u="1"/>
        <s v="H710C1540" u="1"/>
        <s v="H710C264" u="1"/>
        <s v="H710C1268" u="1"/>
        <s v="H710C1640" u="1"/>
        <s v="EC-13030747533" u="1"/>
        <s v="SH-09026-04001" u="1"/>
        <s v="01.011.0023" u="1"/>
        <s v="01.013.0013" u="1"/>
        <s v="H710C274" u="1"/>
        <s v="H710C1368" u="1"/>
        <s v="H710C1740" u="1"/>
        <s v="H710C308" u="1"/>
        <s v="H710C2080" u="1"/>
        <s v="H710C284" u="1"/>
        <s v="H710C1468" u="1"/>
        <s v="H710C1840" u="1"/>
        <s v="H710C318" u="1"/>
        <s v="01.011.0024" u="1"/>
        <s v="01.013.0014" u="1"/>
        <s v="03.014.0004" u="1"/>
        <s v="05.013.0004" u="1"/>
        <s v="06.061.0009" u="1"/>
        <s v="06.161.0001" u="1"/>
        <s v="H521C200" u="1"/>
        <s v="H710C294" u="1"/>
        <s v="H710C1568" u="1"/>
        <s v="H710C1940" u="1"/>
        <s v="H710C328" u="1"/>
        <s v="H710C1668" u="1"/>
        <s v="SH-4530130" u="1"/>
        <s v="04.008.0070" u="1"/>
        <s v="H710C338" u="1"/>
        <s v="01.011.0025" u="1"/>
        <s v="01.013.0015" u="1"/>
        <s v="06.161.0002" u="1"/>
        <s v="H710C1768" u="1"/>
        <s v="H710C348" u="1"/>
        <s v="H710C1868" u="1"/>
        <s v="EC-10001110530" u="1"/>
        <s v="H710C358" u="1"/>
        <s v="01.011.0026" u="1"/>
        <s v="01.013.0016" u="1"/>
        <s v="06.161.0003" u="1"/>
        <s v="H710C1968" u="1"/>
        <s v="H710C368" u="1"/>
        <s v="04.008.0072" u="1"/>
        <s v="H710C378" u="1"/>
        <s v="01.011.0027" u="1"/>
        <s v="01.013.0017" u="1"/>
        <s v="06.161.0004" u="1"/>
        <s v="EC-61031421231" u="1"/>
        <s v="H710C388" u="1"/>
        <s v="04.008.0073" u="1"/>
        <s v="H710C398" u="1"/>
        <s v="06.133.0040" u="1"/>
        <s v="01.011.0028" u="1"/>
        <s v="01.013.0018" u="1"/>
        <s v="03.012.0018" u="1"/>
        <s v="06.161.0005" u="1"/>
        <s v="EC-12420013220" u="1"/>
        <s v="EC-35110247530" u="1"/>
        <s v="04.008.0074" u="1"/>
        <s v="EC-17504606230" u="1"/>
        <s v="06.133.0041" u="1"/>
        <s v="01.011.0029" u="1"/>
        <s v="01.013.0019" u="1"/>
        <s v="03.012.0019" u="1"/>
        <s v="04.008.0075" u="1"/>
        <s v="06.133.0042" u="1"/>
        <s v="EC-V430002900" u="1"/>
        <s v="06.073.0010" u="1"/>
        <s v="06.161.0007" u="1"/>
        <s v="04.008.0076" u="1"/>
        <s v="06.073.0011" u="1"/>
        <s v="06.075.0001" u="1"/>
        <s v="EC-V206000230" u="1"/>
        <s v="04.008.0077" u="1"/>
        <s v="06.133.0044" u="1"/>
        <s v="06.073.0012" u="1"/>
        <s v="06.075.0002" u="1"/>
        <s v="H522C200" u="1"/>
        <s v="EC-P021005900" u="1"/>
        <s v="04.008.0078" u="1"/>
        <s v="SH-62035-81310" u="1"/>
        <s v="06.133.0045" u="1"/>
        <s v="06.073.0013" u="1"/>
        <s v="06.075.0003" u="1"/>
        <s v="EC-C482000070" u="1"/>
        <s v="CR-096" u="1"/>
        <s v="04.008.0079" u="1"/>
        <s v="06.133.0046" u="1"/>
        <s v="06.075.0004" u="1"/>
        <s v="SH-22160-33821" u="1"/>
        <s v="SH-64007-64253" u="1"/>
        <s v="SH-9720135" u="1"/>
        <s v="06.133.0047" u="1"/>
        <s v="01.025.0020" u="1"/>
        <s v="01.027.0010" u="1"/>
        <s v="03.022.0030" u="1"/>
        <s v="06.075.0005" u="1"/>
        <s v="H710C205" u="1"/>
        <s v="H710C1050" u="1"/>
        <s v="06.133.0048" u="1"/>
        <s v="01.025.0021" u="1"/>
        <s v="01.027.0011" u="1"/>
        <s v="01.029.0001" u="1"/>
        <s v="03.022.0031" u="1"/>
        <s v="06.075.0006" u="1"/>
        <s v="H710C215" u="1"/>
        <s v="H710C1150" u="1"/>
        <s v="SH-70051-31210" u="1"/>
        <s v="H710C225" u="1"/>
        <s v="H710C1250" u="1"/>
        <s v="06.133.0049" u="1"/>
        <s v="01.025.0022" u="1"/>
        <s v="01.027.0012" u="1"/>
        <s v="01.029.0002" u="1"/>
        <s v="03.022.0032" u="1"/>
        <s v="06.075.0007" u="1"/>
        <s v="H710C235" u="1"/>
        <s v="EC-15660112920" u="1"/>
        <s v="H710C1350" u="1"/>
        <s v="JF-280" u="1"/>
        <s v="H710C245" u="1"/>
        <s v="H710C1078" u="1"/>
        <s v="SH-88102" u="1"/>
        <s v="H710C1450" u="1"/>
        <s v="01.025.0023" u="1"/>
        <s v="01.027.0013" u="1"/>
        <s v="01.029.0003" u="1"/>
        <s v="03.022.0033" u="1"/>
        <s v="06.075.0008" u="1"/>
        <s v="06.173.0010" u="1"/>
        <s v="H710C255" u="1"/>
        <s v="H710C1178" u="1"/>
        <s v="H710C1550" u="1"/>
        <s v="H710C265" u="1"/>
        <s v="H710C1278" u="1"/>
        <s v="H710C1650" u="1"/>
        <s v="01.027.0014" u="1"/>
        <s v="01.029.0004" u="1"/>
        <s v="03.022.0034" u="1"/>
        <s v="06.075.0009" u="1"/>
        <s v="06.173.0011" u="1"/>
        <s v="06.175.0001" u="1"/>
        <s v="H710C275" u="1"/>
        <s v="H710C1378" u="1"/>
        <s v="H710C1750" u="1"/>
        <s v="H710C309" u="1"/>
        <s v="H710C2090" u="1"/>
        <s v="H710C285" u="1"/>
        <s v="H710C1478" u="1"/>
        <s v="H710C1850" u="1"/>
        <s v="H710C319" u="1"/>
        <s v="01.029.0005" u="1"/>
        <s v="03.022.0035" u="1"/>
        <s v="06.173.0012" u="1"/>
        <s v="H523C200" u="1"/>
        <s v="H710C295" u="1"/>
        <s v="H710C1578" u="1"/>
        <s v="H710C1950" u="1"/>
        <s v="H710C329" u="1"/>
        <s v="H710C1678" u="1"/>
        <s v="H710C339" u="1"/>
        <s v="01.029.0006" u="1"/>
        <s v="03.022.0036" u="1"/>
        <s v="H710C1778" u="1"/>
        <s v="H710C349" u="1"/>
        <s v="H710C1878" u="1"/>
        <s v="H710C359" u="1"/>
        <s v="01.025.0027" u="1"/>
        <s v="03.022.0037" u="1"/>
        <s v="06.175.0004" u="1"/>
        <s v="H710C1978" u="1"/>
        <s v="H710C369" u="1"/>
        <s v="H710C379" u="1"/>
        <s v="01.025.0028" u="1"/>
        <s v="03.022.0038" u="1"/>
        <s v="06.175.0005" u="1"/>
        <s v="H710C389" u="1"/>
        <s v="10.003.0001" u="1"/>
        <s v="14.001.0001" u="1"/>
        <s v="SH-72231-54511" u="1"/>
        <s v="H710C399" u="1"/>
        <s v="01.025.0029" u="1"/>
        <s v="03.022.0039" u="1"/>
        <s v="06.175.0006" u="1"/>
        <s v="TB-1715538" u="1"/>
        <s v="10.003.0002" u="1"/>
        <s v="14.001.0002" u="1"/>
        <s v="06.175.0007" u="1"/>
        <s v="EC-V347000030" u="1"/>
        <s v="OT-02002-06001" u="1"/>
        <s v="10.003.0003" u="1"/>
        <s v="14.001.0003" u="1"/>
        <s v="EC-12437455430" u="1"/>
        <s v="06.089.0001" u="1"/>
        <s v="06.175.0008" u="1"/>
        <s v="SH-20011-35141" u="1"/>
        <s v="H450C200" u="1"/>
        <s v="06.089.0002" u="1"/>
        <s v="06.175.0009" u="1"/>
        <s v="06.089.0003" u="1"/>
        <s v="EC-15660106211" u="1"/>
        <s v="SH-70103-86130" u="1"/>
        <s v="06.089.0004" u="1"/>
        <s v="01.019.0120" u="1"/>
        <s v="06.089.0005" u="1"/>
        <s v="01.019.0121" u="1"/>
        <s v="06.089.0006" u="1"/>
        <s v="06.012.0001" u="1"/>
        <s v="H710C206" u="1"/>
        <s v="H710C1060" u="1"/>
        <s v="SH-99909-4" u="1"/>
        <s v="06.089.0007" u="1"/>
        <s v="H710C216" u="1"/>
        <s v="06.012.0002" u="1"/>
        <s v="H710C1160" u="1"/>
        <s v="H710C226" u="1"/>
        <s v="H710C1260" u="1"/>
        <s v="06.089.0008" u="1"/>
        <s v="H710C236" u="1"/>
        <s v="H710C1360" u="1"/>
        <s v="H710C246" u="1"/>
        <s v="H710C1088" u="1"/>
        <s v="H710C1460" u="1"/>
        <s v="CR-033" u="1"/>
        <s v="06.089.0009" u="1"/>
        <s v="06.189.0001" u="1"/>
        <s v="H710C256" u="1"/>
        <s v="H710C1188" u="1"/>
        <s v="H710C1560" u="1"/>
        <s v="H710C266" u="1"/>
        <s v="H710C1288" u="1"/>
        <s v="H710C1660" u="1"/>
        <s v="03.008.0070" u="1"/>
        <s v="H451C200" u="1"/>
        <s v="01.019.0125" u="1"/>
        <s v="H710C276" u="1"/>
        <s v="H710C1388" u="1"/>
        <s v="H710C1760" u="1"/>
        <s v="H710C286" u="1"/>
        <s v="H710C1488" u="1"/>
        <s v="H710C1860" u="1"/>
        <s v="03.008.0071" u="1"/>
        <s v="SH-20010-71631" u="1"/>
        <s v="01.019.0126" u="1"/>
        <s v="H710C296" u="1"/>
        <s v="H710C1588" u="1"/>
        <s v="H710C2003" u="1"/>
        <s v="H710C1960" u="1"/>
        <s v="JF-031" u="1"/>
        <s v="H710C1688" u="1"/>
        <s v="H710C2103" u="1"/>
        <s v="SH-22169-15170" u="1"/>
        <s v="03.008.0072" u="1"/>
        <s v="01.019.0127" u="1"/>
        <s v="H710C1788" u="1"/>
        <s v="EC-CS-420-45EU" u="1"/>
        <s v="H710C1888" u="1"/>
        <s v="SH-22155-21630" u="1"/>
        <s v="03.008.0073" u="1"/>
        <s v="01.019.0128" u="1"/>
        <s v="H710C1988" u="1"/>
        <s v="06.110.0010" u="1"/>
        <s v="10.017.0001" u="1"/>
        <s v="03.008.0074" u="1"/>
        <s v="EC-69922956830" u="1"/>
        <s v="01.019.0129" u="1"/>
        <s v="06.110.0011" u="1"/>
        <s v="06.112.0001" u="1"/>
        <s v="EC-P021005410" u="1"/>
        <s v="03.008.0075" u="1"/>
        <s v="06.110.0012" u="1"/>
        <s v="06.112.0002" u="1"/>
        <s v="OT-2356" u="1"/>
        <s v="06.110.0013" u="1"/>
        <s v="SH-62035-75010" u="1"/>
        <s v="EC-V430002910" u="1"/>
        <s v="06.110.0014" u="1"/>
        <s v="06.110.0015" u="1"/>
        <s v="06.110.0016" u="1"/>
        <s v="SH-60035-98061" u="1"/>
        <s v="SH-22169-53111" u="1"/>
        <s v="04.003.0120" u="1"/>
        <s v="04.005.0110" u="1"/>
        <s v="06.110.0017" u="1"/>
        <s v="04.003.0121" u="1"/>
        <s v="06.026.0001" u="1"/>
        <s v="06.110.0018" u="1"/>
        <s v="06.210.0010" u="1"/>
        <s v="ZM-010" u="1"/>
        <s v="SH-22169-15113" u="1"/>
        <s v="04.003.0122" u="1"/>
        <s v="06.110.0019" u="1"/>
        <s v="06.210.0011" u="1"/>
        <s v="06.212.0001" u="1"/>
        <s v="EC-PPT-2400EUS" u="1"/>
        <s v="H710C207" u="1"/>
        <s v="H710C1070" u="1"/>
        <s v="H710C217" u="1"/>
        <s v="04.003.0123" u="1"/>
        <s v="04.005.0113" u="1"/>
        <s v="06.026.0003" u="1"/>
        <s v="06.210.0012" u="1"/>
        <s v="06.212.0002" u="1"/>
        <s v="H710C1170" u="1"/>
        <s v="H710C227" u="1"/>
        <s v="H710C1270" u="1"/>
        <s v="H710C237" u="1"/>
        <s v="04.003.0124" u="1"/>
        <s v="04.005.0114" u="1"/>
        <s v="06.210.0013" u="1"/>
        <s v="H710C1370" u="1"/>
        <s v="H710C247" u="1"/>
        <s v="H710C1098" u="1"/>
        <s v="EC-V225000180" u="1"/>
        <s v="H710C1470" u="1"/>
        <s v="01.019.0090" u="1"/>
        <s v="H710C257" u="1"/>
        <s v="H710C1198" u="1"/>
        <s v="04.003.0125" u="1"/>
        <s v="04.005.0115" u="1"/>
        <s v="06.026.0005" u="1"/>
        <s v="H710C1570" u="1"/>
        <s v="H710C267" u="1"/>
        <s v="H710C1298" u="1"/>
        <s v="H710C1670" u="1"/>
        <s v="01.019.0091" u="1"/>
        <s v="H453C200" u="1"/>
        <s v="EC-P022007090" u="1"/>
        <s v="H710C277" u="1"/>
        <s v="H710C1398" u="1"/>
        <s v="04.003.0126" u="1"/>
        <s v="04.005.0116" u="1"/>
        <s v="06.026.0006" u="1"/>
        <s v="H710C1770" u="1"/>
        <s v="T420B000" u="1"/>
        <s v="H710C287" u="1"/>
        <s v="H710C1498" u="1"/>
        <s v="H710C1870" u="1"/>
        <s v="01.019.0092" u="1"/>
        <s v="H710C297" u="1"/>
        <s v="H710C1598" u="1"/>
        <s v="H710C2013" u="1"/>
        <s v="04.003.0127" u="1"/>
        <s v="04.005.0117" u="1"/>
        <s v="06.026.0007" u="1"/>
        <s v="H710C1970" u="1"/>
        <s v="H710C1698" u="1"/>
        <s v="H710C2113" u="1"/>
        <s v="SH-22000-12413" u="1"/>
        <s v="01.019.0093" u="1"/>
        <s v="H710C1798" u="1"/>
        <s v="04.003.0128" u="1"/>
        <s v="04.005.0118" u="1"/>
        <s v="06.026.0008" u="1"/>
        <s v="06.124.0010" u="1"/>
        <s v="H710C1898" u="1"/>
        <s v="01.019.0094" u="1"/>
        <s v="H710C1998" u="1"/>
        <s v="04.003.0129" u="1"/>
        <s v="04.005.0119" u="1"/>
        <s v="06.026.0009" u="1"/>
        <s v="06.126.0001" u="1"/>
        <s v="01.019.0095" u="1"/>
        <s v="SH-20016-12211" u="1"/>
        <s v="01.019.0096" u="1"/>
        <s v="06.060.0001" u="1"/>
        <s v="01.019.0097" u="1"/>
        <s v="06.124.0014" u="1"/>
        <s v="SH-A226000650" u="1"/>
        <s v="06.060.0002" u="1"/>
        <s v="EC-10024255430" u="1"/>
        <s v="01.019.0098" u="1"/>
        <s v="06.124.0015" u="1"/>
        <s v="06.060.0003" u="1"/>
        <s v="01.019.0099" u="1"/>
        <s v="CR-081" u="1"/>
        <s v="T411B000" u="1"/>
        <s v="SH-20000-81330" u="1"/>
        <s v="SH-22015-13270" u="1"/>
        <s v="SH-20140-75130" u="1"/>
        <s v="SH-33SL0-72X" u="1"/>
        <s v="H710C208" u="1"/>
        <s v="H710C1080" u="1"/>
        <s v="H511C100" u="1"/>
        <s v="H710C218" u="1"/>
        <s v="H710C1180" u="1"/>
        <s v="03.013.0004" u="1"/>
        <s v="SH-88051" u="1"/>
        <s v="H710C228" u="1"/>
        <s v="H710C1280" u="1"/>
        <s v="04.005.0080" u="1"/>
        <s v="H710C238" u="1"/>
        <s v="06.036.0025" u="1"/>
        <s v="H710C1380" u="1"/>
        <s v="03.013.0005" u="1"/>
        <s v="06.160.0002" u="1"/>
        <s v="H710C248" u="1"/>
        <s v="H710C1480" u="1"/>
        <s v="04.003.0091" u="1"/>
        <s v="04.005.0081" u="1"/>
        <s v="H710C258" u="1"/>
        <s v="H710C1580" u="1"/>
        <s v="06.160.0003" u="1"/>
        <s v="H710C268" u="1"/>
        <s v="H710C1680" u="1"/>
        <s v="04.003.0092" u="1"/>
        <s v="04.005.0082" u="1"/>
        <s v="H710C278" u="1"/>
        <s v="H710C1780" u="1"/>
        <s v="03.011.0017" u="1"/>
        <s v="06.160.0004" u="1"/>
        <s v="H710C288" u="1"/>
        <s v="H710C1880" u="1"/>
        <s v="04.003.0093" u="1"/>
        <s v="SH-20010-716310" u="1"/>
        <s v="H710C298" u="1"/>
        <s v="H710C2023" u="1"/>
        <s v="H710C1980" u="1"/>
        <s v="03.011.0018" u="1"/>
        <s v="06.160.0005" u="1"/>
        <s v="H710C2123" u="1"/>
        <s v="04.003.0094" u="1"/>
        <s v="04.005.0084" u="1"/>
        <s v="03.011.0019" u="1"/>
        <s v="06.160.0006" u="1"/>
        <s v="SH-62035-71110" u="1"/>
        <s v="04.003.0095" u="1"/>
        <s v="04.005.0085" u="1"/>
        <s v="06.160.0007" u="1"/>
        <s v="SH-62035-32112" u="1"/>
        <s v="04.003.0096" u="1"/>
        <s v="04.005.0086" u="1"/>
        <s v="06.074.0001" u="1"/>
        <s v="EC-P021005420" u="1"/>
        <s v="04.003.0097" u="1"/>
        <s v="04.005.0087" u="1"/>
        <s v="H512C100" u="1"/>
        <s v="06.072.0012" u="1"/>
        <s v="06.074.0002" u="1"/>
        <s v="04.003.0098" u="1"/>
        <s v="04.005.0088" u="1"/>
        <s v="06.072.0013" u="1"/>
        <s v="06.074.0003" u="1"/>
        <s v="EC-12412215310" u="1"/>
        <s v="SH-20087-31210" u="1"/>
        <s v="SH-73DP-84X" u="1"/>
        <s v="CR-095" u="1"/>
        <s v="04.003.0099" u="1"/>
        <s v="04.005.0089" u="1"/>
        <s v="06.072.0014" u="1"/>
        <s v="06.074.0004" u="1"/>
        <s v="06.042.0060" u="1"/>
        <s v="03.023.0020" u="1"/>
        <s v="06.072.0015" u="1"/>
        <s v="06.074.0005" u="1"/>
        <s v="06.042.0061" u="1"/>
        <s v="01.028.0001" u="1"/>
        <s v="03.023.0021" u="1"/>
        <s v="05.026.0001" u="1"/>
        <s v="06.072.0016" u="1"/>
        <s v="06.074.0006" u="1"/>
        <s v="06.042.0062" u="1"/>
        <s v="01.028.0002" u="1"/>
        <s v="03.023.0022" u="1"/>
        <s v="06.072.0017" u="1"/>
        <s v="06.074.0007" u="1"/>
        <s v="SH-22155-75410" u="1"/>
        <s v="150220102453393" u="1"/>
        <s v="01.028.0003" u="1"/>
        <s v="03.023.0023" u="1"/>
        <s v="06.072.0018" u="1"/>
        <s v="06.074.0008" u="1"/>
        <s v="SH-72017-13013" u="1"/>
        <s v="06.042.0064" u="1"/>
        <s v="EC-13030039730" u="1"/>
        <s v="01.028.0004" u="1"/>
        <s v="03.023.0024" u="1"/>
        <s v="06.072.0019" u="1"/>
        <s v="06.074.0009" u="1"/>
        <s v="SH-62035-41120" u="1"/>
        <s v="H710C209" u="1"/>
        <s v="H710C1090" u="1"/>
        <s v="H710C219" u="1"/>
        <s v="06.042.0065" u="1"/>
        <s v="H710C1190" u="1"/>
        <s v="01.028.0005" u="1"/>
        <s v="03.023.0025" u="1"/>
        <s v="06.174.0002" u="1"/>
        <s v="H710C229" u="1"/>
        <s v="H710C1290" u="1"/>
        <s v="H710C239" u="1"/>
        <s v="06.042.0066" u="1"/>
        <s v="H710C1390" u="1"/>
        <s v="01.024.0026" u="1"/>
        <s v="03.023.0026" u="1"/>
        <s v="H710C249" u="1"/>
        <s v="H710C1490" u="1"/>
        <s v="H710C259" u="1"/>
        <s v="H710C1590" u="1"/>
        <s v="01.024.0027" u="1"/>
        <s v="01.028.0007" u="1"/>
        <s v="03.023.0027" u="1"/>
        <s v="H710C269" u="1"/>
        <s v="H710C1690" u="1"/>
        <s v="H710C279" u="1"/>
        <s v="06.042.0068" u="1"/>
        <s v="H710C1790" u="1"/>
        <s v="01.024.0028" u="1"/>
        <s v="01.028.0008" u="1"/>
        <s v="03.023.0028" u="1"/>
        <s v="T424B000" u="1"/>
        <s v="EC-22169-53310" u="1"/>
        <s v="H710C289" u="1"/>
        <s v="H710C1890" u="1"/>
        <s v="10.002.0001" u="1"/>
        <s v="12.001.0001" u="1"/>
        <s v="H710C299" u="1"/>
        <s v="H710C2033" u="1"/>
        <s v="06.042.0069" u="1"/>
        <s v="H710C1990" u="1"/>
        <s v="01.028.0009" u="1"/>
        <s v="03.023.0029" u="1"/>
        <s v="10.002.0002" u="1"/>
        <s v="06.080.0040" u="1"/>
        <s v="06.174.0007" u="1"/>
        <s v="SH-22000-13513" u="1"/>
        <s v="10.002.0003" u="1"/>
        <s v="06.080.0041" u="1"/>
        <s v="06.174.0008" u="1"/>
        <s v="SH-4534630" u="1"/>
        <s v="EC-P021023260" u="1"/>
        <s v="06.080.0042" u="1"/>
        <s v="06.088.0002" u="1"/>
        <s v="06.174.0009" u="1"/>
        <s v="06.080.0043" u="1"/>
        <s v="06.088.0003" u="1"/>
        <s v="110126171246694" u="1"/>
        <s v="06.080.0044" u="1"/>
        <s v="06.086.0014" u="1"/>
        <s v="06.088.0004" u="1"/>
        <s v="EC-12318139130" u="1"/>
        <s v="EC-X405000001" u="1"/>
        <s v="01.018.0120" u="1"/>
        <s v="06.080.0045" u="1"/>
        <s v="06.086.0015" u="1"/>
        <s v="06.088.0005" u="1"/>
        <s v="04.010.0010" u="1"/>
        <s v="SH-22015-13230" u="1"/>
        <s v="SH-20011-81021" u="1"/>
        <s v="EC-A570000200" u="1"/>
        <s v="01.018.0121" u="1"/>
        <s v="06.080.0046" u="1"/>
        <s v="06.086.0016" u="1"/>
        <s v="06.088.0006" u="1"/>
        <s v="SH-20021-81021" u="1"/>
        <s v="06.011.0001" u="1"/>
        <s v="01.018.0122" u="1"/>
        <s v="06.080.0047" u="1"/>
        <s v="06.011.0002" u="1"/>
        <s v="SH-4550460" u="1"/>
        <s v="01.018.0123" u="1"/>
        <s v="06.080.0048" u="1"/>
        <s v="06.011.0003" u="1"/>
        <s v="10SW5008N" u="1"/>
        <s v="SH-20040-81430" u="1"/>
        <s v="CR-032" u="1"/>
        <s v="01.018.0124" u="1"/>
        <s v="06.080.0049" u="1"/>
        <s v="06.088.0009" u="1"/>
        <s v="01.018.0125" u="1"/>
        <s v="06.188.0002" u="1"/>
        <s v="06.011.0005" u="1"/>
        <s v="SH-20112-81530" u="1"/>
        <s v="01.018.0126" u="1"/>
        <s v="06.188.0003" u="1"/>
        <s v="EC-A051002010" u="1"/>
        <s v="H710C1003" u="1"/>
        <s v="JF-030" u="1"/>
        <s v="H710C1103" u="1"/>
        <s v="SH-62035-85341" u="1"/>
        <s v="SH-72441-16003" u="1"/>
        <s v="01.018.0127" u="1"/>
        <s v="06.188.0004" u="1"/>
        <s v="H710C1203" u="1"/>
        <s v="H710C1303" u="1"/>
        <s v="10.012.0020" u="1"/>
        <s v="10.014.0010" u="1"/>
        <s v="SH-22150-42002" u="1"/>
        <s v="01.018.0128" u="1"/>
        <s v="06.188.0005" u="1"/>
        <s v="H710C1403" u="1"/>
        <s v="SH-22160-42002" u="1"/>
        <s v="H710C1503" u="1"/>
        <s v="10.012.0021" u="1"/>
        <s v="10.014.0011" u="1"/>
        <s v="10.016.0001" u="1"/>
        <s v="01.018.0129" u="1"/>
        <s v="06.188.0006" u="1"/>
        <s v="H710C1603" u="1"/>
        <s v="06.111.0001" u="1"/>
        <s v="H710C1703" u="1"/>
        <s v="10.012.0022" u="1"/>
        <s v="10.014.0012" u="1"/>
        <s v="10.016.0002" u="1"/>
        <s v="H710C2043" u="1"/>
        <s v="06.098.0020" u="1"/>
        <s v="H710C1803" u="1"/>
        <s v="06.111.0002" u="1"/>
        <s v="H710C1903" u="1"/>
        <s v="10.012.0023" u="1"/>
        <s v="10.014.0013" u="1"/>
        <s v="06.094.0041" u="1"/>
        <s v="06.098.0021" u="1"/>
        <s v="SH-62035-31212" u="1"/>
        <s v="EC-12312509560" u="1"/>
        <s v="10.012.0024" u="1"/>
        <s v="10.014.0014" u="1"/>
        <s v="06.094.0042" u="1"/>
        <s v="06.098.0022" u="1"/>
        <s v="SH-22169-21630" u="1"/>
        <s v="06.111.0004" u="1"/>
        <s v="10.012.0025" u="1"/>
        <s v="10.014.0015" u="1"/>
        <s v="06.094.0043" u="1"/>
        <s v="06.098.0023" u="1"/>
        <s v="06.111.0005" u="1"/>
        <s v="10.012.0026" u="1"/>
        <s v="10.014.0016" u="1"/>
        <s v="SH-73DP-98X" u="1"/>
        <s v="06.094.0044" u="1"/>
        <s v="06.098.0024" u="1"/>
        <s v="06.111.0006" u="1"/>
        <s v="10.012.0027" u="1"/>
        <s v="10.014.0017" u="1"/>
        <s v="06.098.0025" u="1"/>
        <s v="06.021.0020" u="1"/>
        <s v="06.023.0010" u="1"/>
        <s v="06.111.0007" u="1"/>
        <s v="10.012.0028" u="1"/>
        <s v="10.014.0018" u="1"/>
        <s v="06.094.0046" u="1"/>
        <s v="06.021.0021" u="1"/>
        <s v="06.023.0011" u="1"/>
        <s v="06.111.0008" u="1"/>
        <s v="10.012.0029" u="1"/>
        <s v="10.014.0019" u="1"/>
        <s v="06.098.0027" u="1"/>
        <s v="T427B000" u="1"/>
        <s v="06.021.0022" u="1"/>
        <s v="06.023.0012" u="1"/>
        <s v="06.211.0001" u="1"/>
        <s v="06.094.0048" u="1"/>
        <s v="06.098.0028" u="1"/>
        <s v="06.021.0023" u="1"/>
        <s v="06.023.0013" u="1"/>
        <s v="06.211.0002" u="1"/>
        <s v="EC-A320000770" u="1"/>
        <s v="06.094.0049" u="1"/>
        <s v="06.098.0029" u="1"/>
        <s v="06.023.0014" u="1"/>
        <s v="06.211.0003" u="1"/>
        <s v="SH-22150-12152" u="1"/>
        <s v="01.018.0090" u="1"/>
        <s v="06.023.0015" u="1"/>
        <s v="06.211.0004" u="1"/>
        <s v="SH-20037-82130" u="1"/>
        <s v="SH-22175-12121" u="1"/>
        <s v="01.018.0091" u="1"/>
        <s v="EC-10024242230" u="1"/>
        <s v="06.023.0016" u="1"/>
        <s v="SH-4515030" u="1"/>
        <s v="01.018.0092" u="1"/>
        <s v="EC-10101042231" u="1"/>
        <s v="H710C1013" u="1"/>
        <s v="SH-88054" u="1"/>
        <s v="H710C1113" u="1"/>
        <s v="01.018.0093" u="1"/>
        <s v="H710C1213" u="1"/>
        <s v="06.123.0010" u="1"/>
        <s v="H710C1313" u="1"/>
        <s v="01.018.0094" u="1"/>
        <s v="H710C1413" u="1"/>
        <s v="06.025.0009" u="1"/>
        <s v="06.123.0011" u="1"/>
        <s v="06.125.0001" u="1"/>
        <s v="SH-72933-75900" u="1"/>
        <s v="H710C1513" u="1"/>
        <s v="01.018.0095" u="1"/>
        <s v="H710C1613" u="1"/>
        <s v="06.123.0012" u="1"/>
        <s v="H710C1713" u="1"/>
        <s v="H710C2053" u="1"/>
        <s v="01.018.0096" u="1"/>
        <s v="H710C1813" u="1"/>
        <s v="06.121.0023" u="1"/>
        <s v="06.125.0003" u="1"/>
        <s v="EC-43052737333" u="1"/>
        <s v="SH-4573110" u="1"/>
        <s v="EC-P022006970" u="1"/>
        <s v="H710C1913" u="1"/>
        <s v="01.018.0097" u="1"/>
        <s v="06.121.0024" u="1"/>
        <s v="06.123.0014" u="1"/>
        <s v="06.125.0004" u="1"/>
        <s v="SH-20020-51131" u="1"/>
        <s v="EC-A556000181" u="1"/>
        <s v="01.018.0098" u="1"/>
        <s v="06.125.0005" u="1"/>
        <s v="H224C200" u="1"/>
        <s v="01.018.0099" u="1"/>
        <s v="EC-13051030830" u="1"/>
        <s v="CR-080" u="1"/>
        <s v="06.121.0026" u="1"/>
        <s v="06.123.0016" u="1"/>
        <s v="EC-12318140630" u="1"/>
        <s v="SH-22051-11922" u="1"/>
        <s v="06.123.0017" u="1"/>
        <s v="SH-20000-75130" u="1"/>
        <s v="01.011.0010" u="1"/>
        <s v="06.033.0031" u="1"/>
        <s v="06.039.0001" u="1"/>
        <s v="06.123.0018" u="1"/>
        <s v="01.011.0011" u="1"/>
        <s v="01.013.0001" u="1"/>
        <s v="03.012.0001" u="1"/>
        <s v="EC-X405000011" u="1"/>
        <s v="06.039.0002" u="1"/>
        <s v="06.121.0029" u="1"/>
        <s v="01.013.0002" u="1"/>
        <s v="05.011.0002" u="1"/>
        <s v="SH-20021-81121" u="1"/>
        <s v="06.033.0033" u="1"/>
        <s v="06.039.0003" u="1"/>
        <s v="01.013.0003" u="1"/>
        <s v="03.012.0003" u="1"/>
        <s v="05.011.0003" u="1"/>
        <s v="H511C000" u="1"/>
        <s v="06.033.0034" u="1"/>
        <s v="06.039.0004" u="1"/>
        <s v="01.013.0004" u="1"/>
        <s v="05.011.0004" u="1"/>
        <s v="04.008.0060" u="1"/>
        <s v="06.033.0035" u="1"/>
        <s v="06.039.0005" u="1"/>
        <s v="01.013.0005" u="1"/>
        <s v="03.012.0005" u="1"/>
        <s v="EC-ES-255" u="1"/>
        <s v="OT-997" u="1"/>
        <s v="SH-63020-63111" u="1"/>
        <s v="06.033.0036" u="1"/>
        <s v="06.039.0006" u="1"/>
        <s v="01.013.0006" u="1"/>
        <s v="05.011.0006" u="1"/>
        <s v="04.008.0062" u="1"/>
        <s v="06.033.0037" u="1"/>
        <s v="EC-A575000410" u="1"/>
        <s v="01.011.0017" u="1"/>
        <s v="01.013.0007" u="1"/>
        <s v="03.012.0007" u="1"/>
        <s v="SH-68501-81340" u="1"/>
        <s v="04.008.0063" u="1"/>
        <s v="H710C1023" u="1"/>
        <s v="06.033.0038" u="1"/>
        <s v="06.133.0030" u="1"/>
        <s v="01.011.0018" u="1"/>
        <s v="01.013.0008" u="1"/>
        <s v="H710C1123" u="1"/>
        <s v="04.008.0064" u="1"/>
        <s v="H710C1223" u="1"/>
        <s v="06.033.0039" u="1"/>
        <s v="06.139.0001" u="1"/>
        <s v="01.011.0019" u="1"/>
        <s v="H710C1323" u="1"/>
        <s v="EC-V420002520" u="1"/>
        <s v="04.008.0065" u="1"/>
        <s v="H710C1423" u="1"/>
        <s v="06.133.0032" u="1"/>
        <s v="06.139.0002" u="1"/>
        <s v="H710C1523" u="1"/>
        <s v="04.008.0066" u="1"/>
        <s v="H710C1623" u="1"/>
        <s v="06.133.0033" u="1"/>
        <s v="06.139.0003" u="1"/>
        <s v="06.073.0001" u="1"/>
        <s v="H710C1723" u="1"/>
        <s v="H710C2063" u="1"/>
        <s v="04.008.0067" u="1"/>
        <s v="H512C000" u="1"/>
        <s v="H710C1823" u="1"/>
        <s v="06.133.0034" u="1"/>
        <s v="06.073.0002" u="1"/>
        <s v="SH-62809-12111" u="1"/>
        <s v="H710C1923" u="1"/>
        <s v="04.008.0068" u="1"/>
        <s v="06.133.0035" u="1"/>
        <s v="SH-72017-16130" u="1"/>
        <s v="CR-094" u="1"/>
        <s v="04.008.0069" u="1"/>
        <s v="06.133.0036" u="1"/>
        <s v="06.139.0006" u="1"/>
        <s v="06.133.0037" u="1"/>
        <s v="06.139.0007" u="1"/>
        <s v="EC-17722002834" u="1"/>
        <s v="03.022.0020" u="1"/>
        <s v="06.073.0005" u="1"/>
        <s v="06.133.0038" u="1"/>
        <s v="EC-35101052931" u="1"/>
        <s v="03.022.0021" u="1"/>
        <s v="06.073.0006" u="1"/>
        <s v="SH-20055-81004" u="1"/>
        <s v="EC-A426000000" u="1"/>
        <s v="SH-62035-75310" u="1"/>
        <s v="06.133.0039" u="1"/>
        <s v="01.025.0012" u="1"/>
        <s v="03.022.0022" u="1"/>
        <s v="06.073.0007" u="1"/>
        <s v="EC-10000060931" u="1"/>
        <s v="EC-A427000000" u="1"/>
        <s v="03.022.0023" u="1"/>
        <s v="06.073.0008" u="1"/>
        <s v="EC-A427000100" u="1"/>
        <s v="EC-30511055630" u="1"/>
        <s v="03.022.0024" u="1"/>
        <s v="06.073.0009" u="1"/>
        <s v="06.173.0001" u="1"/>
        <s v="03.022.0025" u="1"/>
        <s v="03.022.0026" u="1"/>
        <s v="SH-20140-12210" u="1"/>
        <s v="SH-20142-12110" u="1"/>
        <s v="SH-4552760" u="1"/>
        <s v="01.025.0017" u="1"/>
        <s v="03.022.0027" u="1"/>
        <s v="SH-A200000640" u="1"/>
        <s v="06.149.0020" u="1"/>
        <s v="01.025.0018" u="1"/>
        <s v="01.027.0008" u="1"/>
        <s v="03.022.0028" u="1"/>
        <s v="H710C1033" u="1"/>
        <s v="06.149.0021" u="1"/>
        <s v="SH-88056" u="1"/>
        <s v="01.027.0009" u="1"/>
        <s v="03.022.0029" u="1"/>
        <s v="EC-CS-3000-30EUSTD" u="1"/>
        <s v="H710C1133" u="1"/>
        <s v="10.001.0002" u="1"/>
        <s v="H710C1233" u="1"/>
        <s v="06.081.0030" u="1"/>
        <s v="06.173.0007" u="1"/>
        <s v="H710C1333" u="1"/>
        <s v="10.001.0003" u="1"/>
        <s v="H710C1433" u="1"/>
        <s v="H410C000" u="1"/>
        <s v="06.081.0031" u="1"/>
        <s v="06.173.0008" u="1"/>
        <s v="ZM-071" u="1"/>
        <s v="H710C1533" u="1"/>
        <s v="10.001.0004" u="1"/>
        <s v="H710C1633" u="1"/>
        <s v="06.081.0032" u="1"/>
        <s v="06.087.0002" u="1"/>
        <s v="06.173.0009" u="1"/>
        <s v="H460C000" u="1"/>
        <s v="H710C1733" u="1"/>
        <s v="H710C2073" u="1"/>
        <s v="H710C1833" u="1"/>
        <s v="06.081.0033" u="1"/>
        <s v="06.087.0003" u="1"/>
        <s v="EC-P022006980" u="1"/>
        <s v="H710C1933" u="1"/>
        <s v="10.001.0006" u="1"/>
        <s v="SH-20000-72230" u="1"/>
        <s v="06.081.0034" u="1"/>
        <s v="10.001.0007" u="1"/>
        <s v="01.019.0110" u="1"/>
        <s v="06.081.0035" u="1"/>
        <s v="10.001.0008" u="1"/>
        <s v="01.019.0111" u="1"/>
        <s v="06.081.0036" u="1"/>
        <s v="06.010.0001" u="1"/>
        <s v="01.019.0112" u="1"/>
        <s v="06.081.0037" u="1"/>
        <s v="06.010.0002" u="1"/>
        <s v="SH-72174-99200" u="1"/>
        <s v="SH-8890802" u="1"/>
        <s v="01.019.0113" u="1"/>
        <s v="06.081.0038" u="1"/>
        <s v="06.010.0003" u="1"/>
        <s v="EC-A566000200" u="1"/>
        <s v="IB-009" u="1"/>
        <s v="01.019.0114" u="1"/>
        <s v="06.187.0001" u="1"/>
        <s v="06.010.0004" u="1"/>
        <s v="03.008.0060" u="1"/>
        <s v="06.187.0002" u="1"/>
        <s v="H461C000" u="1"/>
        <s v="SH-22169-54102" u="1"/>
        <s v="SH-22155-91580" u="1"/>
        <s v="03.008.0061" u="1"/>
        <s v="01.019.0116" u="1"/>
        <s v="SH-22169-75101" u="1"/>
        <s v="03.008.0062" u="1"/>
        <s v="01.019.0117" u="1"/>
        <s v="06.187.0004" u="1"/>
        <s v="EC-10000043231" u="1"/>
        <s v="03.008.0063" u="1"/>
        <s v="01.019.0118" u="1"/>
        <s v="10.015.0001" u="1"/>
        <s v="03.008.0064" u="1"/>
        <s v="01.019.0119" u="1"/>
        <s v="06.110.0001" u="1"/>
        <s v="10.015.0002" u="1"/>
        <s v="H710C1043" u="1"/>
        <s v="03.008.0065" u="1"/>
        <s v="SH-88057" u="1"/>
        <s v="06.110.0002" u="1"/>
        <s v="H710C1143" u="1"/>
        <s v="10.015.0003" u="1"/>
        <s v="H710C1243" u="1"/>
        <s v="03.008.0066" u="1"/>
        <s v="06.110.0003" u="1"/>
        <s v="JF-009" u="1"/>
        <s v="H710C1343" u="1"/>
        <s v="10.015.0004" u="1"/>
        <s v="H710C1443" u="1"/>
        <s v="03.008.0067" u="1"/>
        <s v="EC-15262655932" u="1"/>
        <s v="06.110.0004" u="1"/>
        <s v="SH-72451-17203" u="1"/>
        <s v="H710C1543" u="1"/>
        <s v="EC-17720055631" u="1"/>
        <s v="H232C100" u="1"/>
        <s v="H710C1643" u="1"/>
        <s v="03.008.0068" u="1"/>
        <s v="06.110.0005" u="1"/>
        <s v="H462C000" u="1"/>
        <s v="H710C1743" u="1"/>
        <s v="H710C2083" u="1"/>
        <s v="SH-22019-11313" u="1"/>
        <s v="H710C1843" u="1"/>
        <s v="03.008.0069" u="1"/>
        <s v="06.110.0006" u="1"/>
        <s v="H710C1943" u="1"/>
        <s v="CR-TMC4" u="1"/>
        <s v="04.003.0110" u="1"/>
        <s v="04.005.0100" u="1"/>
        <s v="06.020.0020" u="1"/>
        <s v="06.022.0010" u="1"/>
        <s v="06.110.0007" u="1"/>
        <s v="04.003.0111" u="1"/>
        <s v="04.005.0101" u="1"/>
        <s v="06.020.0021" u="1"/>
        <s v="06.024.0001" u="1"/>
        <s v="06.110.0008" u="1"/>
        <s v="04.003.0112" u="1"/>
        <s v="04.005.0102" u="1"/>
        <s v="06.022.0012" u="1"/>
        <s v="06.024.0002" u="1"/>
        <s v="06.110.0009" u="1"/>
        <s v="04.003.0113" u="1"/>
        <s v="04.005.0103" u="1"/>
        <s v="06.210.0002" u="1"/>
        <s v="CRE-454" u="1"/>
        <s v="04.003.0114" u="1"/>
        <s v="04.005.0104" u="1"/>
        <s v="CRE-455" u="1"/>
        <s v="01.019.0080" u="1"/>
        <s v="SH-22169-71510" u="1"/>
        <s v="04.003.0115" u="1"/>
        <s v="04.005.0105" u="1"/>
        <s v="06.210.0004" u="1"/>
        <s v="SH-20016-81021" u="1"/>
        <s v="SH-22015-13261" u="1"/>
        <s v="H233C100" u="1"/>
        <s v="04.003.0116" u="1"/>
        <s v="04.005.0106" u="1"/>
        <s v="06.210.0005" u="1"/>
        <s v="EC-A429000110" u="1"/>
        <s v="01.019.0082" u="1"/>
        <s v="04.003.0117" u="1"/>
        <s v="04.005.0107" u="1"/>
        <s v="06.210.0006" u="1"/>
        <s v="EC-10101056030" u="1"/>
        <s v="EC-P021006290" u="1"/>
        <s v="EC-V205000480" u="1"/>
        <s v="01.019.0083" u="1"/>
        <s v="04.003.0118" u="1"/>
        <s v="04.005.0108" u="1"/>
        <s v="06.210.0007" u="1"/>
        <s v="10.029.0001" u="1"/>
        <s v="01.019.0084" u="1"/>
        <s v="04.003.0119" u="1"/>
        <s v="04.005.0109" u="1"/>
        <s v="06.124.0001" u="1"/>
        <s v="06.210.0008" u="1"/>
        <s v="10.029.0002" u="1"/>
        <s v="EC-V322000040" u="1"/>
        <s v="01.019.0085" u="1"/>
        <s v="06.124.0002" u="1"/>
        <s v="06.210.0009" u="1"/>
        <s v="10.029.0003" u="1"/>
        <s v="H710C1053" u="1"/>
        <s v="01.019.0086" u="1"/>
        <s v="06.124.0003" u="1"/>
        <s v="H710C1153" u="1"/>
        <s v="H710C1253" u="1"/>
        <s v="01.019.0087" u="1"/>
        <s v="06.124.0004" u="1"/>
        <s v="110414092004747" u="1"/>
        <s v="H710C1353" u="1"/>
        <s v="SH-22175-81000" u="1"/>
        <s v="H710C1453" u="1"/>
        <s v="01.019.0088" u="1"/>
        <s v="06.124.0005" u="1"/>
        <s v="H710C1553" u="1"/>
        <s v="H710C1653" u="1"/>
        <s v="06.124.0006" u="1"/>
        <s v="H710C1753" u="1"/>
        <s v="H710C2093" u="1"/>
        <s v="EC-9242435000" u="1"/>
        <s v="H710C1853" u="1"/>
        <s v="06.124.0007" u="1"/>
        <s v="01.010.0010" u="1"/>
        <s v="H710C1953" u="1"/>
        <s v="06.036.0011" u="1"/>
        <s v="06.038.0001" u="1"/>
        <s v="06.124.0008" u="1"/>
        <s v="01.012.0001" u="1"/>
        <s v="EC-SRAH-205" u="1"/>
        <s v="06.038.0002" u="1"/>
        <s v="06.124.0009" u="1"/>
        <s v="01.012.0002" u="1"/>
        <s v="06.038.0003" u="1"/>
        <s v="01.012.0003" u="1"/>
        <s v="CR-059" u="1"/>
        <s v="06.038.0004" u="1"/>
        <s v="SH-20024-75130" u="1"/>
        <s v="04.003.0080" u="1"/>
        <s v="04.005.0070" u="1"/>
        <s v="06.038.0005" u="1"/>
        <s v="EC-61001125530" u="1"/>
        <s v="04.005.0071" u="1"/>
        <s v="06.038.0006" u="1"/>
        <s v="SH-62104-32320" u="1"/>
        <s v="04.005.0072" u="1"/>
        <s v="ALEN 5X16" u="1"/>
        <s v="06.038.0007" u="1"/>
        <s v="SH-02432-35150" u="1"/>
        <s v="04.003.0083" u="1"/>
        <s v="04.003.0084" u="1"/>
        <s v="06.036.0019" u="1"/>
        <s v="06.138.0001" u="1"/>
        <s v="04.003.0085" u="1"/>
        <s v="04.005.0075" u="1"/>
        <s v="06.138.0002" u="1"/>
        <s v="06.070.0010" u="1"/>
        <s v="SH-11022-05160" u="1"/>
        <s v="SH-22155-96540" u="1"/>
        <s v="OT-481" u="1"/>
        <s v="EC-V452000520" u="1"/>
        <s v="EC-SRM 3605" u="1"/>
        <s v="06.138.0003" u="1"/>
        <s v="06.070.0011" u="1"/>
        <s v="06.072.0001" u="1"/>
        <s v="CR-159" u="1"/>
        <s v="H710C1063" u="1"/>
        <s v="SH-70000-75230" u="1"/>
        <s v="SH-4517530" u="1"/>
        <s v="06.138.0004" u="1"/>
        <s v="06.070.0012" u="1"/>
        <s v="06.072.0002" u="1"/>
        <s v="H710C1163" u="1"/>
        <s v="H710C1263" u="1"/>
        <s v="04.003.0088" u="1"/>
        <s v="06.138.0005" u="1"/>
        <s v="H710C1363" u="1"/>
        <s v="H710C1463" u="1"/>
        <s v="CR-093" u="1"/>
        <s v="04.003.0089" u="1"/>
        <s v="71302800" u="1"/>
        <s v="06.138.0006" u="1"/>
        <s v="06.070.0014" u="1"/>
        <s v="06.072.0004" u="1"/>
        <s v="H710C1563" u="1"/>
        <s v="H710C1663" u="1"/>
        <s v="06.042.0050" u="1"/>
        <s v="01.020.0030" u="1"/>
        <s v="01.024.0010" u="1"/>
        <s v="03.023.0010" u="1"/>
        <s v="06.070.0015" u="1"/>
        <s v="06.072.0005" u="1"/>
        <s v="H710C1763" u="1"/>
        <s v="H710C1863" u="1"/>
        <s v="H710C2006" u="1"/>
        <s v="01.024.0011" u="1"/>
        <s v="03.023.0011" u="1"/>
        <s v="05.024.0001" u="1"/>
        <s v="06.070.0016" u="1"/>
        <s v="06.072.0006" u="1"/>
        <s v="H710C1963" u="1"/>
        <s v="H710C2106" u="1"/>
        <s v="EC-A416000000" u="1"/>
        <s v="EC-V580000100" u="1"/>
        <s v="01.024.0012" u="1"/>
        <s v="03.023.0012" u="1"/>
        <s v="05.024.0002" u="1"/>
        <s v="06.070.0017" u="1"/>
        <s v="06.072.0007" u="1"/>
        <s v="OT-B87" u="1"/>
        <s v="01.024.0013" u="1"/>
        <s v="03.023.0013" u="1"/>
        <s v="06.070.0018" u="1"/>
        <s v="06.072.0008" u="1"/>
        <s v="06.042.0054" u="1"/>
        <s v="EC-17721560930" u="1"/>
        <s v="01.024.0014" u="1"/>
        <s v="03.023.0014" u="1"/>
        <s v="06.172.0001" u="1"/>
        <s v="06.042.0055" u="1"/>
        <s v="EC-V304000010" u="1"/>
        <s v="SH-22000-13252" u="1"/>
        <s v="SH-70200-15101" u="1"/>
        <s v="01.024.0015" u="1"/>
        <s v="03.023.0015" u="1"/>
        <s v="SH-22410-13251" u="1"/>
        <s v="06.042.0056" u="1"/>
        <s v="01.024.0016" u="1"/>
        <s v="03.023.0016" u="1"/>
        <s v="06.042.0057" u="1"/>
        <s v="01.024.0017" u="1"/>
        <s v="03.023.0017" u="1"/>
        <s v="SH-20060-12210" u="1"/>
        <s v="SH-22150-51310" u="1"/>
        <s v="EC-A130000172" u="1"/>
        <s v="06.042.0058" u="1"/>
        <s v="EC-A429000120" u="1"/>
        <s v="01.024.0018" u="1"/>
        <s v="03.023.0018" u="1"/>
        <s v="06.042.0059" u="1"/>
        <s v="01.024.0019" u="1"/>
        <s v="03.023.0019" u="1"/>
        <s v="EC-V203000590" u="1"/>
        <s v="SH-9711151" u="1"/>
        <s v="06.080.0030" u="1"/>
        <s v="06.084.0010" u="1"/>
        <s v="06.080.0031" u="1"/>
        <s v="06.086.0001" u="1"/>
        <s v="EC-17720006210" u="1"/>
        <s v="SH-22154-55110" u="1"/>
        <s v="ZM-070" u="1"/>
        <s v="EC-SRM 4605" u="1"/>
        <s v="06.080.0032" u="1"/>
        <s v="H710C1073" u="1"/>
        <s v="06.086.0003" u="1"/>
        <s v="H710C1173" u="1"/>
        <s v="H710C1273" u="1"/>
        <s v="EC-P021002461" u="1"/>
        <s v="06.080.0034" u="1"/>
        <s v="06.086.0004" u="1"/>
        <s v="H710C1373" u="1"/>
        <s v="H710C1473" u="1"/>
        <s v="01.018.0110" u="1"/>
        <s v="06.080.0035" u="1"/>
        <s v="06.086.0005" u="1"/>
        <s v="H710C1573" u="1"/>
        <s v="EC-A553000000" u="1"/>
        <s v="H710C1673" u="1"/>
        <s v="01.018.0111" u="1"/>
        <s v="06.080.0036" u="1"/>
        <s v="H710C1773" u="1"/>
        <s v="04.010.0001" u="1"/>
        <s v="EC-12411605530" u="1"/>
        <s v="H710C1873" u="1"/>
        <s v="H710C2016" u="1"/>
        <s v="01.018.0112" u="1"/>
        <s v="06.080.0037" u="1"/>
        <s v="EC-12300060131" u="1"/>
        <s v="H710C1973" u="1"/>
        <s v="04.010.0002" u="1"/>
        <s v="SH-72930-14210" u="1"/>
        <s v="H710C2116" u="1"/>
        <s v="SH-4571990" u="1"/>
        <s v="01.018.0113" u="1"/>
        <s v="06.080.0038" u="1"/>
        <s v="04.010.0003" u="1"/>
        <s v="IB-008" u="1"/>
        <s v="01.018.0114" u="1"/>
        <s v="06.080.0039" u="1"/>
        <s v="06.186.0001" u="1"/>
        <s v="04.010.0004" u="1"/>
        <s v="01.018.0115" u="1"/>
        <s v="06.186.0002" u="1"/>
        <s v="04.010.0005" u="1"/>
        <s v="H315C000" u="1"/>
        <s v="01.018.0116" u="1"/>
        <s v="SH-20021-12210" u="1"/>
        <s v="04.010.0006" u="1"/>
        <s v="SH-20024-75230" u="1"/>
        <s v="01.018.0117" u="1"/>
        <s v="06.186.0004" u="1"/>
        <s v="04.010.0007" u="1"/>
        <s v="SH-72316-53310" u="1"/>
        <s v="01.018.0118" u="1"/>
        <s v="06.186.0005" u="1"/>
        <s v="10.012.0011" u="1"/>
        <s v="10.014.0001" u="1"/>
        <s v="01.018.0119" u="1"/>
        <s v="04.010.0009" u="1"/>
        <s v="10.014.0002" u="1"/>
        <s v="EC-V430001330" u="1"/>
        <s v="10.014.0003" u="1"/>
        <s v="06.094.0031" u="1"/>
        <s v="JF-008" u="1"/>
        <s v="EC-15660132632" u="1"/>
        <s v="10.014.0004" u="1"/>
        <s v="SH-67000-42010" u="1"/>
        <s v="SH-22155-55110" u="1"/>
        <s v="SH-20036-81670" u="1"/>
        <s v="10.012.0015" u="1"/>
        <s v="10.014.0005" u="1"/>
        <s v="06.094.0033" u="1"/>
        <s v="H710C1083" u="1"/>
        <s v="10.014.0006" u="1"/>
        <s v="SH-99909-55133" u="1"/>
        <s v="H710C1183" u="1"/>
        <s v="H710C1283" u="1"/>
        <s v="10.012.0017" u="1"/>
        <s v="10.014.0007" u="1"/>
        <s v="SH-22169-96580" u="1"/>
        <s v="06.094.0035" u="1"/>
        <s v="H710C1383" u="1"/>
        <s v="06.021.0010" u="1"/>
        <s v="EC-SHP-800EUSTD" u="1"/>
        <s v="H710C1483" u="1"/>
        <s v="10.012.0018" u="1"/>
        <s v="10.014.0008" u="1"/>
        <s v="EC-A410000010" u="1"/>
        <s v="SH-72312-21520" u="1"/>
        <s v="H710C1583" u="1"/>
        <s v="06.021.0011" u="1"/>
        <s v="06.023.0001" u="1"/>
        <s v="H710C1683" u="1"/>
        <s v="10.012.0019" u="1"/>
        <s v="10.014.0009" u="1"/>
        <s v="06.094.0037" u="1"/>
        <s v="H710C1783" u="1"/>
        <s v="06.021.0012" u="1"/>
        <s v="06.023.0002" u="1"/>
        <s v="H710C1883" u="1"/>
        <s v="H710C2026" u="1"/>
        <s v="06.094.0038" u="1"/>
        <s v="06.098.0018" u="1"/>
        <s v="H710C1983" u="1"/>
        <s v="06.021.0013" u="1"/>
        <s v="H710C2126" u="1"/>
        <s v="EC-V580000110" u="1"/>
        <s v="06.098.0019" u="1"/>
        <s v="EC-17504803920" u="1"/>
        <s v="06.021.0014" u="1"/>
        <s v="06.023.0004" u="1"/>
        <s v="EC-450095060" u="1"/>
        <s v="01.018.0080" u="1"/>
        <s v="06.023.0005" u="1"/>
        <s v="SH-22901-31000" u="1"/>
        <s v="01.018.0081" u="1"/>
        <s v="06.021.0016" u="1"/>
        <s v="01.018.0082" u="1"/>
        <s v="06.021.0017" u="1"/>
        <s v="01.018.0083" u="1"/>
        <s v="BC0298" u="1"/>
        <s v="06.021.0018" u="1"/>
        <s v="06.121.0010" u="1"/>
        <s v="10.028.0001" u="1"/>
        <s v="01.018.0084" u="1"/>
        <s v="06.021.0019" u="1"/>
        <s v="06.023.0009" u="1"/>
        <s v="06.121.0011" u="1"/>
        <s v="06.123.0001" u="1"/>
        <s v="01.018.0085" u="1"/>
        <s v="06.123.0002" u="1"/>
        <s v="EC-A411000910" u="1"/>
        <s v="EC-12532308260" u="1"/>
        <s v="01.018.0086" u="1"/>
        <s v="06.121.0013" u="1"/>
        <s v="06.123.0003" u="1"/>
        <s v="EC -9242432000" u="1"/>
        <s v="SH-20011-85112" u="1"/>
        <s v="01.018.0087" u="1"/>
        <s v="06.121.0014" u="1"/>
        <s v="06.123.0004" u="1"/>
        <s v="01.018.0088" u="1"/>
        <s v="06.121.0015" u="1"/>
        <s v="06.123.0005" u="1"/>
        <s v="H224C000" u="1"/>
        <s v="SH-22150-15412" u="1"/>
        <s v="01.018.0089" u="1"/>
        <s v="06.121.0016" u="1"/>
        <s v="06.123.0006" u="1"/>
        <s v="H710C1093" u="1"/>
        <s v="H710C1193" u="1"/>
        <s v="06.033.0020" u="1"/>
        <s v="06.121.0017" u="1"/>
        <s v="06.123.0007" u="1"/>
        <s v="H710C1293" u="1"/>
        <s v="SH-22169-81000" u="1"/>
        <s v="EC-P021002471" u="1"/>
        <s v="H710C1393" u="1"/>
        <s v="06.037.0001" u="1"/>
        <s v="06.123.0008" u="1"/>
        <s v="01.011.0001" u="1"/>
        <s v="H710C1493" u="1"/>
        <s v="H710C1593" u="1"/>
        <s v="06.037.0002" u="1"/>
        <s v="06.121.0019" u="1"/>
        <s v="06.123.0009" u="1"/>
        <s v="01.011.0002" u="1"/>
        <s v="H710C1693" u="1"/>
        <s v="H710C1793" u="1"/>
        <s v="06.033.0023" u="1"/>
        <s v="06.037.0003" u="1"/>
        <s v="H710C1893" u="1"/>
        <s v="CR-058" u="1"/>
        <s v="H710C2036" u="1"/>
        <s v="SH-22175-82340" u="1"/>
        <s v="H710C1993" u="1"/>
        <s v="06.033.0024" u="1"/>
        <s v="06.037.0004" u="1"/>
        <s v="04.008.0050" u="1"/>
        <s v="04.008.0051" u="1"/>
        <s v="06.033.0026" u="1"/>
        <s v="01.011.0006" u="1"/>
        <s v="EC-CS-1201-90EUSTD" u="1"/>
        <s v="JF-056" u="1"/>
        <s v="SH-V216000040" u="1"/>
        <s v="04.008.0052" u="1"/>
        <s v="EC-17501849932" u="1"/>
        <s v="01.011.0007" u="1"/>
        <s v="SH-70196-12110" u="1"/>
        <s v="H275C000" u="1"/>
        <s v="04.008.0053" u="1"/>
        <s v="06.033.0028" u="1"/>
        <s v="06.133.0020" u="1"/>
        <s v="01.011.0008" u="1"/>
        <s v="EC-A566000130" u="1"/>
        <s v="04.008.0054" u="1"/>
        <s v="06.133.0021" u="1"/>
        <s v="06.137.0001" u="1"/>
        <s v="EC-V451000040" u="1"/>
        <s v="01.011.0009" u="1"/>
        <s v="04.008.0055" u="1"/>
        <s v="06.133.0022" u="1"/>
        <s v="06.137.0002" u="1"/>
        <s v="SH-69011-98310" u="1"/>
        <s v="OT-480" u="1"/>
        <s v="04.008.0056" u="1"/>
        <s v="06.133.0023" u="1"/>
        <s v="06.137.0003" u="1"/>
        <s v="04.008.0057" u="1"/>
        <s v="06.133.0024" u="1"/>
        <s v="06.071.0002" u="1"/>
        <s v="04.008.0058" u="1"/>
        <s v="06.133.0025" u="1"/>
        <s v="06.137.0005" u="1"/>
        <s v="SH-22160-75100" u="1"/>
        <s v="CR-092" u="1"/>
        <s v="04.008.0059" u="1"/>
        <s v="06.133.0026" u="1"/>
        <s v="06.137.0006" u="1"/>
        <s v="SH-22175-54210" u="1"/>
        <s v="06.133.0027" u="1"/>
        <s v="03.022.0010" u="1"/>
        <s v="06.133.0028" u="1"/>
        <s v="H710C1006" u="1"/>
        <s v="01.025.0001" u="1"/>
        <s v="03.022.0011" u="1"/>
        <s v="H710C1106" u="1"/>
        <s v="06.133.0029" u="1"/>
        <s v="H710C1206" u="1"/>
        <s v="01.025.0002" u="1"/>
        <s v="03.022.0012" u="1"/>
        <s v="H710C1306" u="1"/>
        <s v="EC-17720055931" u="1"/>
        <s v="H710C1406" u="1"/>
        <s v="01.025.0003" u="1"/>
        <s v="03.022.0013" u="1"/>
        <s v="H710C1506" u="1"/>
        <s v="H710C1606" u="1"/>
        <s v="01.025.0004" u="1"/>
        <s v="03.022.0014" u="1"/>
        <s v="06.171.0001" u="1"/>
        <s v="SH-20010-72221" u="1"/>
        <s v="H710C1706" u="1"/>
        <s v="H710C2046" u="1"/>
        <s v="H710C1806" u="1"/>
        <s v="03.022.0015" u="1"/>
        <s v="06.171.0002" u="1"/>
        <s v="SH-4573040" u="1"/>
        <s v="H710C1906" u="1"/>
        <s v="01.025.0006" u="1"/>
        <s v="03.022.0016" u="1"/>
        <s v="06.171.0003" u="1"/>
        <s v="03.022.0017" u="1"/>
        <s v="06.171.0004" u="1"/>
        <s v="EC-12436212710" u="1"/>
        <s v="06.149.0010" u="1"/>
        <s v="03.022.0018" u="1"/>
        <s v="06.171.0005" u="1"/>
        <s v="EC-P021021240" u="1"/>
        <s v="EC-P021035430" u="1"/>
        <s v="06.149.0011" u="1"/>
        <s v="SH-62035-32320" u="1"/>
        <s v="03.022.0019" u="1"/>
        <s v="06.171.0006" u="1"/>
        <s v="SH-1123300" u="1"/>
        <s v="06.149.0012" u="1"/>
        <s v="06.081.0020" u="1"/>
        <s v="EC-17510532431" u="1"/>
        <s v="SH-A202000180" u="1"/>
        <s v="06.149.0013" u="1"/>
        <s v="EC-A411000820" u="1"/>
        <s v="SH-69012-98310" u="1"/>
        <s v="06.081.0021" u="1"/>
        <s v="06.085.0001" u="1"/>
        <s v="06.081.0022" u="1"/>
        <s v="06.085.0002" u="1"/>
        <s v="EC-V307000230" u="1"/>
        <s v="EC-A130000292" u="1"/>
        <s v="06.081.0023" u="1"/>
        <s v="06.149.0016" u="1"/>
        <s v="SH-4555310" u="1"/>
        <s v="06.081.0024" u="1"/>
        <s v="06.085.0004" u="1"/>
        <s v="EC-17722006310" u="1"/>
        <s v="06.149.0017" u="1"/>
        <s v="01.019.0100" u="1"/>
        <s v="06.081.0025" u="1"/>
        <s v="SH-82067A" u="1"/>
        <s v="06.149.0018" u="1"/>
        <s v="01.019.0101" u="1"/>
        <s v="06.081.0026" u="1"/>
        <s v="H710C1016" u="1"/>
        <s v="01.019.0102" u="1"/>
        <s v="06.081.0027" u="1"/>
        <s v="100913125817857" u="1"/>
        <s v="EC-C050001920" u="1"/>
        <s v="H710C1116" u="1"/>
        <s v="H710C1216" u="1"/>
        <s v="01.019.0103" u="1"/>
        <s v="06.081.0028" u="1"/>
        <s v="06.181.0020" u="1"/>
        <s v="SH-38500-32010" u="1"/>
        <s v="H710C1316" u="1"/>
        <s v="IB-007" u="1"/>
        <s v="H710C1416" u="1"/>
        <s v="01.019.0104" u="1"/>
        <s v="06.081.0029" u="1"/>
        <s v="06.181.0021" u="1"/>
        <s v="IB-007   " u="1"/>
        <s v="SH-38490-18" u="1"/>
        <s v="H710C1516" u="1"/>
        <s v="03.004.0070" u="1"/>
        <s v="03.008.0050" u="1"/>
        <s v="H710C1616" u="1"/>
        <s v="01.019.0105" u="1"/>
        <s v="06.185.0002" u="1"/>
        <s v="H710C1716" u="1"/>
        <s v="H710C2056" u="1"/>
        <s v="03.002.0081" u="1"/>
        <s v="03.004.0071" u="1"/>
        <s v="03.008.0051" u="1"/>
        <s v="H710C1816" u="1"/>
        <s v="01.019.0106" u="1"/>
        <s v="06.185.0003" u="1"/>
        <s v="SH-70131-34100" u="1"/>
        <s v="H710C1916" u="1"/>
        <s v="03.002.0082" u="1"/>
        <s v="03.004.0072" u="1"/>
        <s v="03.008.0052" u="1"/>
        <s v="EC-15662660930" u="1"/>
        <s v="01.019.0107" u="1"/>
        <s v="06.185.0004" u="1"/>
        <s v="03.002.0083" u="1"/>
        <s v="03.004.0073" u="1"/>
        <s v="03.008.0053" u="1"/>
        <s v="01.019.0108" u="1"/>
        <s v="06.185.0005" u="1"/>
        <s v="SH-01600-04101" u="1"/>
        <s v="C300A200" u="1"/>
        <s v="SH-22015-96500" u="1"/>
        <s v="CR-009" u="1"/>
        <s v="03.002.0084" u="1"/>
        <s v="03.004.0074" u="1"/>
        <s v="03.008.0054" u="1"/>
        <s v="01.019.0109" u="1"/>
        <s v="06.185.0006" u="1"/>
        <s v="SH-70198-12110" u="1"/>
        <s v="03.002.0085" u="1"/>
        <s v="03.004.0075" u="1"/>
        <s v="03.008.0055" u="1"/>
        <s v="06.097.0010" u="1"/>
        <s v="06.185.0007" u="1"/>
        <s v="03.002.0086" u="1"/>
        <s v="03.004.0076" u="1"/>
        <s v="03.008.0056" u="1"/>
        <s v="06.097.0011" u="1"/>
        <s v="06.099.0001" u="1"/>
        <s v="SH-62035-15012" u="1"/>
        <s v="JF-007" u="1"/>
        <s v="OT-694" u="1"/>
        <s v="SH-70203-81020" u="1"/>
        <s v="03.002.0087" u="1"/>
        <s v="03.008.0057" u="1"/>
        <s v="06.097.0012" u="1"/>
        <s v="SH-70196-15210" u="1"/>
        <s v="SH-22169-51110" u="1"/>
        <s v="03.008.0058" u="1"/>
        <s v="06.097.0013" u="1"/>
        <s v="06.099.0003" u="1"/>
        <s v="EC-15660130832" u="1"/>
        <s v="03.008.0059" u="1"/>
        <s v="06.097.0014" u="1"/>
        <s v="06.099.0004" u="1"/>
        <s v="04.003.0100" u="1"/>
        <s v="06.020.0010" u="1"/>
        <s v="06.097.0016" u="1"/>
        <s v="04.003.0101" u="1"/>
        <s v="06.020.0011" u="1"/>
        <s v="06.022.0001" u="1"/>
        <s v="SH-22169-55110" u="1"/>
        <s v="04.003.0102" u="1"/>
        <s v="06.020.0012" u="1"/>
        <s v="06.022.0002" u="1"/>
        <s v="SH-62035-21020" u="1"/>
        <s v="SH-4044211" u="1"/>
        <s v="H710C1026" u="1"/>
        <s v="04.003.0103" u="1"/>
        <s v="06.020.0013" u="1"/>
        <s v="H710C1126" u="1"/>
        <s v="H710C1226" u="1"/>
        <s v="06.199.0001" u="1"/>
        <s v="04.003.0104" u="1"/>
        <s v="06.020.0014" u="1"/>
        <s v="06.022.0004" u="1"/>
        <s v="EC-A410000030" u="1"/>
        <s v="SH-72550-12102" u="1"/>
        <s v="H710C1326" u="1"/>
        <s v="H710C1426" u="1"/>
        <s v="SH-22169-21512" u="1"/>
        <s v="04.003.0105" u="1"/>
        <s v="06.020.0015" u="1"/>
        <s v="EC-17500543130" u="1"/>
        <s v="H710C1526" u="1"/>
        <s v="H710C1626" u="1"/>
        <s v="04.003.0106" u="1"/>
        <s v="06.020.0016" u="1"/>
        <s v="06.022.0006" u="1"/>
        <s v="EC-12312009560" u="1"/>
        <s v="JF-041" u="1"/>
        <s v="H710C1726" u="1"/>
        <s v="H710C2066" u="1"/>
        <s v="01.019.0072" u="1"/>
        <s v="H710C1826" u="1"/>
        <s v="04.003.0107" u="1"/>
        <s v="06.020.0017" u="1"/>
        <s v="H710C1926" u="1"/>
        <s v="EC-13031006230" u="1"/>
        <s v="01.019.0073" u="1"/>
        <s v="06.169.0050" u="1"/>
        <s v="04.003.0108" u="1"/>
        <s v="06.020.0018" u="1"/>
        <s v="10.027.0001" u="1"/>
        <s v="SH-22154-85540" u="1"/>
        <s v="01.019.0074" u="1"/>
        <s v="06.169.0051" u="1"/>
        <s v="04.003.0109" u="1"/>
        <s v="06.020.0019" u="1"/>
        <s v="06.022.0009" u="1"/>
        <s v="06.122.0001" u="1"/>
        <s v="01.019.0075" u="1"/>
        <s v="06.169.0052" u="1"/>
        <s v="06.122.0002" u="1"/>
        <s v="EC-P021035440" u="1"/>
        <s v="EC-10101032431" u="1"/>
        <s v="01.019.0076" u="1"/>
        <s v="EC-A426000050" u="1"/>
        <s v="SH-70234-98011" u="1"/>
        <s v="01.019.0078" u="1"/>
        <s v="EC-10101055430" u="1"/>
        <s v="01.019.0079" u="1"/>
        <s v="SH-22154-52410" u="1"/>
        <s v="06.032.0020" u="1"/>
        <s v="06.034.0010" u="1"/>
        <s v="SH-22155-96531" u="1"/>
        <s v="06.032.0021" u="1"/>
        <s v="06.034.0011" u="1"/>
        <s v="06.036.0001" u="1"/>
        <s v="SH-22155-72280" u="1"/>
        <s v="SH-60873" u="1"/>
        <s v="01.010.0001" u="1"/>
        <s v="06.032.0022" u="1"/>
        <s v="06.034.0012" u="1"/>
        <s v="06.036.0002" u="1"/>
        <s v="01.010.0002" u="1"/>
        <s v="75CL1620L07" u="1"/>
        <s v="06.032.0023" u="1"/>
        <s v="06.034.0013" u="1"/>
        <s v="06.036.0003" u="1"/>
        <s v="SH-99909-12212" u="1"/>
        <s v="01.010.0003" u="1"/>
        <s v="CR-057" u="1"/>
        <s v="H710C1036" u="1"/>
        <s v="06.034.0014" u="1"/>
        <s v="06.036.0004" u="1"/>
        <s v="01.010.0004" u="1"/>
        <s v="SH-22169-21203" u="1"/>
        <s v="H710C1136" u="1"/>
        <s v="H710C1236" u="1"/>
        <s v="04.003.0070" u="1"/>
        <s v="04.005.0060" u="1"/>
        <s v="06.034.0015" u="1"/>
        <s v="06.036.0005" u="1"/>
        <s v="01.010.0005" u="1"/>
        <s v="H710C1336" u="1"/>
        <s v="EC-A050000200" u="1"/>
        <s v="H710C1436" u="1"/>
        <s v="04.003.0071" u="1"/>
        <s v="04.005.0061" u="1"/>
        <s v="06.036.0006" u="1"/>
        <s v="01.010.0006" u="1"/>
        <s v="EC-A055000000" u="1"/>
        <s v="H710C1536" u="1"/>
        <s v="H710C1636" u="1"/>
        <s v="04.003.0072" u="1"/>
        <s v="01.010.0007" u="1"/>
        <s v="EC-A055000100" u="1"/>
        <s v="H710C1736" u="1"/>
        <s v="EC-P021002791" u="1"/>
        <s v="EC-13002151530" u="1"/>
        <s v="H710C2076" u="1"/>
        <s v="EC-A555000130" u="1"/>
        <s v="H710C1836" u="1"/>
        <s v="04.005.0063" u="1"/>
        <s v="06.036.0008" u="1"/>
        <s v="01.010.0008" u="1"/>
        <s v="H710C1936" u="1"/>
        <s v="04.003.0074" u="1"/>
        <s v="EC-A021002120" u="1"/>
        <s v="06.036.0009" u="1"/>
        <s v="06.136.0001" u="1"/>
        <s v="01.010.0009" u="1"/>
        <s v="SH-4576340" u="1"/>
        <s v="04.003.0075" u="1"/>
        <s v="06.136.0002" u="1"/>
        <s v="SH-22015-96600" u="1"/>
        <s v="04.003.0076" u="1"/>
        <s v="04.005.0066" u="1"/>
        <s v="06.070.0001" u="1"/>
        <s v="EC-A056000500" u="1"/>
        <s v="04.003.0077" u="1"/>
        <s v="EC-A566000150" u="1"/>
        <s v="06.070.0002" u="1"/>
        <s v="04.003.0078" u="1"/>
        <s v="EC-A021002520" u="1"/>
        <s v="06.070.0003" u="1"/>
        <s v="04.003.0079" u="1"/>
        <s v="04.005.0069" u="1"/>
        <s v="06.070.0004" u="1"/>
        <s v="EC-70602048970" u="1"/>
        <s v="06.042.0040" u="1"/>
        <s v="01.020.0020" u="1"/>
        <s v="06.070.0005" u="1"/>
        <s v="81PS3005" u="1"/>
        <s v="06.042.0041" u="1"/>
        <s v="01.020.0021" u="1"/>
        <s v="03.023.0001" u="1"/>
        <s v="SH-80863" u="1"/>
        <s v="06.048.0012" u="1"/>
        <s v="01.020.0022" u="1"/>
        <s v="03.023.0002" u="1"/>
        <s v="06.070.0007" u="1"/>
        <s v="06.042.0043" u="1"/>
        <s v="06.048.0013" u="1"/>
        <s v="01.020.0023" u="1"/>
        <s v="03.023.0003" u="1"/>
        <s v="06.070.0008" u="1"/>
        <s v="EC-V452000560" u="1"/>
        <s v="SH-22169-15212" u="1"/>
        <s v="06.042.0044" u="1"/>
        <s v="01.020.0024" u="1"/>
        <s v="01.024.0004" u="1"/>
        <s v="03.023.0004" u="1"/>
        <s v="06.170.0001" u="1"/>
        <s v="H710C1046" u="1"/>
        <s v="06.042.0045" u="1"/>
        <s v="06.048.0015" u="1"/>
        <s v="01.020.0025" u="1"/>
        <s v="01.024.0005" u="1"/>
        <s v="03.023.0005" u="1"/>
        <s v="06.170.0002" u="1"/>
        <s v="H710C1146" u="1"/>
        <s v="H710C1246" u="1"/>
        <s v="06.042.0046" u="1"/>
        <s v="06.048.0016" u="1"/>
        <s v="01.020.0026" u="1"/>
        <s v="03.023.0006" u="1"/>
        <s v="H710C1346" u="1"/>
        <s v="H710C1446" u="1"/>
        <s v="06.042.0047" u="1"/>
        <s v="06.048.0017" u="1"/>
        <s v="01.020.0027" u="1"/>
        <s v="03.023.0007" u="1"/>
        <s v="H710C1546" u="1"/>
        <s v="SH-22152-41210" u="1"/>
        <s v="EC-A172001300" u="1"/>
        <s v="H710C1646" u="1"/>
        <s v="06.042.0048" u="1"/>
        <s v="06.048.0018" u="1"/>
        <s v="01.020.0028" u="1"/>
        <s v="03.023.0008" u="1"/>
        <s v="H710C1746" u="1"/>
        <s v="H710C2086" u="1"/>
        <s v="H710C1846" u="1"/>
        <s v="SH-22182-41210" u="1"/>
        <s v="01.020.0029" u="1"/>
        <s v="01.024.0009" u="1"/>
        <s v="03.023.0009" u="1"/>
        <s v="H710C1946" u="1"/>
        <s v="SH-20011-31200" u="1"/>
        <s v="SH-20021-31200" u="1"/>
        <s v="SH-HT230/40" u="1"/>
        <s v="SH-22000-13512" u="1"/>
        <s v="EC-V583000140" u="1"/>
        <s v="06.080.0021" u="1"/>
        <s v="06.084.0001" u="1"/>
        <s v="EC-C051000600" u="1"/>
        <s v="EC-A409000520" u="1"/>
        <s v="06.080.0022" u="1"/>
        <s v="06.084.0002" u="1"/>
        <s v="06.080.0023" u="1"/>
        <s v="06.084.0003" u="1"/>
        <s v="EC-A427000060" u="1"/>
        <s v="OT-02006-06000" u="1"/>
        <s v="06.080.0024" u="1"/>
        <s v="06.084.0004" u="1"/>
        <s v="EC-A411001080" u="1"/>
        <s v="01.018.0100" u="1"/>
        <s v="06.080.0025" u="1"/>
        <s v="06.084.0005" u="1"/>
        <s v="EC-61001106230" u="1"/>
        <s v="01.018.0101" u="1"/>
        <s v="06.080.0026" u="1"/>
        <s v="06.084.0006" u="1"/>
        <s v="01.018.0102" u="1"/>
        <s v="06.080.0027" u="1"/>
        <s v="06.084.0007" u="1"/>
        <s v="SH-108642-24" u="1"/>
        <s v="01.018.0103" u="1"/>
        <s v="06.080.0028" u="1"/>
        <s v="06.084.0008" u="1"/>
        <s v="06.180.0020" u="1"/>
        <s v="SH-70200-85320" u="1"/>
        <s v="SH-62035-82340" u="1"/>
        <s v="01.018.0104" u="1"/>
        <s v="06.080.0029" u="1"/>
        <s v="06.084.0009" u="1"/>
        <s v="06.184.0001" u="1"/>
        <s v="EC-PPT-2400STD" u="1"/>
        <s v="EC-A130000601" u="1"/>
        <s v="03.005.0060" u="1"/>
        <s v="01.018.0105" u="1"/>
        <s v="06.180.0022" u="1"/>
        <s v="06.184.0002" u="1"/>
        <s v="H710C1056" u="1"/>
        <s v="03.005.0061" u="1"/>
        <s v="01.018.0106" u="1"/>
        <s v="H710C1156" u="1"/>
        <s v="H710C1256" u="1"/>
        <s v="03.005.0062" u="1"/>
        <s v="SH-72441-16002" u="1"/>
        <s v="01.018.0107" u="1"/>
        <s v="JF-269" u="1"/>
        <s v="H710C1356" u="1"/>
        <s v="H710C1456" u="1"/>
        <s v="CRE-082" u="1"/>
        <s v="03.005.0063" u="1"/>
        <s v="01.018.0108" u="1"/>
        <s v="SH-70036-98020" u="1"/>
        <s v="H710C1556" u="1"/>
        <s v="EC-A056000010" u="1"/>
        <s v="10.012.0001" u="1"/>
        <s v="H710C1656" u="1"/>
        <s v="03.005.0064" u="1"/>
        <s v="01.018.0109" u="1"/>
        <s v="H710C1756" u="1"/>
        <s v="H710C2096" u="1"/>
        <s v="EC-A058000010" u="1"/>
        <s v="H710C1856" u="1"/>
        <s v="03.005.0065" u="1"/>
        <s v="06.094.0020" u="1"/>
        <s v="EC-17500030832" u="1"/>
        <s v="H710C1956" u="1"/>
        <s v="10.012.0003" u="1"/>
        <s v="06.098.0001" u="1"/>
        <s v="JF-006" u="1"/>
        <s v="10.012.0004" u="1"/>
        <s v="H450D100" u="1"/>
        <s v="06.094.0022" u="1"/>
        <s v="06.098.0002" u="1"/>
        <s v="H460D100" u="1"/>
        <s v="06.098.0003" u="1"/>
        <s v="EC-10010055430" u="1"/>
        <s v="EC-17721540630" u="1"/>
        <s v="SH-20021-96420" u="1"/>
        <s v="SH-22021-12120" u="1"/>
        <s v="SH-22410-17202" u="1"/>
        <s v="EC-13001756431" u="1"/>
        <s v="SH-80771" u="1"/>
        <s v="SH-900302" u="1"/>
        <s v="06.021.0001" u="1"/>
        <s v="EC-12300047532" u="1"/>
        <s v="10.012.0009" u="1"/>
        <s v="06.098.0007" u="1"/>
        <s v="06.021.0002" u="1"/>
        <s v="06.094.0028" u="1"/>
        <s v="06.021.0003" u="1"/>
        <s v="SH-63901-63022" u="1"/>
        <s v="CR-042" u="1"/>
        <s v="SH-60876" u="1"/>
        <s v="06.094.0029" u="1"/>
        <s v="06.021.0004" u="1"/>
        <s v="SH-B450AUS" u="1"/>
        <s v="SH-22150-12151" u="1"/>
        <s v="01.018.0070" u="1"/>
        <s v="H451D100" u="1"/>
        <s v="06.021.0005" u="1"/>
        <s v="H461D100" u="1"/>
        <s v="SH-22169-55310" u="1"/>
        <s v="01.018.0071" u="1"/>
        <s v="EC-V420002390" u="1"/>
        <s v="06.021.0006" u="1"/>
        <s v="EC-C531000600" u="1"/>
        <s v="SH-62035-85031" u="1"/>
        <s v="JF-040" u="1"/>
        <s v="H710C1066" u="1"/>
        <s v="01.018.0072" u="1"/>
        <s v="INCO-090" u="1"/>
        <s v="06.021.0007" u="1"/>
        <s v="EC-C535000500" u="1"/>
        <s v="H710C1166" u="1"/>
        <s v="H710C1266" u="1"/>
        <s v="01.018.0073" u="1"/>
        <s v="06.021.0008" u="1"/>
        <s v="H710C1366" u="1"/>
        <s v="10.026.0001" u="1"/>
        <s v="EC-A411000050" u="1"/>
        <s v="H710C1466" u="1"/>
        <s v="01.018.0074" u="1"/>
        <s v="06.021.0009" u="1"/>
        <s v="06.121.0001" u="1"/>
        <s v="H710C1566" u="1"/>
        <s v="H710C1666" u="1"/>
        <s v="01.018.0075" u="1"/>
        <s v="06.121.0002" u="1"/>
        <s v="H710C1766" u="1"/>
        <s v="EC-17501805533" u="1"/>
        <s v="H710C1866" u="1"/>
        <s v="01.018.0076" u="1"/>
        <s v="H710C2009" u="1"/>
        <s v="H710C1966" u="1"/>
        <s v="H710C2109" u="1"/>
        <s v="01.018.0077" u="1"/>
        <s v="06.121.0004" u="1"/>
        <s v="EC-A411000264" u="1"/>
        <s v="01.018.0078" u="1"/>
        <s v="06.121.0005" u="1"/>
        <s v="H462D100" u="1"/>
        <s v="01.018.0079" u="1"/>
        <s v="06.121.0006" u="1"/>
        <s v="06.121.0007" u="1"/>
        <s v="EC-A409000730" u="1"/>
        <s v="06.033.0011" u="1"/>
        <s v="06.121.0008" u="1"/>
        <s v="SH-69008-98310" u="1"/>
        <s v="EC-A130000111" u="1"/>
        <s v="06.033.0012" u="1"/>
        <s v="06.035.0002" u="1"/>
        <s v="06.121.0009" u="1"/>
        <s v="06.033.0013" u="1"/>
        <s v="CR-056" u="1"/>
        <s v="EC-P021006153" u="1"/>
        <s v="06.033.0014" u="1"/>
        <s v="04.008.0040" u="1"/>
        <s v="06.009.0030" u="1"/>
        <s v="06.033.0015" u="1"/>
        <s v="EC-10010043130" u="1"/>
        <s v="H453D100" u="1"/>
        <s v="04.008.0041" u="1"/>
        <s v="06.009.0031" u="1"/>
        <s v="06.033.0016" u="1"/>
        <s v="A411000790 BOBINA" u="1"/>
        <s v="04.008.0042" u="1"/>
        <s v="06.033.0017" u="1"/>
        <s v="EC-70602034770" u="1"/>
        <s v="SH-20011-86120" u="1"/>
        <s v="H710C1076" u="1"/>
        <s v="04.008.0043" u="1"/>
        <s v="06.033.0018" u="1"/>
        <s v="06.133.0010" u="1"/>
        <s v="H710C1176" u="1"/>
        <s v="H710C1276" u="1"/>
        <s v="04.008.0044" u="1"/>
        <s v="06.033.0019" u="1"/>
        <s v="06.133.0011" u="1"/>
        <s v="H710C1376" u="1"/>
        <s v="SH-22197-33960" u="1"/>
        <s v="H710C1476" u="1"/>
        <s v="EC-17721532330" u="1"/>
        <s v="04.008.0045" u="1"/>
        <s v="EC-A055000020" u="1"/>
        <s v="06.133.0012" u="1"/>
        <s v="06.135.0002" u="1"/>
        <s v="H710C1576" u="1"/>
        <s v="H710C1676" u="1"/>
        <s v="04.008.0046" u="1"/>
        <s v="06.133.0013" u="1"/>
        <s v="H710C1776" u="1"/>
        <s v="H710C1876" u="1"/>
        <s v="04.008.0047" u="1"/>
        <s v="H710C2019" u="1"/>
        <s v="06.133.0014" u="1"/>
        <s v="H710C1976" u="1"/>
        <s v="H710C2119" u="1"/>
        <s v="EC-A021002140" u="1"/>
        <s v="04.008.0048" u="1"/>
        <s v="06.133.0015" u="1"/>
        <s v="SH-22410-14302" u="1"/>
        <s v="EC-12431749930" u="1"/>
        <s v="04.008.0049" u="1"/>
        <s v="06.133.0016" u="1"/>
        <s v="SH-38500-82130" u="1"/>
        <s v="06.133.0017" u="1"/>
        <s v="03.020.0010" u="1"/>
        <s v="EC-17721538330" u="1"/>
        <s v="06.049.0001" u="1"/>
        <s v="06.133.0018" u="1"/>
        <s v="03.020.0011" u="1"/>
        <s v="03.022.0001" u="1"/>
        <s v="EC-A056000620" u="1"/>
        <s v="SH-22160-51501" u="1"/>
        <s v="EC-A021002540" u="1"/>
        <s v="06.049.0002" u="1"/>
        <s v="06.133.0019" u="1"/>
        <s v="EC-A556000650" u="1"/>
        <s v="03.020.0012" u="1"/>
        <s v="03.022.0002" u="1"/>
        <s v="03.020.0013" u="1"/>
        <s v="03.022.0003" u="1"/>
        <s v="06.049.0004" u="1"/>
        <s v="03.020.0014" u="1"/>
        <s v="03.022.0004" u="1"/>
        <s v="EC-13100455530" u="1"/>
        <s v="06.049.0005" u="1"/>
        <s v="SH-62035-82131" u="1"/>
        <s v="03.020.0015" u="1"/>
        <s v="03.022.0005" u="1"/>
        <s v="EC-A021003180" u="1"/>
        <s v="06.049.0006" u="1"/>
        <s v="03.022.0006" u="1"/>
        <s v="06.049.0007" u="1"/>
        <s v="03.022.0007" u="1"/>
        <s v="06.049.0008" u="1"/>
        <s v="03.022.0008" u="1"/>
        <s v="EC-A051001860" u="1"/>
        <s v="H710C1086" u="1"/>
        <s v="06.049.0009" u="1"/>
        <s v="06.149.0001" u="1"/>
        <s v="EC-C535000510" u="1"/>
        <s v="H710C1186" u="1"/>
        <s v="03.022.0009" u="1"/>
        <s v="H710C1286" u="1"/>
        <s v="06.149.0002" u="1"/>
        <s v="H710C1386" u="1"/>
        <s v="06.081.0010" u="1"/>
        <s v="H710C1486" u="1"/>
        <s v="06.149.0003" u="1"/>
        <s v="H710C1586" u="1"/>
        <s v="H710C2001" u="1"/>
        <s v="06.081.0011" u="1"/>
        <s v="06.083.0001" u="1"/>
        <s v="H710C1686" u="1"/>
        <s v="H710C2101" u="1"/>
        <s v="06.149.0004" u="1"/>
        <s v="H710C1786" u="1"/>
        <s v="06.081.0012" u="1"/>
        <s v="H710C1886" u="1"/>
        <s v="H710C2029" u="1"/>
        <s v="06.149.0005" u="1"/>
        <s v="H710C1986" u="1"/>
        <s v="06.081.0013" u="1"/>
        <s v="EC-A160002240" u="1"/>
        <s v="06.081.0014" u="1"/>
        <s v="EC-10001108360" u="1"/>
        <s v="01.033.0020" u="1"/>
        <s v="06.081.0015" u="1"/>
        <s v="SH-10510" u="1"/>
        <s v="EC-17510530831" u="1"/>
        <s v="06.149.0008" u="1"/>
        <s v="EC-15662639130" u="1"/>
        <s v="01.033.0021" u="1"/>
        <s v="01.037.0001" u="1"/>
        <s v="06.081.0016" u="1"/>
        <s v="EC-C062000340" u="1"/>
        <s v="EC-A409000640" u="1"/>
        <s v="06.149.0009" u="1"/>
        <s v="01.033.0022" u="1"/>
        <s v="06.081.0017" u="1"/>
        <s v="01.033.0023" u="1"/>
        <s v="06.081.0018" u="1"/>
        <s v="06.181.0010" u="1"/>
        <s v="SH-80794" u="1"/>
        <s v="06.081.0019" u="1"/>
        <s v="06.181.0011" u="1"/>
        <s v="SH-20016-85003" u="1"/>
        <s v="SH-22169-33102" u="1"/>
        <s v="03.002.0070" u="1"/>
        <s v="03.008.0040" u="1"/>
        <s v="SH-22044-14120" u="1"/>
        <s v="01.033.0025" u="1"/>
        <s v="06.181.0012" u="1"/>
        <s v="06.183.0002" u="1"/>
        <s v="EC-A021000681" u="1"/>
        <s v="03.002.0071" u="1"/>
        <s v="03.008.0041" u="1"/>
        <s v="06.181.0013" u="1"/>
        <s v="06.183.0003" u="1"/>
        <s v="SH-20011-81360" u="1"/>
        <s v="SH-22000-92167" u="1"/>
        <s v="03.008.0042" u="1"/>
        <s v="06.181.0014" u="1"/>
        <s v="SH-18500-50100" u="1"/>
        <s v="JF-268" u="1"/>
        <s v="03.008.0043" u="1"/>
        <s v="SH-22197-55201" u="1"/>
        <s v="06.181.0015" u="1"/>
        <s v="C300A000" u="1"/>
        <s v="SH-62035-42010" u="1"/>
        <s v="10.011.0001" u="1"/>
        <s v="03.008.0044" u="1"/>
        <s v="06.181.0016" u="1"/>
        <s v="H710C1096" u="1"/>
        <s v="03.008.0045" u="1"/>
        <s v="SH-22169-21503" u="1"/>
        <s v="H710C1196" u="1"/>
        <s v="06.181.0017" u="1"/>
        <s v="EC-A052000030" u="1"/>
        <s v="H710C1296" u="1"/>
        <s v="03.008.0046" u="1"/>
        <s v="H710C1396" u="1"/>
        <s v="06.097.0001" u="1"/>
        <s v="06.181.0018" u="1"/>
        <s v="JF-005" u="1"/>
        <s v="CRE-079" u="1"/>
        <s v="H710C1496" u="1"/>
        <s v="03.004.0067" u="1"/>
        <s v="03.008.0047" u="1"/>
        <s v="H710C1596" u="1"/>
        <s v="H710C2011" u="1"/>
        <s v="06.097.0002" u="1"/>
        <s v="06.181.0019" u="1"/>
        <s v="SH-22157-41210" u="1"/>
        <s v="H710C1696" u="1"/>
        <s v="H710C2111" u="1"/>
        <s v="03.004.0068" u="1"/>
        <s v="03.008.0048" u="1"/>
        <s v="H710C1796" u="1"/>
        <s v="06.097.0003" u="1"/>
        <s v="EC-12435550130" u="1"/>
        <s v="H710C1896" u="1"/>
        <s v="H710C2039" u="1"/>
        <s v="03.004.0069" u="1"/>
        <s v="03.008.0049" u="1"/>
        <s v="H710C1996" u="1"/>
        <s v="EC-70602047412" u="1"/>
        <s v="06.097.0005" u="1"/>
        <s v="EC-A056000330" u="1"/>
        <s v="06.097.0006" u="1"/>
        <s v="06.097.0007" u="1"/>
        <s v="SH-22015-12120" u="1"/>
        <s v="06.097.0008" u="1"/>
        <s v="06.020.0003" u="1"/>
        <s v="SH-22015-13120" u="1"/>
        <s v="06.097.0009" u="1"/>
        <s v="01.013.0090" u="1"/>
        <s v="01.019.0060" u="1"/>
        <s v="06.020.0005" u="1"/>
        <s v="EC-P021004090" u="1"/>
        <s v="01.013.0091" u="1"/>
        <s v="01.019.0061" u="1"/>
        <s v="06.020.0006" u="1"/>
        <s v="SH-22152-12111" u="1"/>
        <s v="01.013.0092" u="1"/>
        <s v="01.019.0062" u="1"/>
        <s v="06.020.0007" u="1"/>
        <s v="01.013.0093" u="1"/>
        <s v="01.019.0063" u="1"/>
        <s v="06.169.0040" u="1"/>
        <s v="06.020.0008" u="1"/>
        <s v="SH-22169-12120" u="1"/>
        <s v="01.013.0094" u="1"/>
        <s v="01.019.0064" u="1"/>
        <s v="06.169.0041" u="1"/>
        <s v="10.025.0002" u="1"/>
        <s v="01.013.0095" u="1"/>
        <s v="01.019.0065" u="1"/>
        <s v="06.169.0042" u="1"/>
        <s v="10.025.0003" u="1"/>
        <s v="01.013.0096" u="1"/>
        <s v="01.019.0066" u="1"/>
        <s v="EC-C535000520" u="1"/>
        <s v="H710C1009" u="1"/>
        <s v="06.120.0003" u="1"/>
        <s v="JF-019" u="1"/>
        <s v="H710C1109" u="1"/>
        <s v="10.025.0004" u="1"/>
        <s v="01.013.0097" u="1"/>
        <s v="01.019.0067" u="1"/>
        <s v="H710C1209" u="1"/>
        <s v="06.120.0004" u="1"/>
        <s v="H710C1309" u="1"/>
        <s v="01.013.0098" u="1"/>
        <s v="01.019.0068" u="1"/>
        <s v="06.169.0045" u="1"/>
        <s v="EC-X411001150" u="1"/>
        <s v="H710C2021" u="1"/>
        <s v="H710C1409" u="1"/>
        <s v="H710C2121" u="1"/>
        <s v="H710C1509" u="1"/>
        <s v="01.013.0099" u="1"/>
        <s v="06.169.0046" u="1"/>
        <s v="H710C1609" u="1"/>
        <s v="SH-4529110" u="1"/>
        <s v="H710C1709" u="1"/>
        <s v="H710C2049" u="1"/>
        <s v="06.169.0047" u="1"/>
        <s v="H710C1809" u="1"/>
        <s v="06.032.0010" u="1"/>
        <s v="SH-22169-21520" u="1"/>
        <s v="H710C1909" u="1"/>
        <s v="EC-13030252131" u="1"/>
        <s v="06.169.0048" u="1"/>
        <s v="06.032.0011" u="1"/>
        <s v="06.034.0001" u="1"/>
        <s v="06.169.0049" u="1"/>
        <s v="06.032.0012" u="1"/>
        <s v="06.034.0002" u="1"/>
        <s v="06.032.0013" u="1"/>
        <s v="SH-4579070" u="1"/>
        <s v="EC-A409000650" u="1"/>
        <s v="06.032.0014" u="1"/>
        <s v="EC-A427000090" u="1"/>
        <s v="CR-241" u="1"/>
        <s v="04.003.0060" u="1"/>
        <s v="04.005.0050" u="1"/>
        <s v="06.008.0030" u="1"/>
        <s v="06.032.0015" u="1"/>
        <s v="06.034.0005" u="1"/>
        <s v="EC-V592000290" u="1"/>
        <s v="04.003.0061" u="1"/>
        <s v="04.005.0051" u="1"/>
        <s v="06.008.0031" u="1"/>
        <s v="06.032.0016" u="1"/>
        <s v="06.034.0006" u="1"/>
        <s v="SH-62074-12120" u="1"/>
        <s v="SH-8003009" u="1"/>
        <s v="04.003.0062" u="1"/>
        <s v="04.005.0052" u="1"/>
        <s v="06.008.0032" u="1"/>
        <s v="06.032.0017" u="1"/>
        <s v="06.034.0007" u="1"/>
        <s v="EC-17500555930" u="1"/>
        <s v="EC-A037000000" u="1"/>
        <s v="EC-9922956830" u="1"/>
        <s v="04.003.0063" u="1"/>
        <s v="04.005.0053" u="1"/>
        <s v="06.032.0018" u="1"/>
        <s v="06.034.0008" u="1"/>
        <s v="SH-20055-81120" u="1"/>
        <s v="04.003.0064" u="1"/>
        <s v="04.005.0054" u="1"/>
        <s v="06.032.0019" u="1"/>
        <s v="06.034.0009" u="1"/>
        <s v="SH-62035-41110" u="1"/>
        <s v="04.003.0065" u="1"/>
        <s v="04.005.0055" u="1"/>
        <s v="04.005.0056" u="1"/>
        <s v="04.003.0067" u="1"/>
        <s v="H710C1019" u="1"/>
        <s v="H710C1119" u="1"/>
        <s v="04.003.0068" u="1"/>
        <s v="04.005.0058" u="1"/>
        <s v="H710C1219" u="1"/>
        <s v="EC-A050000240" u="1"/>
        <s v="EC-WP-1000" u="1"/>
        <s v="H710C1319" u="1"/>
        <s v="H710C2031" u="1"/>
        <s v="04.003.0069" u="1"/>
        <s v="04.005.0059" u="1"/>
        <s v="H710C1419" u="1"/>
        <s v="H274D100" u="1"/>
        <s v="SH-22169-41210" u="1"/>
        <s v="H710C1519" u="1"/>
        <s v="H710C1619" u="1"/>
        <s v="06.042.0030" u="1"/>
        <s v="06.046.0010" u="1"/>
        <s v="01.020.0010" u="1"/>
        <s v="H710C1719" u="1"/>
        <s v="H710C2059" u="1"/>
        <s v="H710C1819" u="1"/>
        <s v="06.042.0031" u="1"/>
        <s v="06.048.0001" u="1"/>
        <s v="01.020.0011" u="1"/>
        <s v="01.022.0001" u="1"/>
        <s v="03.021.0001" u="1"/>
        <s v="H710C1919" u="1"/>
        <s v="SH-20000-96411" u="1"/>
        <s v="06.048.0002" u="1"/>
        <s v="01.020.0012" u="1"/>
        <s v="03.021.0002" u="1"/>
        <s v="OT-B83 " u="1"/>
        <s v="06.042.0033" u="1"/>
        <s v="01.020.0013" u="1"/>
        <s v="03.021.0003" u="1"/>
        <s v="06.042.0034" u="1"/>
        <s v="06.048.0004" u="1"/>
        <s v="01.020.0014" u="1"/>
        <s v="03.021.0004" u="1"/>
        <s v="06.042.0035" u="1"/>
        <s v="SH-20000-75160" u="1"/>
        <s v="01.020.0015" u="1"/>
        <s v="03.021.0005" u="1"/>
        <s v="EC-A056000640" u="1"/>
        <s v="SH-22015-13220" u="1"/>
        <s v="SH-62035-12120" u="1"/>
        <s v="06.042.0036" u="1"/>
        <s v="06.048.0006" u="1"/>
        <s v="01.020.0016" u="1"/>
        <s v="03.021.0006" u="1"/>
        <s v="SH-22035-13220" u="1"/>
        <s v="SH-70210-81451" u="1"/>
        <s v="06.042.0037" u="1"/>
        <s v="06.048.0007" u="1"/>
        <s v="01.020.0017" u="1"/>
        <s v="03.021.0007" u="1"/>
        <s v="EC-10091532530" u="1"/>
        <s v="EC-A556000870" u="1"/>
        <s v="06.048.0008" u="1"/>
        <s v="01.020.0018" u="1"/>
        <s v="EC-A175000200" u="1"/>
        <s v="EC-C536000030" u="1"/>
        <s v="SH-3014111" u="1"/>
        <s v="06.042.0039" u="1"/>
        <s v="06.048.0009" u="1"/>
        <s v="06.148.0001" u="1"/>
        <s v="01.020.0019" u="1"/>
        <s v="06.148.0002" u="1"/>
        <s v="06.148.0003" u="1"/>
        <s v="H710C1001" u="1"/>
        <s v="06.080.0011" u="1"/>
        <s v="SH-64007-64320" u="1"/>
        <s v="H710C1101" u="1"/>
        <s v="SH-64000-66311" u="1"/>
        <s v="H710C1201" u="1"/>
        <s v="06.080.0012" u="1"/>
        <s v="06.082.0002" u="1"/>
        <s v="H710C1301" u="1"/>
        <s v="EC-C535000530" u="1"/>
        <s v="H710C1029" u="1"/>
        <s v="H710C1401" u="1"/>
        <s v="06.080.0013" u="1"/>
        <s v="06.082.0003" u="1"/>
        <s v="SH-80550" u="1"/>
        <s v="H710C1129" u="1"/>
        <s v="H710C1501" u="1"/>
        <s v="EC-C535000630" u="1"/>
        <s v="H710C1229" u="1"/>
        <s v="H710C1601" u="1"/>
        <s v="06.080.0014" u="1"/>
        <s v="06.082.0004" u="1"/>
        <s v="H710C1329" u="1"/>
        <s v="SH-72030-13151" u="1"/>
        <s v="H710C1701" u="1"/>
        <s v="H710C2041" u="1"/>
        <s v="H710C1429" u="1"/>
        <s v="H710C1801" u="1"/>
        <s v="06.080.0015" u="1"/>
        <s v="06.082.0005" u="1"/>
        <s v="H710C1529" u="1"/>
        <s v="H710C1901" u="1"/>
        <s v="H710C1629" u="1"/>
        <s v="06.080.0016" u="1"/>
        <s v="06.082.0006" u="1"/>
        <s v="H710C1729" u="1"/>
        <s v="H710C2069" u="1"/>
        <s v="H710C1829" u="1"/>
        <s v="06.080.0017" u="1"/>
        <s v="06.082.0007" u="1"/>
        <s v="H710C1929" u="1"/>
        <s v="EC-13031306230" u="1"/>
        <s v="06.080.0018" u="1"/>
        <s v="06.180.0010" u="1"/>
        <s v="OT-55" u="1"/>
        <s v="SH-10504" u="1"/>
        <s v="06.080.0019" u="1"/>
        <s v="06.180.0011" u="1"/>
        <s v="06.182.0001" u="1"/>
        <s v="EC-P021035490" u="1"/>
        <s v="05.002.0060" u="1"/>
        <s v="EC-15680142230" u="1"/>
        <s v="06.180.0012" u="1"/>
        <s v="IMP-271" u="1"/>
        <s v="05.002.0061" u="1"/>
        <s v="06.180.0013" u="1"/>
        <s v="EC-A411000780" u="1"/>
        <s v="05.002.0062" u="1"/>
        <s v="EC-A033000010" u="1"/>
        <s v="EC-A411000880" u="1"/>
        <s v="JF-267" u="1"/>
        <s v="03.005.0053" u="1"/>
        <s v="05.002.0063" u="1"/>
        <s v="06.180.0015" u="1"/>
        <s v="03.005.0054" u="1"/>
        <s v="05.002.0064" u="1"/>
        <s v="06.180.0016" u="1"/>
        <s v="05.002.0065" u="1"/>
        <s v="06.094.0010" u="1"/>
        <s v="SH-20021-81560" u="1"/>
        <s v="03.005.0056" u="1"/>
        <s v="05.002.0066" u="1"/>
        <s v="06.094.0011" u="1"/>
        <s v="06.180.0018" u="1"/>
        <s v="SH-62035-41210" u="1"/>
        <s v="JF-004" u="1"/>
        <s v="EC-A030000610" u="1"/>
        <s v="05.002.0067" u="1"/>
        <s v="H710C1011" u="1"/>
        <s v="06.180.0019" u="1"/>
        <s v="H710C1111" u="1"/>
        <s v="EC-C050001880" u="1"/>
        <s v="05.002.0068" u="1"/>
        <s v="H710C1211" u="1"/>
        <s v="06.094.0013" u="1"/>
        <s v="H710C1311" u="1"/>
        <s v="SH-64007-67011" u="1"/>
        <s v="EC-12311605160" u="1"/>
        <s v="H710C1039" u="1"/>
        <s v="05.002.0069" u="1"/>
        <s v="H710C1411" u="1"/>
        <s v="SH-80551" u="1"/>
        <s v="H710C1139" u="1"/>
        <s v="H710C1511" u="1"/>
        <s v="H710C1239" u="1"/>
        <s v="H710C1611" u="1"/>
        <s v="01.048.0010" u="1"/>
        <s v="06.094.0015" u="1"/>
        <s v="H710C1339" u="1"/>
        <s v="H710C1711" u="1"/>
        <s v="H710C2051" u="1"/>
        <s v="H710C1439" u="1"/>
        <s v="10000000892" u="1"/>
        <s v="H710C1811" u="1"/>
        <s v="06.094.0016" u="1"/>
        <s v="EC-A056000050" u="1"/>
        <s v="H710C1539" u="1"/>
        <s v="H710C1911" u="1"/>
        <s v="H710C1639" u="1"/>
        <s v="10000000893" u="1"/>
        <s v="SH-20020-51121" u="1"/>
        <s v="SH-70131-75120" u="1"/>
        <s v="H710C1739" u="1"/>
        <s v="H710C2079" u="1"/>
        <s v="H710C1839" u="1"/>
        <s v="06.094.0018" u="1"/>
        <s v="H710C1939" u="1"/>
        <s v="06.196.0001" u="1"/>
        <s v="H231D000" u="1"/>
        <s v="01.018.0060" u="1"/>
        <s v="EC-A056000450" u="1"/>
        <s v="SH-22410-13210" u="1"/>
        <s v="EC-A556000480" u="1"/>
        <s v="01.018.0061" u="1"/>
        <s v="EC-10020456232" u="1"/>
        <s v="SH-9701201" u="1"/>
        <s v="SH-20020-75120" u="1"/>
        <s v="SH-20870-33120" u="1"/>
        <s v="01.018.0062" u="1"/>
        <s v="06.196.0004" u="1"/>
        <s v="SH-62035-12220" u="1"/>
        <s v="EC-A021002570" u="1"/>
        <s v="01.018.0063" u="1"/>
        <s v="01.018.0064" u="1"/>
        <s v="SH-22024-13291" u="1"/>
        <s v="01.018.0065" u="1"/>
        <s v="EC-A175000210" u="1"/>
        <s v="01.018.0066" u="1"/>
        <s v="JF-018" u="1"/>
        <s v="CR-140" u="1"/>
        <s v="01.018.0067" u="1"/>
        <s v="SH-63019-63010" u="1"/>
        <s v="SH-20035-21100" u="1"/>
        <s v="H232D000" u="1"/>
        <s v="01.018.0068" u="1"/>
        <s v="SH-22100-81230" u="1"/>
        <s v="H710C1021" u="1"/>
        <s v="H710C1121" u="1"/>
        <s v="EC-EDR-210" u="1"/>
        <s v="01.018.0069" u="1"/>
        <s v="H710C1221" u="1"/>
        <s v="OT-A48" u="1"/>
        <s v="H710C1321" u="1"/>
        <s v="H710C1049" u="1"/>
        <s v="EC-P021000371" u="1"/>
        <s v="H710C1421" u="1"/>
        <s v="H710C1149" u="1"/>
        <s v="H710C1521" u="1"/>
        <s v="H710C1249" u="1"/>
        <s v="H710C1621" u="1"/>
        <s v="06.033.0001" u="1"/>
        <s v="H710C1349" u="1"/>
        <s v="H710C1721" u="1"/>
        <s v="EC-A510000110" u="1"/>
        <s v="H710C2061" u="1"/>
        <s v="H710C1449" u="1"/>
        <s v="H710C1821" u="1"/>
        <s v="06.033.0002" u="1"/>
        <s v="H710C1549" u="1"/>
        <s v="H710C1921" u="1"/>
        <s v="EC-15262655430" u="1"/>
        <s v="H710C1649" u="1"/>
        <s v="06.033.0003" u="1"/>
        <s v="H710C1749" u="1"/>
        <s v="H710C2089" u="1"/>
        <s v="CR-054" u="1"/>
        <s v="H710C1849" u="1"/>
        <s v="06.033.0004" u="1"/>
        <s v="H710C1949" u="1"/>
        <s v="EC-A518000010" u="1"/>
        <s v="CR-240" u="1"/>
        <s v="SH-80676" u="1"/>
        <s v="04.008.0030" u="1"/>
        <s v="06.009.0020" u="1"/>
        <s v="06.033.0005" u="1"/>
        <s v="EC-C044000830" u="1"/>
        <s v="H233D000" u="1"/>
        <s v="04.008.0031" u="1"/>
        <s v="06.033.0006" u="1"/>
        <s v="04.008.0032" u="1"/>
        <s v="06.009.0022" u="1"/>
        <s v="06.033.0007" u="1"/>
        <s v="OT-B48  " u="1"/>
        <s v="EC-70615050520" u="1"/>
        <s v="04.008.0033" u="1"/>
        <s v="06.009.0023" u="1"/>
        <s v="EC-A030000120" u="1"/>
        <s v="04.008.0034" u="1"/>
        <s v="06.009.0024" u="1"/>
        <s v="06.033.0009" u="1"/>
        <s v="06.133.0001" u="1"/>
        <s v="SH-70140-81760" u="1"/>
        <s v="85XX0050N35-00" u="1"/>
        <s v="04.008.0035" u="1"/>
        <s v="06.009.0025" u="1"/>
        <s v="06.133.0002" u="1"/>
        <s v="SH-72330-33710" u="1"/>
        <s v="06.009.0026" u="1"/>
        <s v="06.133.0003" u="1"/>
        <s v="EC-13000739932" u="1"/>
        <s v="EC-10000039130" u="1"/>
        <s v="EC-CS 8002EUSTD" u="1"/>
        <s v="04.008.0037" u="1"/>
        <s v="06.009.0027" u="1"/>
        <s v="EC-A039000020" u="1"/>
        <s v="06.133.0004" u="1"/>
        <s v="SH-20016-21100" u="1"/>
        <s v="04.008.0038" u="1"/>
        <s v="06.009.0028" u="1"/>
        <s v="06.133.0005" u="1"/>
        <s v="H710C1031" u="1"/>
        <s v="04.008.0039" u="1"/>
        <s v="06.009.0029" u="1"/>
        <s v="06.133.0006" u="1"/>
        <s v="EC-12436721330" u="1"/>
        <s v="H274D000" u="1"/>
        <s v="H710C1131" u="1"/>
        <s v="SH-72451-14502" u="1"/>
        <s v="H710C1231" u="1"/>
        <s v="06.133.0007" u="1"/>
        <s v="H710C1331" u="1"/>
        <s v="H710C1059" u="1"/>
        <s v="H710C1431" u="1"/>
        <s v="06.045.0011" u="1"/>
        <s v="06.047.0001" u="1"/>
        <s v="06.133.0008" u="1"/>
        <s v="H710C1159" u="1"/>
        <s v="H710C1531" u="1"/>
        <s v="EC-A045000340" u="1"/>
        <s v="H710C1259" u="1"/>
        <s v="H710C1631" u="1"/>
        <s v="EC-17501842230" u="1"/>
        <s v="06.047.0002" u="1"/>
        <s v="06.133.0009" u="1"/>
        <s v="SHDW-010" u="1"/>
        <s v="01.021.0002" u="1"/>
        <s v="H710C1359" u="1"/>
        <s v="H710C1731" u="1"/>
        <s v="H710C2071" u="1"/>
        <s v="H710C1459" u="1"/>
        <s v="H710C1831" u="1"/>
        <s v="06.047.0003" u="1"/>
        <s v="H710C1559" u="1"/>
        <s v="H710C1931" u="1"/>
        <s v="H710C1659" u="1"/>
        <s v="06.047.0004" u="1"/>
        <s v="SHDW-050" u="1"/>
        <s v="03.020.0004" u="1"/>
        <s v="H710C1759" u="1"/>
        <s v="H710C2099" u="1"/>
        <s v="H710C1859" u="1"/>
        <s v="SH-4527890" u="1"/>
        <s v="03.020.0005" u="1"/>
        <s v="H710C1959" u="1"/>
        <s v="SH-22150-21250" u="1"/>
        <s v="SH-80677" u="1"/>
        <s v="06.047.0006" u="1"/>
        <s v="03.020.0006" u="1"/>
        <s v="SH-20000-75220" u="1"/>
        <s v="06.047.0007" u="1"/>
        <s v="03.020.0007" u="1"/>
        <s v="EC-10014212330" u="1"/>
        <s v="SH-9701401" u="1"/>
        <s v="06.047.0008" u="1"/>
        <s v="06.143.0020" u="1"/>
        <s v="03.020.0008" u="1"/>
        <s v="06.047.0009" u="1"/>
        <s v="06.147.0001" u="1"/>
        <s v="SH-22015-13420" u="1"/>
        <s v="03.020.0009" u="1"/>
        <s v="06.147.0002" u="1"/>
        <s v="06.081.0001" u="1"/>
        <s v="EC-A556000890" u="1"/>
        <s v="SH-70244-98050" u="1"/>
        <s v="OT-107" u="1"/>
        <s v="EC-V555000140" u="1"/>
        <s v="06.081.0002" u="1"/>
        <s v="SH-20010-81760" u="1"/>
        <s v="06.081.0004" u="1"/>
        <s v="CR-EC4000" u="1"/>
        <s v="H710C1041" u="1"/>
        <s v="01.033.0010" u="1"/>
        <s v="06.081.0005" u="1"/>
        <s v="SH-20060-81760" u="1"/>
        <s v="H710C1141" u="1"/>
        <s v="H710C1241" u="1"/>
        <s v="01.033.0011" u="1"/>
        <s v="01.035.0001" u="1"/>
        <s v="06.081.0006" u="1"/>
        <s v="H710C1341" u="1"/>
        <s v="H710C1069" u="1"/>
        <s v="H710C1441" u="1"/>
        <s v="CR-EC4500" u="1"/>
        <s v="01.033.0012" u="1"/>
        <s v="06.081.0007" u="1"/>
        <s v="H710C1169" u="1"/>
        <s v="H710C1541" u="1"/>
        <s v="SHDW-001" u="1"/>
        <s v="H710C1269" u="1"/>
        <s v="H710C1641" u="1"/>
        <s v="SHDW-011" u="1"/>
        <s v="01.033.0013" u="1"/>
        <s v="06.081.0008" u="1"/>
        <s v="H710C1369" u="1"/>
        <s v="H710C1741" u="1"/>
        <s v="H710C2081" u="1"/>
        <s v="H710C1469" u="1"/>
        <s v="H710C1841" u="1"/>
        <s v="IB-003" u="1"/>
        <s v="EC-X411000940" u="1"/>
        <s v="92843" u="1"/>
        <s v="01.033.0014" u="1"/>
        <s v="06.081.0009" u="1"/>
        <s v="06.181.0001" u="1"/>
        <s v="H710C1569" u="1"/>
        <s v="H710C1941" u="1"/>
        <s v="EC-C535000850" u="1"/>
        <s v="SH-72540-12410" u="1"/>
        <s v="H710C1669" u="1"/>
        <s v="03.002.0060" u="1"/>
        <s v="03.008.0030" u="1"/>
        <s v="SHDW-051" u="1"/>
        <s v="06.181.0002" u="1"/>
        <s v="H710C1769" u="1"/>
        <s v="H710C1869" u="1"/>
        <s v="03.002.0061" u="1"/>
        <s v="03.008.0031" u="1"/>
        <s v="06.181.0003" u="1"/>
        <s v="H710C1969" u="1"/>
        <s v="MOT-052" u="1"/>
        <s v="03.002.0062" u="1"/>
        <s v="03.008.0032" u="1"/>
        <s v="01.033.0017" u="1"/>
        <s v="06.181.0004" u="1"/>
        <s v="SH-12900-62020" u="1"/>
        <s v="MOT-053" u="1"/>
        <s v="JF-266" u="1"/>
        <s v="03.002.0063" u="1"/>
        <s v="03.008.0033" u="1"/>
        <s v="01.033.0018" u="1"/>
        <s v="06.181.0005" u="1"/>
        <s v="03.008.0034" u="1"/>
        <s v="01.033.0019" u="1"/>
        <s v="06.181.0006" u="1"/>
        <s v="SH-62035-33010" u="1"/>
        <s v="03.008.0035" u="1"/>
        <s v="06.181.0007" u="1"/>
        <s v="SH-22015-13251" u="1"/>
        <s v="03.008.0036" u="1"/>
        <s v="SH-22160-51200" u="1"/>
        <s v="06.095.0001" u="1"/>
        <s v="06.181.0008" u="1"/>
        <s v="JF-003" u="1"/>
        <s v="03.008.0037" u="1"/>
        <s v="06.095.0002" u="1"/>
        <s v="06.181.0009" u="1"/>
        <s v="SH-22169-31110" u="1"/>
        <s v="EC-A033000230" u="1"/>
        <s v="03.008.0038" u="1"/>
        <s v="SH-22035-13391" u="1"/>
        <s v="SH-22169-12111" u="1"/>
        <s v="SH-22169-32110" u="1"/>
        <s v="03.008.0039" u="1"/>
        <s v="06.095.0004" u="1"/>
        <s v="SH-20016-21200" u="1"/>
        <s v="SH-22160-55200" u="1"/>
        <s v="06.095.0005" u="1"/>
        <s v="H710C1051" u="1"/>
        <s v="H710C1151" u="1"/>
        <s v="EC-SHP 800-2" u="1"/>
        <s v="SH-22169-15111" u="1"/>
        <s v="H710C1251" u="1"/>
        <s v="H710C1351" u="1"/>
        <s v="EC-A038000430" u="1"/>
        <s v="EC-A051000070" u="1"/>
        <s v="H710C1079" u="1"/>
        <s v="H710C1451" u="1"/>
        <s v="H710C1179" u="1"/>
        <s v="H710C1551" u="1"/>
        <s v="EC-A051000170" u="1"/>
        <s v="H710C1279" u="1"/>
        <s v="H710C1651" u="1"/>
        <s v="SHDW-012" u="1"/>
        <s v="06.195.0001" u="1"/>
        <s v="SH-72933-75120" u="1"/>
        <s v="H710C1379" u="1"/>
        <s v="H710C1751" u="1"/>
        <s v="SHDW-022" u="1"/>
        <s v="H710C2091" u="1"/>
        <s v="H710C1479" u="1"/>
        <s v="EC-C506000200" u="1"/>
        <s v="H710C1851" u="1"/>
        <s v="EC-CS 3500" u="1"/>
        <s v="01.013.0080" u="1"/>
        <s v="01.019.0050" u="1"/>
        <s v="06.195.0002" u="1"/>
        <s v="H710C1579" u="1"/>
        <s v="H710C1951" u="1"/>
        <s v="EC-12300057731" u="1"/>
        <s v="H710C1679" u="1"/>
        <s v="EC-P021032700" u="1"/>
        <s v="EC-A052000370" u="1"/>
        <s v="01.013.0081" u="1"/>
        <s v="01.019.0051" u="1"/>
        <s v="06.195.0003" u="1"/>
        <s v="H710C1779" u="1"/>
        <s v="EC-C020000010" u="1"/>
        <s v="H710C1879" u="1"/>
        <s v="EC-C504000500" u="1"/>
        <s v="01.013.0082" u="1"/>
        <s v="01.019.0052" u="1"/>
        <s v="EC-A021002190" u="1"/>
        <s v="H710C1979" u="1"/>
        <s v="01.013.0083" u="1"/>
        <s v="01.019.0053" u="1"/>
        <s v="06.169.0030" u="1"/>
        <s v="EC-17720360930" u="1"/>
        <s v="C300B200" u="1"/>
        <s v="EC-E164000100" u="1"/>
        <s v="EC-C504000700" u="1"/>
        <s v="CR-019" u="1"/>
        <s v="01.013.0084" u="1"/>
        <s v="01.019.0054" u="1"/>
        <s v="06.169.0031" u="1"/>
        <s v="SH-20024-75120" u="1"/>
        <s v="01.013.0085" u="1"/>
        <s v="06.169.0032" u="1"/>
        <s v="SH-18500-90003" u="1"/>
        <s v="SH-22050-12411" u="1"/>
        <s v="01.013.0086" u="1"/>
        <s v="01.019.0056" u="1"/>
        <s v="SH-70234-98010" u="1"/>
        <s v="JF-017" u="1"/>
        <s v="SH-62104-32310" u="1"/>
        <s v="01.013.0087" u="1"/>
        <s v="01.019.0057" u="1"/>
        <s v="EC-A021002690" u="1"/>
        <s v="01.013.0088" u="1"/>
        <s v="01.019.0058" u="1"/>
        <s v="SH-20011-81451" u="1"/>
        <s v="01.013.0089" u="1"/>
        <s v="01.019.0059" u="1"/>
        <s v="SH-20010-41330" u="1"/>
        <s v="06.032.0001" u="1"/>
        <s v="CR-119" u="1"/>
        <s v="H710C1061" u="1"/>
        <s v="06.169.0039" u="1"/>
        <s v="06.032.0002" u="1"/>
        <s v="H710C1161" u="1"/>
        <s v="H710C1261" u="1"/>
        <s v="06.032.0003" u="1"/>
        <s v="H710C1361" u="1"/>
        <s v="H710C1089" u="1"/>
        <s v="H710C1461" u="1"/>
        <s v="EC-A160001650" u="1"/>
        <s v="H710C1189" u="1"/>
        <s v="06.032.0004" u="1"/>
        <s v="H710C1561" u="1"/>
        <s v="SH-22169-21202" u="1"/>
        <s v="H710C1289" u="1"/>
        <s v="H710C1661" u="1"/>
        <s v="EC-A172001270" u="1"/>
        <s v="01.025.0090" u="1"/>
        <s v="SHDW-013" u="1"/>
        <s v="04.003.0050" u="1"/>
        <s v="04.005.0040" u="1"/>
        <s v="04.009.0020" u="1"/>
        <s v="06.004.0040" u="1"/>
        <s v="H710C1389" u="1"/>
        <s v="06.032.0005" u="1"/>
        <s v="H710C1761" u="1"/>
        <s v="SH-72551-12101" u="1"/>
        <s v="H710C1489" u="1"/>
        <s v="H710C1861" u="1"/>
        <s v="01.025.0091" u="1"/>
        <s v="EC-X411000950" u="1"/>
        <s v="04.003.0051" u="1"/>
        <s v="04.005.0041" u="1"/>
        <s v="04.009.0021" u="1"/>
        <s v="06.008.0021" u="1"/>
        <s v="H710C1589" u="1"/>
        <s v="H710C2004" u="1"/>
        <s v="06.032.0006" u="1"/>
        <s v="H710C1961" u="1"/>
        <s v="EC-C057000070" u="1"/>
        <s v="SHDW-043" u="1"/>
        <s v="H710C1689" u="1"/>
        <s v="H710C2104" u="1"/>
        <s v="01.025.0092" u="1"/>
        <s v="04.005.0042" u="1"/>
        <s v="04.009.0022" u="1"/>
        <s v="06.008.0022" u="1"/>
        <s v="H710C1789" u="1"/>
        <s v="06.032.0007" u="1"/>
        <s v="EC-A514000130" u="1"/>
        <s v="H710C1889" u="1"/>
        <s v="01.025.0093" u="1"/>
        <s v="04.009.0023" u="1"/>
        <s v="06.008.0023" u="1"/>
        <s v="H710C1989" u="1"/>
        <s v="06.032.0008" u="1"/>
        <s v="01.025.0094" u="1"/>
        <s v="04.005.0044" u="1"/>
        <s v="04.009.0024" u="1"/>
        <s v="06.008.0024" u="1"/>
        <s v="06.032.0009" u="1"/>
        <s v="SH-62035-31110" u="1"/>
        <s v="EC-17722040630" u="1"/>
        <s v="01.025.0095" u="1"/>
        <s v="04.003.0055" u="1"/>
        <s v="04.005.0045" u="1"/>
        <s v="06.008.0025" u="1"/>
        <s v="EC-A021000220" u="1"/>
        <s v="SH-62035-12111" u="1"/>
        <s v="01.025.0096" u="1"/>
        <s v="04.003.0056" u="1"/>
        <s v="04.005.0046" u="1"/>
        <s v="06.008.0026" u="1"/>
        <s v="06.132.0003" u="1"/>
        <s v="EC-17500549930" u="1"/>
        <s v="SH-62035-33110" u="1"/>
        <s v="01.025.0097" u="1"/>
        <s v="04.003.0057" u="1"/>
        <s v="04.005.0047" u="1"/>
        <s v="06.008.0027" u="1"/>
        <s v="06.132.0004" u="1"/>
        <s v="01.025.0098" u="1"/>
        <s v="04.005.0048" u="1"/>
        <s v="06.008.0028" u="1"/>
        <s v="06.106.0030" u="1"/>
        <s v="EC-A030000240" u="1"/>
        <s v="EC-10103456532" u="1"/>
        <s v="01.025.0099" u="1"/>
        <s v="V401000430 AMORTIGUADOR 577-757" u="1"/>
        <s v="04.003.0059" u="1"/>
        <s v="04.005.0049" u="1"/>
        <s v="06.008.0029" u="1"/>
        <s v="06.106.0031" u="1"/>
        <s v="SH-80423" u="1"/>
        <s v="06.106.0032" u="1"/>
        <s v="06.042.0020" u="1"/>
        <s v="SH-22150-52440" u="1"/>
        <s v="EC-P021001820" u="1"/>
        <s v="06.042.0021" u="1"/>
        <s v="06.046.0001" u="1"/>
        <s v="01.020.0001" u="1"/>
        <s v="SH-20021-41330" u="1"/>
        <s v="06.042.0022" u="1"/>
        <s v="06.046.0002" u="1"/>
        <s v="01.020.0002" u="1"/>
        <s v="H710C1071" u="1"/>
        <s v="06.042.0023" u="1"/>
        <s v="06.046.0003" u="1"/>
        <s v="H710C1171" u="1"/>
        <s v="SH-4042941" u="1"/>
        <s v="01.020.0003" u="1"/>
        <s v="H710C1271" u="1"/>
        <s v="CR-067" u="1"/>
        <s v="06.042.0024" u="1"/>
        <s v="06.046.0004" u="1"/>
        <s v="H710C1371" u="1"/>
        <s v="H710C1099" u="1"/>
        <s v="H710C1471" u="1"/>
        <s v="H710C1199" u="1"/>
        <s v="06.042.0025" u="1"/>
        <s v="06.046.0005" u="1"/>
        <s v="H710C1571" u="1"/>
        <s v="SHDW-004" u="1"/>
        <s v="H710C1299" u="1"/>
        <s v="H710C1671" u="1"/>
        <s v="SHDW-014" u="1"/>
        <s v="H710C1399" u="1"/>
        <s v="06.042.0026" u="1"/>
        <s v="06.046.0006" u="1"/>
        <s v="H710C1771" u="1"/>
        <s v="EC-12411405530" u="1"/>
        <s v="H710C1499" u="1"/>
        <s v="EC-P021032610" u="1"/>
        <s v="H710C1871" u="1"/>
        <s v="H710C1599" u="1"/>
        <s v="H710C2014" u="1"/>
        <s v="06.046.0007" u="1"/>
        <s v="H710C1971" u="1"/>
        <s v="SHDW-044" u="1"/>
        <s v="H710C1699" u="1"/>
        <s v="H710C2114" u="1"/>
        <s v="EC-A052000380" u="1"/>
        <s v="H710C1799" u="1"/>
        <s v="06.042.0028" u="1"/>
        <s v="06.046.0008" u="1"/>
        <s v="SH-99909-450" u="1"/>
        <s v="EC-12300038832" u="1"/>
        <s v="H710C1899" u="1"/>
        <s v="H710C1999" u="1"/>
        <s v="06.042.0029" u="1"/>
        <s v="06.046.0009" u="1"/>
        <s v="06.146.0001" u="1"/>
        <s v="EC-P021032910" u="1"/>
        <s v="EC-C022000120" u="1"/>
        <s v="06.080.0001" u="1"/>
        <s v="SH-20016-15123" u="1"/>
        <s v="SH-20024-75220" u="1"/>
        <s v="SH-62035-81013" u="1"/>
        <s v="06.080.0002" u="1"/>
        <s v="06.080.0003" u="1"/>
        <s v="06.080.0004" u="1"/>
        <s v="EC-P021017990" u="1"/>
        <s v="06.080.0005" u="1"/>
        <s v="SH-20021-83411" u="1"/>
        <s v="SH-80424" u="1"/>
        <s v="SH-62035-85013" u="1"/>
        <s v="06.080.0006" u="1"/>
        <s v="06.080.0007" u="1"/>
        <s v="OT-B95" u="1"/>
        <s v="SH-22175-54100" u="1"/>
        <s v="EC-61032052130" u="1"/>
        <s v="SH-63019-63310" u="1"/>
        <s v="SH-70014-74120" u="1"/>
        <s v="H710C1081" u="1"/>
        <s v="IB-002" u="1"/>
        <s v="H710C1181" u="1"/>
        <s v="06.180.0001" u="1"/>
        <s v="H710C1281" u="1"/>
        <s v="04.005.0180" u="1"/>
        <s v="03.009.0020" u="1"/>
        <s v="H710C1381" u="1"/>
        <s v="06.180.0002" u="1"/>
        <s v="EC-17722827030" u="1"/>
        <s v="IMP-251" u="1"/>
        <s v="H710C1481" u="1"/>
        <s v="04.005.0181" u="1"/>
        <s v="03.009.0021" u="1"/>
        <s v="H710C1581" u="1"/>
        <s v="SHDW-005" u="1"/>
        <s v="EC-A506000120" u="1"/>
        <s v="H710C1681" u="1"/>
        <s v="IMP-254" u="1"/>
        <s v="04.005.0182" u="1"/>
        <s v="03.009.0022" u="1"/>
        <s v="SH-20020-51112" u="1"/>
        <s v="H710C1781" u="1"/>
        <s v="JF-265" u="1"/>
        <s v="SHDW-025" u="1"/>
        <s v="H710C1881" u="1"/>
        <s v="EC-X411000960" u="1"/>
        <s v="04.005.0183" u="1"/>
        <s v="H710C2024" u="1"/>
        <s v="06.152.0040" u="1"/>
        <s v="H710C1981" u="1"/>
        <s v="SHDW-045" u="1"/>
        <s v="H710C2124" u="1"/>
        <s v="04.005.0184" u="1"/>
        <s v="06.152.0041" u="1"/>
        <s v="SH-22051-11903" u="1"/>
        <s v="SH-72920-81820" u="1"/>
        <s v="EC-A509000320" u="1"/>
        <s v="SH-22150-41280" u="1"/>
        <s v="06.094.0001" u="1"/>
        <s v="EC-C051000680" u="1"/>
        <s v="SH-70135-15100" u="1"/>
        <s v="JF-002" u="1"/>
        <s v="SH-8000142" u="1"/>
        <s v="06.094.0002" u="1"/>
        <s v="06.180.0009" u="1"/>
        <s v="EC-A023000230" u="1"/>
        <s v="H224F700" u="1"/>
        <s v="06.094.0003" u="1"/>
        <s v="SH-22169-71700" u="1"/>
        <s v="06.094.0004" u="1"/>
        <s v="EC-A011000810" u="1"/>
        <s v="SH-80405" u="1"/>
        <s v="01.048.0001" u="1"/>
        <s v="CR-104" u="1"/>
        <s v="01.048.0002" u="1"/>
        <s v="SH-20000-85511" u="1"/>
        <s v="01.048.0003" u="1"/>
        <s v="06.094.0008" u="1"/>
        <s v="01.048.0004" u="1"/>
        <s v="06.094.0009" u="1"/>
        <s v="H710C1091" u="1"/>
        <s v="01.018.0050" u="1"/>
        <s v="H710C1191" u="1"/>
        <s v="01.048.0005" u="1"/>
        <s v="06.194.0002" u="1"/>
        <s v="SH-22160-12150" u="1"/>
        <s v="H710C1291" u="1"/>
        <s v="01.018.0051" u="1"/>
        <s v="H710C1391" u="1"/>
        <s v="01.048.0006" u="1"/>
        <s v="06.194.0003" u="1"/>
        <s v="EC-70617038721" u="1"/>
        <s v="H710C1491" u="1"/>
        <s v="74XX3020N35" u="1"/>
        <s v="01.018.0052" u="1"/>
        <s v="H710C1591" u="1"/>
        <s v="01.048.0007" u="1"/>
        <s v="06.194.0004" u="1"/>
        <s v="JF-279" u="1"/>
        <s v="SHDW-006" u="1"/>
        <s v="H710C1691" u="1"/>
        <s v="SHDW-016" u="1"/>
        <s v="01.018.0053" u="1"/>
        <s v="H710C1791" u="1"/>
        <s v="01.048.0008" u="1"/>
        <s v="06.194.0005" u="1"/>
        <s v="SHDW-026" u="1"/>
        <s v="H710C1891" u="1"/>
        <s v="10.022.0001" u="1"/>
        <s v="CR-018" u="1"/>
        <s v="SHDW-036" u="1"/>
        <s v="H710C2034" u="1"/>
        <s v="01.018.0054" u="1"/>
        <s v="H710C1991" u="1"/>
        <s v="01.048.0009" u="1"/>
        <s v="06.194.0006" u="1"/>
        <s v="SHDW-046" u="1"/>
        <s v="10.022.0002" u="1"/>
        <s v="01.018.0055" u="1"/>
        <s v="SH-99909-451" u="1"/>
        <s v="10.022.0003" u="1"/>
        <s v="01.018.0056" u="1"/>
        <s v="JF-016" u="1"/>
        <s v="EC-C504000620" u="1"/>
        <s v="01.018.0057" u="1"/>
        <s v="01.018.0058" u="1"/>
        <s v="01.018.0059" u="1"/>
        <s v="SH-72550-82120" u="1"/>
        <s v="SH-22051-11920" u="1"/>
        <s v="SH-22155-51200" u="1"/>
        <s v="EC-70602049A20" u="1"/>
        <s v="EC-43021530833" u="1"/>
        <s v="06.031.0001" u="1"/>
        <s v="EC-A175000150" u="1"/>
        <s v="CR-118" u="1"/>
        <s v="EC-1772260110" u="1"/>
        <s v="06.031.0002" u="1"/>
        <s v="EC-43710038832" u="1"/>
        <s v="SH-22169-51140" u="1"/>
        <s v="06.031.0003" u="1"/>
        <s v="CR-052" u="1"/>
        <s v="04.006.0030" u="1"/>
        <s v="04.008.0020" u="1"/>
        <s v="06.009.0010" u="1"/>
        <s v="06.031.0005" u="1"/>
        <s v="04.006.0031" u="1"/>
        <s v="04.008.0021" u="1"/>
        <s v="06.009.0011" u="1"/>
        <s v="H710C1004" u="1"/>
        <s v="EC-13001743130" u="1"/>
        <s v="H710C1104" u="1"/>
        <s v="04.006.0032" u="1"/>
        <s v="04.008.0022" u="1"/>
        <s v="06.009.0012" u="1"/>
        <s v="H710C1204" u="1"/>
        <s v="EC-A504000130" u="1"/>
        <s v="H710C1304" u="1"/>
        <s v="EC-C534000680" u="1"/>
        <s v="04.006.0033" u="1"/>
        <s v="04.008.0023" u="1"/>
        <s v="06.009.0013" u="1"/>
        <s v="H710C1404" u="1"/>
        <s v="06.031.0008" u="1"/>
        <s v="H710C1504" u="1"/>
        <s v="04.006.0034" u="1"/>
        <s v="04.008.0024" u="1"/>
        <s v="06.009.0014" u="1"/>
        <s v="EC-A011000120" u="1"/>
        <s v="H710C1604" u="1"/>
        <s v="06.131.0001" u="1"/>
        <s v="EC-A506000230" u="1"/>
        <s v="H710C1704" u="1"/>
        <s v="SHDW-037" u="1"/>
        <s v="H710C2044" u="1"/>
        <s v="04.006.0035" u="1"/>
        <s v="04.008.0025" u="1"/>
        <s v="H710C1804" u="1"/>
        <s v="06.131.0002" u="1"/>
        <s v="SHDW-047" u="1"/>
        <s v="H710C1904" u="1"/>
        <s v="04.006.0036" u="1"/>
        <s v="04.008.0026" u="1"/>
        <s v="06.009.0016" u="1"/>
        <s v="SH-22160-41240" u="1"/>
        <s v="06.131.0003" u="1"/>
        <s v="04.006.0037" u="1"/>
        <s v="06.009.0017" u="1"/>
        <s v="06.131.0004" u="1"/>
        <s v="CR-DPF" u="1"/>
        <s v="EC-A520000170" u="1"/>
        <s v="04.008.0028" u="1"/>
        <s v="06.009.0018" u="1"/>
        <s v="SH-62035-31310" u="1"/>
        <s v="06.131.0005" u="1"/>
        <s v="04.008.0029" u="1"/>
        <s v="06.009.0019" u="1"/>
        <s v="SH-62035-32310" u="1"/>
        <s v="06.131.0006" u="1"/>
        <s v="06.131.0007" u="1"/>
        <s v="EC-70613005230" u="1"/>
        <s v="06.045.0001" u="1"/>
        <s v="06.131.0008" u="1"/>
        <s v="SH-68501-12210" u="1"/>
        <s v="06.045.0002" u="1"/>
        <s v="EC-V513000000" u="1"/>
        <s v="SH-20021-81920" u="1"/>
        <s v="H224A800" u="1"/>
        <s v="06.045.0003" u="1"/>
        <s v="81PS4008" u="1"/>
        <s v="SH-70210-83110" u="1"/>
        <s v="CR-066" u="1"/>
        <s v="EC-P022002080" u="1"/>
        <s v="EC-10101161230" u="1"/>
        <s v="ZM-009" u="1"/>
        <s v="H710C1014" u="1"/>
        <s v="06.045.0007" u="1"/>
        <s v="H710C1114" u="1"/>
        <s v="H710C1214" u="1"/>
        <s v="06.141.0020" u="1"/>
        <s v="06.143.0010" u="1"/>
        <s v="H710C1314" u="1"/>
        <s v="74XX3022N35" u="1"/>
        <s v="H710C1414" u="1"/>
        <s v="06.141.0021" u="1"/>
        <s v="06.143.0011" u="1"/>
        <s v="SHDW-008" u="1"/>
        <s v="H710C1514" u="1"/>
        <s v="SHDW-018" u="1"/>
        <s v="H710C1614" u="1"/>
        <s v="SHDW-028" u="1"/>
        <s v="EC-A021001680" u="1"/>
        <s v="SH-70871-81100" u="1"/>
        <s v="SH-4050771" u="1"/>
        <s v="H710C1714" u="1"/>
        <s v="SHDW-038" u="1"/>
        <s v="H710C2054" u="1"/>
        <s v="H710C1814" u="1"/>
        <s v="06.143.0013" u="1"/>
        <s v="06.145.0003" u="1"/>
        <s v="SHDW-048" u="1"/>
        <s v="SHDW-048 " u="1"/>
        <s v="H710C1914" u="1"/>
        <s v="06.143.0014" u="1"/>
        <s v="06.145.0004" u="1"/>
        <s v="06.143.0015" u="1"/>
        <s v="06.145.0005" u="1"/>
        <s v="SH-80250" u="1"/>
        <s v="06.143.0016" u="1"/>
        <s v="06.145.0006" u="1"/>
        <s v="06.143.0017" u="1"/>
        <s v="01.013.0100" u="1"/>
        <s v="EC-A130001820" u="1"/>
        <s v="06.143.0018" u="1"/>
        <s v="01.013.0101" u="1"/>
        <s v="01.033.0001" u="1"/>
        <s v="SH-22035-13242" u="1"/>
        <s v="06.059.0002" u="1"/>
        <s v="06.143.0019" u="1"/>
        <s v="01.013.0102" u="1"/>
        <s v="01.033.0002" u="1"/>
        <s v="SH-22169-51100" u="1"/>
        <s v="01.013.0103" u="1"/>
        <s v="01.033.0003" u="1"/>
        <s v="EC-V043000530" u="1"/>
        <s v="IB-001" u="1"/>
        <s v="01.013.0104" u="1"/>
        <s v="01.033.0004" u="1"/>
        <s v="EC-12314103930" u="1"/>
        <s v="01.007.0030" u="1"/>
        <s v="03.004.0040" u="1"/>
        <s v="03.008.0020" u="1"/>
        <s v="01.013.0105" u="1"/>
        <s v="01.033.0005" u="1"/>
        <s v="03.008.0021" u="1"/>
        <s v="01.013.0106" u="1"/>
        <s v="01.033.0006" u="1"/>
        <s v="03.008.0022" u="1"/>
        <s v="01.013.0107" u="1"/>
        <s v="01.033.0007" u="1"/>
        <s v="SH-62035-21010" u="1"/>
        <s v="CRE-032" u="1"/>
        <s v="H710C1024" u="1"/>
        <s v="03.008.0023" u="1"/>
        <s v="06.157.0010" u="1"/>
        <s v="01.013.0108" u="1"/>
        <s v="01.033.0008" u="1"/>
        <s v="CRE-033" u="1"/>
        <s v="H710C1124" u="1"/>
        <s v="EC-C534000590" u="1"/>
        <s v="EC-V651000700" u="1"/>
        <s v="EC-P005001110" u="1"/>
        <s v="CRE-034" u="1"/>
        <s v="H710C1224" u="1"/>
        <s v="03.008.0024" u="1"/>
        <s v="06.159.0001" u="1"/>
        <s v="01.013.0109" u="1"/>
        <s v="01.033.0009" u="1"/>
        <s v="EC-A504000140" u="1"/>
        <s v="H710C1324" u="1"/>
        <s v="H710C1424" u="1"/>
        <s v="03.008.0025" u="1"/>
        <s v="06.159.0002" u="1"/>
        <s v="SHDW-009" u="1"/>
        <s v="M001465260" u="1"/>
        <s v="H710C1524" u="1"/>
        <s v="SHDW-019" u="1"/>
        <s v="H710C1624" u="1"/>
        <s v="03.008.0026" u="1"/>
        <s v="EC-C535000790" u="1"/>
        <s v="H710C1724" u="1"/>
        <s v="H710C2064" u="1"/>
        <s v="H710C1824" u="1"/>
        <s v="03.008.0027" u="1"/>
        <s v="H522E000" u="1"/>
        <s v="SH-81630" u="1"/>
        <s v="H710C1924" u="1"/>
        <s v="03.002.0058" u="1"/>
        <s v="03.008.0028" u="1"/>
        <s v="SH-3013172" u="1"/>
        <s v="03.002.0059" u="1"/>
        <s v="03.008.0029" u="1"/>
        <s v="EC-12438012710" u="1"/>
        <s v="SH-20011-31230" u="1"/>
        <s v="EC-C044000880" u="1"/>
        <s v="01.025.0110" u="1"/>
        <s v="01.047.0001" u="1"/>
        <s v="EC-P021029730" u="1"/>
        <s v="SH-1001141" u="1"/>
        <s v="CR-103" u="1"/>
        <s v="EC-13001755630" u="1"/>
        <s v="EC-10010160931" u="1"/>
        <s v="SH-20010-81711" u="1"/>
        <s v="EC-12534107360" u="1"/>
        <s v="SH-22155-71130" u="1"/>
        <s v="EC-A033000070" u="1"/>
        <s v="EC-A030000270" u="1"/>
        <s v="06.193.0001" u="1"/>
        <s v="01.013.0070" u="1"/>
        <s v="01.019.0040" u="1"/>
        <s v="06.193.0002" u="1"/>
        <s v="SH-22000-13290" u="1"/>
        <s v="SH-22155-96521" u="1"/>
        <s v="SH-65001" u="1"/>
        <s v="01.019.0041" u="1"/>
        <s v="06.193.0003" u="1"/>
        <s v="01.019.0042" u="1"/>
        <s v="06.193.0004" u="1"/>
        <s v="JF-278" u="1"/>
        <s v="EC-25021111610" u="1"/>
        <s v="01.019.0043" u="1"/>
        <s v="06.169.0020" u="1"/>
        <s v="BC0291" u="1"/>
        <s v="C300B000" u="1"/>
        <s v="CR-017" u="1"/>
        <s v="H710C1034" u="1"/>
        <s v="01.013.0074" u="1"/>
        <s v="01.019.0044" u="1"/>
        <s v="06.169.0021" u="1"/>
        <s v="H710C1134" u="1"/>
        <s v="H710C1234" u="1"/>
        <s v="01.019.0045" u="1"/>
        <s v="06.169.0022" u="1"/>
        <s v="H710C1334" u="1"/>
        <s v="H710C1434" u="1"/>
        <s v="01.013.0076" u="1"/>
        <s v="01.019.0046" u="1"/>
        <s v="JF-015" u="1"/>
        <s v="H710C1534" u="1"/>
        <s v="H710C1634" u="1"/>
        <s v="01.013.0077" u="1"/>
        <s v="01.019.0047" u="1"/>
        <s v="06.169.0024" u="1"/>
        <s v="H450E000" u="1"/>
        <s v="EC-A130001330" u="1"/>
        <s v="H710C1734" u="1"/>
        <s v="H710C2074" u="1"/>
        <s v="H710C1834" u="1"/>
        <s v="01.013.0078" u="1"/>
        <s v="01.019.0048" u="1"/>
        <s v="06.169.0025" u="1"/>
        <s v="H710C1934" u="1"/>
        <s v="76XX3035N-06" u="1"/>
        <s v="SH-99909-453" u="1"/>
        <s v="01.013.0079" u="1"/>
        <s v="01.019.0049" u="1"/>
        <s v="06.169.0026" u="1"/>
        <s v="EC-12411411120" u="1"/>
        <s v="06.169.0027" u="1"/>
        <s v="06.169.0028" u="1"/>
        <s v="06.030.0001" u="1"/>
        <s v="EC-10101030830" u="1"/>
        <s v="CR-117" u="1"/>
        <s v="06.169.0029" u="1"/>
        <s v="06.030.0002" u="1"/>
        <s v="06.030.0003" u="1"/>
        <s v="CR-051" u="1"/>
        <s v="EC-SRM 270" u="1"/>
        <s v="06.030.0004" u="1"/>
        <s v="SH-22169-51200" u="1"/>
        <s v="SH-17500-23600" u="1"/>
        <s v="01.025.0080" u="1"/>
        <s v="H451E000" u="1"/>
        <s v="04.003.0040" u="1"/>
        <s v="04.005.0030" u="1"/>
        <s v="04.007.0020" u="1"/>
        <s v="04.009.0010" u="1"/>
        <s v="06.006.0020" u="1"/>
        <s v="06.008.0010" u="1"/>
        <s v="EC-V043000540" u="1"/>
        <s v="06.030.0005" u="1"/>
        <s v="EC-V555000090" u="1"/>
        <s v="01.025.0081" u="1"/>
        <s v="SH-72005-92630" u="1"/>
        <s v="04.003.0041" u="1"/>
        <s v="04.005.0031" u="1"/>
        <s v="04.007.0021" u="1"/>
        <s v="04.009.0011" u="1"/>
        <s v="06.004.0031" u="1"/>
        <s v="06.006.0021" u="1"/>
        <s v="SH-20000-81150" u="1"/>
        <s v="06.030.0006" u="1"/>
        <s v="SH-70030-71620" u="1"/>
        <s v="SH-65002" u="1"/>
        <s v="01.025.0082" u="1"/>
        <s v="04.003.0042" u="1"/>
        <s v="04.005.0032" u="1"/>
        <s v="04.007.0022" u="1"/>
        <s v="04.009.0012" u="1"/>
        <s v="06.004.0032" u="1"/>
        <s v="06.006.0022" u="1"/>
        <s v="06.008.0012" u="1"/>
        <s v="SH-20020-81150" u="1"/>
        <s v="06.030.0007" u="1"/>
        <s v="01.025.0083" u="1"/>
        <s v="04.003.0043" u="1"/>
        <s v="04.005.0033" u="1"/>
        <s v="04.007.0023" u="1"/>
        <s v="04.009.0013" u="1"/>
        <s v="06.004.0033" u="1"/>
        <s v="06.006.0023" u="1"/>
        <s v="06.008.0013" u="1"/>
        <s v="06.030.0008" u="1"/>
        <s v="SH-22169-55200" u="1"/>
        <s v="SH-70140-32104" u="1"/>
        <s v="01.025.0084" u="1"/>
        <s v="04.003.0044" u="1"/>
        <s v="04.005.0034" u="1"/>
        <s v="04.007.0024" u="1"/>
        <s v="04.009.0014" u="1"/>
        <s v="06.004.0034" u="1"/>
        <s v="06.008.0014" u="1"/>
        <s v="06.130.0001" u="1"/>
        <s v="H710C1044" u="1"/>
        <s v="01.025.0085" u="1"/>
        <s v="04.005.0035" u="1"/>
        <s v="04.007.0025" u="1"/>
        <s v="04.009.0015" u="1"/>
        <s v="06.004.0035" u="1"/>
        <s v="06.008.0015" u="1"/>
        <s v="06.130.0002" u="1"/>
        <s v="H710C1144" u="1"/>
        <s v="H710C1244" u="1"/>
        <s v="01.025.0086" u="1"/>
        <s v="SH-20140-82210" u="1"/>
        <s v="06.004.0036" u="1"/>
        <s v="06.008.0016" u="1"/>
        <s v="JF-029" u="1"/>
        <s v="H710C1344" u="1"/>
        <s v="H710C1444" u="1"/>
        <s v="01.025.0087" u="1"/>
        <s v="04.005.0037" u="1"/>
        <s v="04.009.0017" u="1"/>
        <s v="06.004.0037" u="1"/>
        <s v="06.008.0017" u="1"/>
        <s v="EC-A506000150" u="1"/>
        <s v="H710C1544" u="1"/>
        <s v="SH-70012-35130" u="1"/>
        <s v="EC-P021028900" u="1"/>
        <s v="SH-4568020" u="1"/>
        <s v="H710C1644" u="1"/>
        <s v="01.025.0088" u="1"/>
        <s v="04.005.0038" u="1"/>
        <s v="04.009.0018" u="1"/>
        <s v="06.004.0038" u="1"/>
        <s v="06.008.0018" u="1"/>
        <s v="06.106.0020" u="1"/>
        <s v="06.108.0010" u="1"/>
        <s v="H710C1744" u="1"/>
        <s v="H710C2084" u="1"/>
        <s v="EC-P021010582" u="1"/>
        <s v="H710C1844" u="1"/>
        <s v="01.025.0089" u="1"/>
        <s v="04.003.0049" u="1"/>
        <s v="04.005.0039" u="1"/>
        <s v="04.009.0019" u="1"/>
        <s v="06.004.0039" u="1"/>
        <s v="06.106.0021" u="1"/>
        <s v="06.108.0011" u="1"/>
        <s v="H710C1944" u="1"/>
        <s v="06.106.0022" u="1"/>
        <s v="06.108.0012" u="1"/>
        <s v="06.042.0010" u="1"/>
        <s v="SH-72577-98011" u="1"/>
        <s v="06.106.0023" u="1"/>
        <s v="06.108.0013" u="1"/>
        <s v="06.042.0011" u="1"/>
        <s v="06.044.0001" u="1"/>
        <s v="SH-80253" u="1"/>
        <s v="EC-70616002061" u="1"/>
        <s v="06.106.0024" u="1"/>
        <s v="06.108.0014" u="1"/>
        <s v="SH-20000-85579" u="1"/>
        <s v="06.042.0012" u="1"/>
        <s v="EC-V102000001" u="1"/>
        <s v="SH-22020-11110" u="1"/>
        <s v="EC-13030013411" u="1"/>
        <s v="06.106.0025" u="1"/>
        <s v="06.108.0015" u="1"/>
        <s v="H224A700" u="1"/>
        <s v="06.042.0013" u="1"/>
        <s v="CR-065" u="1"/>
        <s v="06.106.0026" u="1"/>
        <s v="06.108.0016" u="1"/>
        <s v="06.042.0014" u="1"/>
        <s v="SH-60020-98310" u="1"/>
        <s v="EC-A011000840" u="1"/>
        <s v="01.019.0180" u="1"/>
        <s v="06.106.0027" u="1"/>
        <s v="06.108.0017" u="1"/>
        <s v="06.042.0015" u="1"/>
        <s v="H453E000" u="1"/>
        <s v="06.106.0028" u="1"/>
        <s v="06.108.0018" u="1"/>
        <s v="06.042.0016" u="1"/>
        <s v="ZM-008" u="1"/>
        <s v="SH-80387" u="1"/>
        <s v="01.019.0182" u="1"/>
        <s v="06.106.0029" u="1"/>
        <s v="06.108.0019" u="1"/>
        <s v="06.042.0017" u="1"/>
        <s v="SH-65003" u="1"/>
        <s v="01.019.0183" u="1"/>
        <s v="01.019.0184" u="1"/>
        <s v="SH-62035-82330" u="1"/>
        <s v="06.042.0019" u="1"/>
        <s v="EC-P004002860" u="1"/>
        <s v="SH-02432-22100" u="1"/>
        <s v="SH-20087-81820" u="1"/>
        <s v="01.019.0185" u="1"/>
        <s v="H710C1054" u="1"/>
        <s v="01.019.0186" u="1"/>
        <s v="H710C1154" u="1"/>
        <s v="H710C1254" u="1"/>
        <s v="01.019.0187" u="1"/>
        <s v="H710C1354" u="1"/>
        <s v="H710C1454" u="1"/>
        <s v="01.019.0188" u="1"/>
        <s v="H710C1554" u="1"/>
        <s v="SH-02030-06202" u="1"/>
        <s v="H710C1654" u="1"/>
        <s v="EC-A130001340" u="1"/>
        <s v="H710C1754" u="1"/>
        <s v="H710C2094" u="1"/>
        <s v="H710C1854" u="1"/>
        <s v="H710C1954" u="1"/>
        <s v="01.032.0001" u="1"/>
        <s v="OT-653" u="1"/>
        <s v="06.058.0002" u="1"/>
        <s v="01.032.0002" u="1"/>
        <s v="OT-B93   " u="1"/>
        <s v="06.058.0003" u="1"/>
        <s v="BR4000" u="1"/>
        <s v="01.032.0003" u="1"/>
        <s v="CR-079" u="1"/>
        <s v="06.058.0004" u="1"/>
        <s v="04.005.0170" u="1"/>
        <s v="03.001.0050" u="1"/>
        <s v="03.009.0010" u="1"/>
        <s v="06.058.0005" u="1"/>
        <s v="SH-22155-51500" u="1"/>
        <s v="130326100555456" u="1"/>
        <s v="04.005.0171" u="1"/>
        <s v="03.001.0051" u="1"/>
        <s v="03.009.0011" u="1"/>
        <s v="05.008.0011" u="1"/>
        <s v="04.005.0172" u="1"/>
        <s v="03.001.0052" u="1"/>
        <s v="03.009.0012" u="1"/>
        <s v="EC-A175000180" u="1"/>
        <s v="EC-30100156831" u="1"/>
        <s v="04.005.0173" u="1"/>
        <s v="SH-70200-85001" u="1"/>
        <s v="03.001.0053" u="1"/>
        <s v="03.009.0013" u="1"/>
        <s v="CRE-023" u="1"/>
        <s v="04.005.0174" u="1"/>
        <s v="SH-22021-13390" u="1"/>
        <s v="03.001.0054" u="1"/>
        <s v="03.009.0014" u="1"/>
        <s v="06.158.0001" u="1"/>
        <s v="EC-10001101110" u="1"/>
        <s v="SH-72282-15310" u="1"/>
        <s v="04.005.0175" u="1"/>
        <s v="03.001.0055" u="1"/>
        <s v="03.009.0015" u="1"/>
        <s v="06.158.0002" u="1"/>
        <s v="EC-V651000520" u="1"/>
        <s v="EC-P021014320" u="1"/>
        <s v="04.005.0176" u="1"/>
        <s v="H710F200" u="1"/>
        <s v="03.001.0056" u="1"/>
        <s v="03.009.0016" u="1"/>
        <s v="06.158.0003" u="1"/>
        <s v="06.092.0001" u="1"/>
        <s v="EC-P021028610" u="1"/>
        <s v="H710C1064" u="1"/>
        <s v="04.005.0177" u="1"/>
        <s v="03.001.0057" u="1"/>
        <s v="03.009.0017" u="1"/>
        <s v="EC-A504000060" u="1"/>
        <s v="H710C1164" u="1"/>
        <s v="EC-P005001130" u="1"/>
        <s v="H710C1264" u="1"/>
        <s v="04.005.0178" u="1"/>
        <s v="03.009.0018" u="1"/>
        <s v="H710C1364" u="1"/>
        <s v="H710C1464" u="1"/>
        <s v="04.005.0179" u="1"/>
        <s v="03.009.0019" u="1"/>
        <s v="H710C1564" u="1"/>
        <s v="H710C1664" u="1"/>
        <s v="WP-1000" u="1"/>
        <s v="06.152.0037" u="1"/>
        <s v="EC-A506000260" u="1"/>
        <s v="H710C1764" u="1"/>
        <s v="EC-A011000250" u="1"/>
        <s v="H710C1864" u="1"/>
        <s v="EC-A514000080" u="1"/>
        <s v="EC-10010030830" u="1"/>
        <s v="H710C2007" u="1"/>
        <s v="01.046.0001" u="1"/>
        <s v="H710C1964" u="1"/>
        <s v="ZM-056" u="1"/>
        <s v="H710C2107" u="1"/>
        <s v="CR-102" u="1"/>
        <s v="06.152.0039" u="1"/>
        <s v="EC-12300060930" u="1"/>
        <s v="SH-80255" u="1"/>
        <s v="SH-80265" u="1"/>
        <s v="H711F200" u="1"/>
        <s v="01.018.0040" u="1"/>
        <s v="01.018.0041" u="1"/>
        <s v="OR-206045" u="1"/>
        <s v="01.018.0042" u="1"/>
        <s v="JF-277" u="1"/>
        <s v="01.018.0043" u="1"/>
        <s v="10.020.0001" u="1"/>
        <s v="CR-016" u="1"/>
        <s v="01.018.0044" u="1"/>
        <s v="SH-22160-33801" u="1"/>
        <s v="01.018.0045" u="1"/>
        <s v="EC-17504656030" u="1"/>
        <s v="EC-SP40BPS" u="1"/>
        <s v="01.018.0046" u="1"/>
        <s v="JF-014" u="1"/>
        <s v="01.018.0047" u="1"/>
        <s v="H710C1074" u="1"/>
        <s v="01.018.0048" u="1"/>
        <s v="SH-20021-86110" u="1"/>
        <s v="H710C1174" u="1"/>
        <s v="H710C1274" u="1"/>
        <s v="CR-CARCUSTOM" u="1"/>
        <s v="01.018.0049" u="1"/>
        <s v="SH-02006-06002" u="1"/>
        <s v="EC-A130001150" u="1"/>
        <s v="H710C1374" u="1"/>
        <s v="3FKFS250218" u="1"/>
        <s v="H710C1474" u="1"/>
        <s v="SH-70140-51220" u="1"/>
        <s v="EC-C506000160" u="1"/>
        <s v="H710C1574" u="1"/>
        <s v="H710C1674" u="1"/>
        <s v="H710C1774" u="1"/>
        <s v="SH-78890-14000" u="1"/>
        <s v="H710C1874" u="1"/>
        <s v="SH-22169-42000" u="1"/>
        <s v="H710C2017" u="1"/>
        <s v="H710C1974" u="1"/>
        <s v="EC-43171730230" u="1"/>
        <s v="H710C2117" u="1"/>
        <s v="SH-20021-51120" u="1"/>
        <s v="SH-80256" u="1"/>
        <s v="SH-38500-82120" u="1"/>
        <s v="04.006.0021" u="1"/>
        <s v="04.008.0011" u="1"/>
        <s v="06.009.0001" u="1"/>
        <s v="SH-20018-31270" u="1"/>
        <s v="04.006.0022" u="1"/>
        <s v="04.008.0012" u="1"/>
        <s v="06.009.0002" u="1"/>
        <s v="EC-17800159230" u="1"/>
        <s v="04.006.0023" u="1"/>
        <s v="04.008.0013" u="1"/>
        <s v="EC-B450EMC" u="1"/>
        <s v="EC-V043000560" u="1"/>
        <s v="04.006.0024" u="1"/>
        <s v="04.008.0014" u="1"/>
        <s v="06.009.0004" u="1"/>
        <s v="04.006.0025" u="1"/>
        <s v="04.008.0015" u="1"/>
        <s v="06.009.0005" u="1"/>
        <s v="SH-62035-82121" u="1"/>
        <s v="SH-22015-13290" u="1"/>
        <s v="04.006.0026" u="1"/>
        <s v="04.008.0016" u="1"/>
        <s v="06.009.0006" u="1"/>
        <s v="EC-13000739931" u="1"/>
        <s v="SH-22035-13290" u="1"/>
        <s v="SH-22157-12110" u="1"/>
        <s v="JF-028" u="1"/>
        <s v="04.006.0027" u="1"/>
        <s v="04.008.0017" u="1"/>
        <s v="06.009.0007" u="1"/>
        <s v="EC-P004000700" u="1"/>
        <s v="H232E000" u="1"/>
        <s v="SH-02432-40170" u="1"/>
        <s v="04.006.0028" u="1"/>
        <s v="04.008.0018" u="1"/>
        <s v="SH-20070-81350" u="1"/>
        <s v="H710C1084" u="1"/>
        <s v="04.006.0029" u="1"/>
        <s v="04.008.0019" u="1"/>
        <s v="06.009.0009" u="1"/>
        <s v="06.109.0001" u="1"/>
        <s v="H710C1184" u="1"/>
        <s v="H710C1284" u="1"/>
        <s v="06.109.0002" u="1"/>
        <s v="H710C1384" u="1"/>
        <s v="H710C1484" u="1"/>
        <s v="EC-P004001340" u="1"/>
        <s v="06.109.0003" u="1"/>
        <s v="H710C1584" u="1"/>
        <s v="06.041.0011" u="1"/>
        <s v="06.043.0001" u="1"/>
        <s v="EC-12300055630" u="1"/>
        <s v="H710C1684" u="1"/>
        <s v="EC-A506000270" u="1"/>
        <s v="06.109.0004" u="1"/>
        <s v="H710C1784" u="1"/>
        <s v="06.041.0012" u="1"/>
        <s v="06.043.0002" u="1"/>
        <s v="H710C1884" u="1"/>
        <s v="SH-70200-33112" u="1"/>
        <s v="H710C2027" u="1"/>
        <s v="H710C1984" u="1"/>
        <s v="06.041.0013" u="1"/>
        <s v="SH-02000-00608" u="1"/>
        <s v="EC-A020000080" u="1"/>
        <s v="CR-064" u="1"/>
        <s v="06.109.0006" u="1"/>
        <s v="EC-17504903920" u="1"/>
        <s v="06.041.0014" u="1"/>
        <s v="SH-80247" u="1"/>
        <s v="06.109.0007" u="1"/>
        <s v="06.041.0015" u="1"/>
        <s v="H233E000" u="1"/>
        <s v="06.041.0016" u="1"/>
        <s v="EC-12438055430" u="1"/>
        <s v="06.209.0001" u="1"/>
        <s v="06.041.0017" u="1"/>
        <s v="06.041.0018" u="1"/>
        <s v="SH-62035-75130" u="1"/>
        <s v="06.209.0003" u="1"/>
        <s v="06.041.0019" u="1"/>
        <s v="06.141.0011" u="1"/>
        <s v="06.143.0001" u="1"/>
        <s v="06.209.0004" u="1"/>
        <s v="06.141.0012" u="1"/>
        <s v="06.143.0002" u="1"/>
        <s v="EC-P021031630" u="1"/>
        <s v="SH-72282-15101" u="1"/>
        <s v="06.209.0005" u="1"/>
        <s v="06.143.0003" u="1"/>
        <s v="06.141.0014" u="1"/>
        <s v="06.143.0004" u="1"/>
        <s v="SH-62104-15210" u="1"/>
        <s v="06.143.0005" u="1"/>
        <s v="EC-C501000070" u="1"/>
        <s v="SH-4037771" u="1"/>
        <s v="06.143.0006" u="1"/>
        <s v="H710C1094" u="1"/>
        <s v="SH-70102-51220" u="1"/>
        <s v="H710C1194" u="1"/>
        <s v="06.141.0017" u="1"/>
        <s v="06.143.0007" u="1"/>
        <s v="H710C1294" u="1"/>
        <s v="SH-62903-66111" u="1"/>
        <s v="EC-17500942231" u="1"/>
        <s v="H710C1394" u="1"/>
        <s v="06.057.0001" u="1"/>
        <s v="06.141.0018" u="1"/>
        <s v="06.143.0008" u="1"/>
        <s v="01.031.0001" u="1"/>
        <s v="H710C1494" u="1"/>
        <s v="SH-20011-71611" u="1"/>
        <s v="H710C1594" u="1"/>
        <s v="06.141.0019" u="1"/>
        <s v="06.143.0009" u="1"/>
        <s v="01.031.0002" u="1"/>
        <s v="SH-22152-41231" u="1"/>
        <s v="H710C1694" u="1"/>
        <s v="EC-P021032670" u="1"/>
        <s v="H710C1794" u="1"/>
        <s v="SH-81593" u="1"/>
        <s v="01.031.0003" u="1"/>
        <s v="H710C1894" u="1"/>
        <s v="H710C2037" u="1"/>
        <s v="H710C1994" u="1"/>
        <s v="SH-4527270" u="1"/>
        <s v="SH-4574920" u="1"/>
        <s v="SH-72080-98020" u="1"/>
        <s v="01.007.0020" u="1"/>
        <s v="01.009.0010" u="1"/>
        <s v="03.008.0010" u="1"/>
        <s v="EC-A130001660" u="1"/>
        <s v="01.007.0021" u="1"/>
        <s v="01.009.0011" u="1"/>
        <s v="03.008.0011" u="1"/>
        <s v="CRE-010" u="1"/>
        <s v="01.007.0022" u="1"/>
        <s v="03.008.0012" u="1"/>
        <s v="EC-CS 680S" u="1"/>
        <s v="EC-CS 680S   " u="1"/>
        <s v="EC-CS 680S     " u="1"/>
        <s v="03.008.0013" u="1"/>
        <s v="EC-70604003770" u="1"/>
        <s v="CR-001" u="1"/>
        <s v="01.007.0024" u="1"/>
        <s v="03.008.0014" u="1"/>
        <s v="06.157.0001" u="1"/>
        <s v="SH-20000-81310" u="1"/>
        <s v="SH-60035-98310" u="1"/>
        <s v="CRE-016" u="1"/>
        <s v="01.007.0025" u="1"/>
        <s v="03.008.0015" u="1"/>
        <s v="06.157.0002" u="1"/>
        <s v="EC-14551055932" u="1"/>
        <s v="SH-20010-75190" u="1"/>
        <s v="01.007.0026" u="1"/>
        <s v="03.008.0016" u="1"/>
        <s v="06.157.0003" u="1"/>
        <s v="06.091.0001" u="1"/>
        <s v="01.007.0027" u="1"/>
        <s v="03.008.0017" u="1"/>
        <s v="06.157.0004" u="1"/>
        <s v="06.091.0002" u="1"/>
        <s v="SH-22015-13390" u="1"/>
        <s v="13.002.0050" u="1"/>
        <s v="SH-60119-98310" u="1"/>
        <s v="MOT-15" u="1"/>
        <s v="01.007.0028" u="1"/>
        <s v="03.008.0018" u="1"/>
        <s v="06.157.0005" u="1"/>
        <s v="13.002.0051" u="1"/>
        <s v="SH-72365-98011" u="1"/>
        <s v="20402" u="1"/>
        <s v="01.007.0029" u="1"/>
        <s v="03.008.0019" u="1"/>
        <s v="06.157.0006" u="1"/>
        <s v="EC-V651000540" u="1"/>
        <s v="06.091.0004" u="1"/>
        <s v="06.157.0007" u="1"/>
        <s v="01.025.0100" u="1"/>
        <s v="06.091.0005" u="1"/>
        <s v="EC-P021014440" u="1"/>
        <s v="RULIT-009      " u="1"/>
        <s v="06.157.0008" u="1"/>
        <s v="H710C1007" u="1"/>
        <s v="01.025.0101" u="1"/>
        <s v="01.045.0001" u="1"/>
        <s v="EC-P005001150" u="1"/>
        <s v="H710C1107" u="1"/>
        <s v="EC-A506000080" u="1"/>
        <s v="CR-101" u="1"/>
        <s v="06.157.0009" u="1"/>
        <s v="H710C1207" u="1"/>
        <s v="01.025.0102" u="1"/>
        <s v="01.045.0002" u="1"/>
        <s v="H710C1307" u="1"/>
        <s v="SH-22152-21501" u="1"/>
        <s v="H710C1407" u="1"/>
        <s v="01.025.0103" u="1"/>
        <s v="H710C1507" u="1"/>
        <s v="EC-P021030500" u="1"/>
        <s v="H710C1607" u="1"/>
        <s v="01.025.0104" u="1"/>
        <s v="06.191.0001" u="1"/>
        <s v="H710C1707" u="1"/>
        <s v="H710C2047" u="1"/>
        <s v="01.013.0060" u="1"/>
        <s v="01.019.0030" u="1"/>
        <s v="03.014.0050" u="1"/>
        <s v="H710C1807" u="1"/>
        <s v="01.025.0105" u="1"/>
        <s v="H710C1907" u="1"/>
        <s v="01.013.0061" u="1"/>
        <s v="01.019.0031" u="1"/>
        <s v="03.014.0051" u="1"/>
        <s v="01.025.0106" u="1"/>
        <s v="OT-11" u="1"/>
        <s v="01.019.0032" u="1"/>
        <s v="01.025.0107" u="1"/>
        <s v="JF-276" u="1"/>
        <s v="EC-12436312710" u="1"/>
        <s v="01.019.0033" u="1"/>
        <s v="01.025.0108" u="1"/>
        <s v="EC-A021000290" u="1"/>
        <s v="MOT-155" u="1"/>
        <s v="MOT-156" u="1"/>
        <s v="CR-015" u="1"/>
        <s v="SH-22000-13410" u="1"/>
        <s v="01.025.0109" u="1"/>
        <s v="EC-A027000090" u="1"/>
        <s v="MOT-157" u="1"/>
        <s v="01.013.0065" u="1"/>
        <s v="06.169.0012" u="1"/>
        <s v="SH-18500-90002" u="1"/>
        <s v="SH-37019-63170" u="1"/>
        <s v="SH-4502640" u="1"/>
        <s v="EC-P021015780" u="1"/>
        <s v="01.013.0066" u="1"/>
        <s v="06.169.0013" u="1"/>
        <s v="SH-22070-12410" u="1"/>
        <s v="JF-013" u="1"/>
        <s v="01.013.0067" u="1"/>
        <s v="01.019.0037" u="1"/>
        <s v="06.169.0014" u="1"/>
        <s v="01.013.0068" u="1"/>
        <s v="01.019.0038" u="1"/>
        <s v="06.169.0015" u="1"/>
        <s v="SH-72920-71711" u="1"/>
        <s v="01.013.0069" u="1"/>
        <s v="01.019.0039" u="1"/>
        <s v="06.169.0017" u="1"/>
        <s v="EC-A021000990" u="1"/>
        <s v="SH-20021-85310" u="1"/>
        <s v="06.169.0018" u="1"/>
        <s v="ZM-069" u="1"/>
        <s v="EC-V299000410" u="1"/>
        <s v="CR-115" u="1"/>
        <s v="06.169.0019" u="1"/>
        <s v="H710C1017" u="1"/>
        <s v="SH-72330-82320" u="1"/>
        <s v="H710C1117" u="1"/>
        <s v="H710C1217" u="1"/>
        <s v="H710C1317" u="1"/>
        <s v="H710C1417" u="1"/>
        <s v="SH-70870-98030" u="1"/>
        <s v="H710C1517" u="1"/>
        <s v="EC-P021027100" u="1"/>
        <s v="EC-A130001370" u="1"/>
        <s v="01.025.0070" u="1"/>
        <s v="H710C1617" u="1"/>
        <s v="04.005.0020" u="1"/>
        <s v="04.007.0010" u="1"/>
        <s v="06.006.0010" u="1"/>
        <s v="H710C1717" u="1"/>
        <s v="EC-P021012781" u="1"/>
        <s v="H710C2057" u="1"/>
        <s v="01.025.0071" u="1"/>
        <s v="H710C1817" u="1"/>
        <s v="04.003.0031" u="1"/>
        <s v="04.005.0021" u="1"/>
        <s v="04.007.0011" u="1"/>
        <s v="04.009.0001" u="1"/>
        <s v="06.006.0011" u="1"/>
        <s v="06.008.0001" u="1"/>
        <s v="H710C1917" u="1"/>
        <s v="01.025.0072" u="1"/>
        <s v="04.003.0032" u="1"/>
        <s v="04.005.0022" u="1"/>
        <s v="04.007.0012" u="1"/>
        <s v="04.009.0002" u="1"/>
        <s v="06.004.0022" u="1"/>
        <s v="06.006.0012" u="1"/>
        <s v="06.008.0002" u="1"/>
        <s v="01.025.0073" u="1"/>
        <s v="04.005.0023" u="1"/>
        <s v="04.007.0013" u="1"/>
        <s v="04.009.0003" u="1"/>
        <s v="06.006.0013" u="1"/>
        <s v="06.008.0003" u="1"/>
        <s v="01.025.0074" u="1"/>
        <s v="04.003.0034" u="1"/>
        <s v="04.007.0014" u="1"/>
        <s v="04.009.0004" u="1"/>
        <s v="06.006.0014" u="1"/>
        <s v="SH-22410-14100" u="1"/>
        <s v="01.025.0075" u="1"/>
        <s v="04.003.0035" u="1"/>
        <s v="04.005.0025" u="1"/>
        <s v="04.007.0015" u="1"/>
        <s v="04.009.0005" u="1"/>
        <s v="06.004.0025" u="1"/>
        <s v="06.006.0015" u="1"/>
        <s v="06.008.0005" u="1"/>
        <s v="SH-20000-75150" u="1"/>
        <s v="SH-22000-13241" u="1"/>
        <s v="SH-22015-13210" u="1"/>
        <s v="SH-22070-12101" u="1"/>
        <s v="01.025.0076" u="1"/>
        <s v="04.003.0036" u="1"/>
        <s v="04.007.0016" u="1"/>
        <s v="04.009.0006" u="1"/>
        <s v="06.004.0026" u="1"/>
        <s v="06.006.0016" u="1"/>
        <s v="JF-027" u="1"/>
        <s v="04.003.0037" u="1"/>
        <s v="04.005.0027" u="1"/>
        <s v="04.007.0017" u="1"/>
        <s v="04.009.0007" u="1"/>
        <s v="06.006.0017" u="1"/>
        <s v="01.025.0078" u="1"/>
        <s v="04.007.0018" u="1"/>
        <s v="04.009.0008" u="1"/>
        <s v="06.004.0028" u="1"/>
        <s v="06.006.0018" u="1"/>
        <s v="06.008.0008" u="1"/>
        <s v="06.106.0010" u="1"/>
        <s v="01.025.0079" u="1"/>
        <s v="04.003.0039" u="1"/>
        <s v="04.005.0029" u="1"/>
        <s v="04.007.0019" u="1"/>
        <s v="04.009.0009" u="1"/>
        <s v="06.006.0019" u="1"/>
        <s v="06.106.0011" u="1"/>
        <s v="06.108.0001" u="1"/>
        <s v="SH-80023" u="1"/>
        <s v="06.106.0012" u="1"/>
        <s v="06.108.0002" u="1"/>
        <s v="06.040.0010" u="1"/>
        <s v="EC-V651000550" u="1"/>
        <s v="06.106.0013" u="1"/>
        <s v="06.108.0003" u="1"/>
        <s v="06.042.0001" u="1"/>
        <s v="SH-64007-64310" u="1"/>
        <s v="EC-A202000011" u="1"/>
        <s v="06.106.0014" u="1"/>
        <s v="06.042.0002" u="1"/>
        <s v="SH-68501-81360" u="1"/>
        <s v="H710C1027" u="1"/>
        <s v="06.108.0005" u="1"/>
        <s v="EC-P005001160" u="1"/>
        <s v="H224A500" u="1"/>
        <s v="06.042.0003" u="1"/>
        <s v="H710C1127" u="1"/>
        <s v="SH-22169-15210" u="1"/>
        <s v="CR-063" u="1"/>
        <s v="H710C1227" u="1"/>
        <s v="06.106.0016" u="1"/>
        <s v="06.108.0006" u="1"/>
        <s v="06.042.0004" u="1"/>
        <s v="EC-224127-13710" u="1"/>
        <s v="H710C1327" u="1"/>
        <s v="EC-P004001360" u="1"/>
        <s v="01.019.0170" u="1"/>
        <s v="H710C1427" u="1"/>
        <s v="06.106.0017" u="1"/>
        <s v="06.108.0007" u="1"/>
        <s v="06.040.0015" u="1"/>
        <s v="06.042.0005" u="1"/>
        <s v="H710C1527" u="1"/>
        <s v="01.019.0171" u="1"/>
        <s v="H710C1627" u="1"/>
        <s v="06.108.0008" u="1"/>
        <s v="06.040.0016" u="1"/>
        <s v="06.042.0006" u="1"/>
        <s v="EC-A509000190" u="1"/>
        <s v="SH-80187" u="1"/>
        <s v="H710C1727" u="1"/>
        <s v="H710C2067" u="1"/>
        <s v="01.019.0172" u="1"/>
        <s v="H710C1827" u="1"/>
        <s v="06.106.0019" u="1"/>
        <s v="06.108.0009" u="1"/>
        <s v="06.040.0017" u="1"/>
        <s v="06.042.0007" u="1"/>
        <s v="SH-28820-08000" u="1"/>
        <s v="H710C1927" u="1"/>
        <s v="EC-P004001660" u="1"/>
        <s v="EC-P021015290" u="1"/>
        <s v="01.019.0173" u="1"/>
        <s v="06.208.0002" u="1"/>
        <s v="06.042.0008" u="1"/>
        <s v="06.140.0010" u="1"/>
        <s v="SH-72550-14200" u="1"/>
        <s v="01.019.0174" u="1"/>
        <s v="06.042.0009" u="1"/>
        <s v="06.140.0011" u="1"/>
        <s v="06.142.0001" u="1"/>
        <s v="01.019.0175" u="1"/>
        <s v="06.142.0002" u="1"/>
        <s v="01.019.0176" u="1"/>
        <s v="06.142.0003" u="1"/>
        <s v="SH-60018-98310" u="1"/>
        <s v="01.019.0177" u="1"/>
        <s v="EC-35121452931" u="1"/>
        <s v="06.142.0004" u="1"/>
        <s v="01.019.0178" u="1"/>
        <s v="EC-12538108660" u="1"/>
        <s v="01.019.0179" u="1"/>
        <s v="06.142.0006" u="1"/>
        <s v="EC-P021031650" u="1"/>
        <s v="SH-20011-81550" u="1"/>
        <s v="06.142.0007" u="1"/>
        <s v="06.056.0001" u="1"/>
        <s v="06.142.0008" u="1"/>
        <s v="06.056.0002" u="1"/>
        <s v="SH-38500-71020" u="1"/>
        <s v="01.030.0002" u="1"/>
        <s v="H952A100" u="1"/>
        <s v="06.056.0003" u="1"/>
        <s v="01.030.0003" u="1"/>
        <s v="EC-V299000420" u="1"/>
        <s v="3FKSS230210" u="1"/>
        <s v="H710C1037" u="1"/>
        <s v="06.056.0004" u="1"/>
        <s v="01.030.0004" u="1"/>
        <s v="H710C1137" u="1"/>
        <s v="H710C1237" u="1"/>
        <s v="04.005.0160" u="1"/>
        <s v="03.001.0040" u="1"/>
        <s v="03.007.0010" u="1"/>
        <s v="06.056.0005" u="1"/>
        <s v="EC-A350000131" u="1"/>
        <s v="H710C1337" u="1"/>
        <s v="EC-61031056930" u="1"/>
        <s v="H710C1437" u="1"/>
        <s v="04.005.0161" u="1"/>
        <s v="03.001.0041" u="1"/>
        <s v="03.007.0011" u="1"/>
        <s v="03.009.0001" u="1"/>
        <s v="05.008.0001" u="1"/>
        <s v="06.056.0006" u="1"/>
        <s v="H710C1537" u="1"/>
        <s v="EC-A130001380" u="1"/>
        <s v="H710C1637" u="1"/>
        <s v="04.005.0162" u="1"/>
        <s v="01.004.0032" u="1"/>
        <s v="01.006.0022" u="1"/>
        <s v="03.001.0042" u="1"/>
        <s v="03.007.0012" u="1"/>
        <s v="03.009.0002" u="1"/>
        <s v="05.008.0002" u="1"/>
        <s v="06.056.0007" u="1"/>
        <s v="MOT-003" u="1"/>
        <s v="SH-70131-75110" u="1"/>
        <s v="H710C1737" u="1"/>
        <s v="CRE-001" u="1"/>
        <s v="H710C2077" u="1"/>
        <s v="MOT-004" u="1"/>
        <s v="H710C1837" u="1"/>
        <s v="04.005.0163" u="1"/>
        <s v="01.004.0033" u="1"/>
        <s v="01.006.0023" u="1"/>
        <s v="03.001.0043" u="1"/>
        <s v="03.003.0033" u="1"/>
        <s v="03.007.0013" u="1"/>
        <s v="03.009.0003" u="1"/>
        <s v="05.008.0003" u="1"/>
        <s v="06.056.0008" u="1"/>
        <s v="06.152.0020" u="1"/>
        <s v="MOT-005" u="1"/>
        <s v="H710C1937" u="1"/>
        <s v="CRE-003" u="1"/>
        <s v="04.005.0164" u="1"/>
        <s v="CRE-004" u="1"/>
        <s v="01.006.0024" u="1"/>
        <s v="03.001.0044" u="1"/>
        <s v="03.007.0014" u="1"/>
        <s v="03.009.0004" u="1"/>
        <s v="05.008.0004" u="1"/>
        <s v="06.152.0021" u="1"/>
        <s v="06.156.0001" u="1"/>
        <s v="CRE-005" u="1"/>
        <s v="EC-C504000690" u="1"/>
        <s v="OT-71" u="1"/>
        <s v="04.005.0165" u="1"/>
        <s v="CRE-006" u="1"/>
        <s v="01.006.0025" u="1"/>
        <s v="03.001.0045" u="1"/>
        <s v="03.003.0035" u="1"/>
        <s v="03.007.0015" u="1"/>
        <s v="03.009.0005" u="1"/>
        <s v="06.152.0022" u="1"/>
        <s v="06.156.0002" u="1"/>
        <s v="EC-V641000140" u="1"/>
        <s v="EC-A130001780" u="1"/>
        <s v="04.005.0166" u="1"/>
        <s v="03.001.0046" u="1"/>
        <s v="03.007.0016" u="1"/>
        <s v="03.009.0006" u="1"/>
        <s v="06.156.0003" u="1"/>
        <s v="06.090.0001" u="1"/>
        <s v="SH-22017-12210" u="1"/>
        <s v="04.005.0167" u="1"/>
        <s v="01.006.0027" u="1"/>
        <s v="03.001.0047" u="1"/>
        <s v="03.009.0007" u="1"/>
        <s v="05.008.0007" u="1"/>
        <s v="06.152.0024" u="1"/>
        <s v="SH-62035-12210" u="1"/>
        <s v="04.005.0168" u="1"/>
        <s v="03.001.0048" u="1"/>
        <s v="03.007.0018" u="1"/>
        <s v="03.009.0008" u="1"/>
        <s v="05.008.0008" u="1"/>
        <s v="06.152.0025" u="1"/>
        <s v="EC-P021013620" u="1"/>
        <s v="04.005.0169" u="1"/>
        <s v="01.006.0029" u="1"/>
        <s v="03.001.0049" u="1"/>
        <s v="03.009.0009" u="1"/>
        <s v="06.152.0026" u="1"/>
        <s v="SH-60059-98310" u="1"/>
        <s v="01.040.0020" u="1"/>
        <s v="SH-62035-15210" u="1"/>
        <s v="OT-479" u="1"/>
        <s v="01.040.0021" u="1"/>
        <s v="01.044.0001" u="1"/>
        <s v="SH-22019-17110" u="1"/>
        <s v="SH-80025" u="1"/>
        <s v="CR-100" u="1"/>
        <s v="EC-P021014260" u="1"/>
        <s v="06.152.0029" u="1"/>
        <s v="01.040.0022" u="1"/>
        <s v="01.044.0002" u="1"/>
        <s v="SH-20010-81790" u="1"/>
        <s v="06.190.0001" u="1"/>
        <s v="91184" u="1"/>
        <s v="SH-68501-81460" u="1"/>
        <s v="H710C1047" u="1"/>
        <s v="EC-P004000930" u="1"/>
        <s v="01.016.0040" u="1"/>
        <s v="01.018.0030" u="1"/>
        <s v="SH-22000-92812" u="1"/>
        <s v="06.190.0002" u="1"/>
        <s v="H710C1147" u="1"/>
        <s v="H710C1247" u="1"/>
        <s v="01.016.0041" u="1"/>
        <s v="01.018.0031" u="1"/>
        <s v="06.190.0003" u="1"/>
        <s v="H710C1347" u="1"/>
        <s v="EC-70602018220" u="1"/>
        <s v="H710C1447" u="1"/>
        <s v="01.018.0032" u="1"/>
        <s v="06.190.0004" u="1"/>
        <s v="JF-275" u="1"/>
        <s v="H710C1547" u="1"/>
        <s v="H710C1647" u="1"/>
        <s v="01.018.0033" u="1"/>
        <s v="SH-72514-14100" u="1"/>
        <s v="H710C1747" u="1"/>
        <s v="H710C2087" u="1"/>
        <s v="CR-014" u="1"/>
        <s v="H710C1847" u="1"/>
        <s v="01.018.0034" u="1"/>
        <s v="06.166.0021" u="1"/>
        <s v="H710C1947" u="1"/>
        <s v="EC-70604001A61" u="1"/>
        <s v="01.018.0035" u="1"/>
        <s v="SH-20016-12222" u="1"/>
        <s v="CR-1002" u="1"/>
        <s v="01.018.0036" u="1"/>
        <s v="06.166.0023" u="1"/>
        <s v="JF-012" u="1"/>
        <s v="SO-20.48.326" u="1"/>
        <s v="01.018.0037" u="1"/>
        <s v="06.166.0024" u="1"/>
        <s v="01.018.0038" u="1"/>
        <s v="06.166.0025" u="1"/>
        <s v="01.018.0039" u="1"/>
        <s v="EC-V508000050" u="1"/>
        <s v="EC-P021031560" u="1"/>
        <s v="SH-22150-51230" u="1"/>
        <s v="SH-22160-51230" u="1"/>
        <s v="ZM-068" u="1"/>
        <s v="EC-61031307132" u="1"/>
        <s v="CR-114" u="1"/>
        <s v="SH-20000-85201" u="1"/>
        <s v="EC-17800143230" u="1"/>
        <s v="SH-20021-81790" u="1"/>
        <s v="03.023.0070" u="1"/>
        <s v="SH-72441-12100" u="1"/>
        <s v="02.001.0040" u="1"/>
        <s v="04.006.0010" u="1"/>
        <s v="H710C1057" u="1"/>
        <s v="03.023.0071" u="1"/>
        <s v="SH4575740" u="1"/>
        <s v="02.001.0041" u="1"/>
        <s v="04.006.0011" u="1"/>
        <s v="04.008.0001" u="1"/>
        <s v="06.007.0001" u="1"/>
        <s v="H710C1157" u="1"/>
        <s v="H710C1257" u="1"/>
        <s v="03.023.0072" u="1"/>
        <s v="02.001.0042" u="1"/>
        <s v="04.006.0012" u="1"/>
        <s v="04.008.0002" u="1"/>
        <s v="06.007.0002" u="1"/>
        <s v="JF-289" u="1"/>
        <s v="H710C1357" u="1"/>
        <s v="H710C1457" u="1"/>
        <s v="03.023.0073" u="1"/>
        <s v="02.001.0043" u="1"/>
        <s v="04.006.0013" u="1"/>
        <s v="04.008.0003" u="1"/>
        <s v="06.007.0003" u="1"/>
        <s v="EC-35131122431" u="1"/>
        <s v="H710C1557" u="1"/>
        <s v="EC-A130001390" u="1"/>
        <s v="H710C1657" u="1"/>
        <s v="03.023.0074" u="1"/>
        <s v="04.006.0014" u="1"/>
        <s v="H710C1757" u="1"/>
        <s v="H710C2097" u="1"/>
        <s v="H710C1857" u="1"/>
        <s v="04.006.0015" u="1"/>
        <s v="04.008.0005" u="1"/>
        <s v="06.007.0005" u="1"/>
        <s v="06.094.0120" u="1"/>
        <s v="H710C1957" u="1"/>
        <s v="SH-72080-98320" u="1"/>
        <s v="04.006.0016" u="1"/>
        <s v="04.008.0006" u="1"/>
        <s v="06.007.0006" u="1"/>
        <s v="06.094.0121" u="1"/>
        <s v="SH-72555-14100" u="1"/>
        <s v="JF-026" u="1"/>
        <s v="04.006.0017" u="1"/>
        <s v="04.008.0007" u="1"/>
        <s v="06.007.0007" u="1"/>
        <s v="04.006.0018" u="1"/>
        <s v="04.008.0008" u="1"/>
        <s v="06.007.0008" u="1"/>
        <s v="04.008.0009" u="1"/>
        <s v="06.107.0001" u="1"/>
        <s v="SH-22015-13410" u="1"/>
        <s v="EC-P003000240" u="1"/>
        <s v="06.088.0050" u="1"/>
        <s v="EC-V652000170" u="1"/>
        <s v="SH-70244-98040" u="1"/>
        <s v="EC-P004000440" u="1"/>
        <s v="EC-17500955931" u="1"/>
        <s v="06.041.0002" u="1"/>
        <s v="SH-20000-81750" u="1"/>
        <s v="SH-108636-10" u="1"/>
        <s v="SH-20024-83410" u="1"/>
        <s v="CR-062" u="1"/>
        <s v="EC-A101000000" u="1"/>
        <s v="06.041.0005" u="1"/>
        <s v="EC-43101230831" u="1"/>
        <s v="EC-P005001080" u="1"/>
        <s v="06.041.0006" u="1"/>
        <s v="H710C1067" u="1"/>
        <s v="06.207.0001" u="1"/>
        <s v="EC-13101064931" u="1"/>
        <s v="06.041.0007" u="1"/>
        <s v="H710C1167" u="1"/>
        <s v="H710C1267" u="1"/>
        <s v="06.207.0002" u="1"/>
        <s v="06.041.0008" u="1"/>
        <s v="H710C1367" u="1"/>
        <s v="EC-A101000400" u="1"/>
        <s v="SH-72432-13240" u="1"/>
        <s v="H710C1467" u="1"/>
        <s v="06.207.0003" u="1"/>
        <s v="06.041.0009" u="1"/>
        <s v="06.141.0001" u="1"/>
        <s v="H710C1567" u="1"/>
        <s v="SH-70011-83101" u="1"/>
        <s v="H710C1667" u="1"/>
        <s v="SH-72080-98011" u="1"/>
        <s v="06.207.0004" u="1"/>
        <s v="06.141.0002" u="1"/>
        <s v="SH-72550-12400" u="1"/>
        <s v="H710C1767" u="1"/>
        <s v="H710C1867" u="1"/>
        <s v="EC-10001132431" u="1"/>
        <s v="EC-102922452" u="1"/>
        <s v="H710C1967" u="1"/>
        <s v="SH-70064-75190" u="1"/>
        <s v="SH-28820-07340" u="1"/>
        <s v="06.141.0004" u="1"/>
        <s v="SH-20021-96601" u="1"/>
        <s v="06.119.0010" u="1"/>
        <s v="06.141.0005" u="1"/>
        <s v="SH-021" u="1"/>
        <s v="06.119.0011" u="1"/>
        <s v="06.141.0006" u="1"/>
        <s v="SH-70140-81710" u="1"/>
        <s v="SH-99909-306" u="1"/>
        <s v="06.094.0090" u="1"/>
        <s v="06.119.0012" u="1"/>
        <s v="06.141.0007" u="1"/>
        <s v="SH-22015-13241" u="1"/>
        <s v="SH-22045-14101" u="1"/>
        <s v="06.119.0013" u="1"/>
        <s v="06.141.0008" u="1"/>
        <s v="SH-20000-81441" u="1"/>
        <s v="06.094.0092" u="1"/>
        <s v="EC-P021031570" u="1"/>
        <s v="06.141.0009" u="1"/>
        <s v="06.094.0093" u="1"/>
        <s v="OT-015" u="1"/>
        <s v="06.094.0094" u="1"/>
        <s v="SH-22169-33100" u="1"/>
        <s v="06.094.0095" u="1"/>
        <s v="01.007.0010" u="1"/>
        <s v="03.004.0020" u="1"/>
        <s v="05.003.0020" u="1"/>
        <s v="06.094.0096" u="1"/>
        <s v="01.007.0011" u="1"/>
        <s v="01.009.0001" u="1"/>
        <s v="03.004.0021" u="1"/>
        <s v="03.008.0001" u="1"/>
        <s v="05.003.0021" u="1"/>
        <s v="06.094.0097" u="1"/>
        <s v="01.007.0012" u="1"/>
        <s v="01.009.0002" u="1"/>
        <s v="03.004.0022" u="1"/>
        <s v="03.008.0002" u="1"/>
        <s v="05.003.0022" u="1"/>
        <s v="H710C1077" u="1"/>
        <s v="06.094.0098" u="1"/>
        <s v="01.007.0013" u="1"/>
        <s v="01.009.0003" u="1"/>
        <s v="03.004.0023" u="1"/>
        <s v="03.008.0003" u="1"/>
        <s v="06.055.0008" u="1"/>
        <s v="H710C1177" u="1"/>
        <s v="CR-DP4*" u="1"/>
        <s v="H710C1277" u="1"/>
        <s v="06.094.0099" u="1"/>
        <s v="01.007.0014" u="1"/>
        <s v="01.009.0004" u="1"/>
        <s v="03.004.0024" u="1"/>
        <s v="03.008.0004" u="1"/>
        <s v="06.055.0009" u="1"/>
        <s v="H710C1377" u="1"/>
        <s v="EC-P021027030" u="1"/>
        <s v="SH-72051-98011" u="1"/>
        <s v="H710C1477" u="1"/>
        <s v="EC-P021012600" u="1"/>
        <s v="01.007.0015" u="1"/>
        <s v="03.004.0025" u="1"/>
        <s v="03.006.0015" u="1"/>
        <s v="03.008.0005" u="1"/>
        <s v="SH-22169-21501" u="1"/>
        <s v="H710C1577" u="1"/>
        <s v="H710C1677" u="1"/>
        <s v="EC-P022007131" u="1"/>
        <s v="SH-72481-14200" u="1"/>
        <s v="H953A000" u="1"/>
        <s v="CR-DPFSR." u="1"/>
        <s v="01.007.0016" u="1"/>
        <s v="01.009.0006" u="1"/>
        <s v="03.004.0026" u="1"/>
        <s v="03.006.0016" u="1"/>
        <s v="03.008.0006" u="1"/>
        <s v="H710C1777" u="1"/>
        <s v="H710C1877" u="1"/>
        <s v="01.007.0017" u="1"/>
        <s v="01.009.0007" u="1"/>
        <s v="03.004.0027" u="1"/>
        <s v="03.008.0007" u="1"/>
        <s v="H710C1977" u="1"/>
        <s v="13.002.0040" u="1"/>
        <s v="01.007.0018" u="1"/>
        <s v="01.009.0008" u="1"/>
        <s v="03.004.0028" u="1"/>
        <s v="03.006.0018" u="1"/>
        <s v="03.008.0008" u="1"/>
        <s v="13.002.0041" u="1"/>
        <s v="EC-63019-63170" u="1"/>
        <s v="01.007.0019" u="1"/>
        <s v="03.008.0009" u="1"/>
        <s v="SH-22017-12410" u="1"/>
        <s v="06.061.0040" u="1"/>
        <s v="13.002.0043" u="1"/>
        <s v="OT-478" u="1"/>
        <s v="H710C900" u="1"/>
        <s v="06.061.0041" u="1"/>
        <s v="06.069.0001" u="1"/>
        <s v="EC-P003000250" u="1"/>
        <s v="H710C910" u="1"/>
        <s v="13.002.0044" u="1"/>
        <s v="H710C920" u="1"/>
        <s v="06.069.0002" u="1"/>
        <s v="H710C930" u="1"/>
        <s v="13.002.0045" u="1"/>
        <s v="H710C940" u="1"/>
        <s v="06.069.0003" u="1"/>
        <s v="H710C950" u="1"/>
        <s v="H710C960" u="1"/>
        <s v="06.069.0004" u="1"/>
        <s v="H710C970" u="1"/>
        <s v="H710C980" u="1"/>
        <s v="01.013.0050" u="1"/>
        <s v="01.017.0030" u="1"/>
        <s v="01.019.0020" u="1"/>
        <s v="03.014.0040" u="1"/>
        <s v="06.069.0005" u="1"/>
        <s v="H710C990" u="1"/>
        <s v="01.013.0051" u="1"/>
        <s v="01.017.0031" u="1"/>
        <s v="03.014.0041" u="1"/>
        <s v="EC-A101000010" u="1"/>
        <s v="13.002.0049" u="1"/>
        <s v="01.013.0052" u="1"/>
        <s v="01.017.0032" u="1"/>
        <s v="03.014.0042" u="1"/>
        <s v="03.018.0022" u="1"/>
        <s v="SH-20024-81790" u="1"/>
        <s v="JF-274" u="1"/>
        <s v="SH-CAB.- BUJIA" u="1"/>
        <s v="01.013.0053" u="1"/>
        <s v="01.017.0033" u="1"/>
        <s v="03.014.0043" u="1"/>
        <s v="H710C1087" u="1"/>
        <s v="CR-013" u="1"/>
        <s v="H611A100" u="1"/>
        <s v="01.013.0054" u="1"/>
        <s v="01.017.0034" u="1"/>
        <s v="01.019.0024" u="1"/>
        <s v="03.014.0044" u="1"/>
        <s v="06.169.0001" u="1"/>
        <s v="H710C1187" u="1"/>
        <s v="H621A100" u="1"/>
        <s v="H631A100" u="1"/>
        <s v="H710C1287" u="1"/>
        <s v="H641A100" u="1"/>
        <s v="01.013.0055" u="1"/>
        <s v="01.017.0035" u="1"/>
        <s v="03.014.0045" u="1"/>
        <s v="H710C1387" u="1"/>
        <s v="SH-70200-71610" u="1"/>
        <s v="H710C1487" u="1"/>
        <s v="SH-88198-S" u="1"/>
        <s v="01.013.0056" u="1"/>
        <s v="01.017.0036" u="1"/>
        <s v="01.019.0026" u="1"/>
        <s v="03.014.0046" u="1"/>
        <s v="06.169.0003" u="1"/>
        <s v="H710C1587" u="1"/>
        <s v="H710C2002" u="1"/>
        <s v="JF-011" u="1"/>
        <s v="H710C1687" u="1"/>
        <s v="H710C2102" u="1"/>
        <s v="01.013.0057" u="1"/>
        <s v="01.017.0037" u="1"/>
        <s v="01.019.0027" u="1"/>
        <s v="03.014.0047" u="1"/>
        <s v="06.169.0004" u="1"/>
        <s v="H710C1787" u="1"/>
        <s v="H710C1887" u="1"/>
        <s v="01.013.0058" u="1"/>
        <s v="01.019.0028" u="1"/>
        <s v="03.014.0048" u="1"/>
        <s v="06.169.0005" u="1"/>
        <s v="H710C1987" u="1"/>
        <s v="01.013.0059" u="1"/>
        <s v="01.019.0029" u="1"/>
        <s v="03.014.0049" u="1"/>
        <s v="06.169.0006" u="1"/>
        <s v="SH-70102-81710" u="1"/>
        <s v="06.077.0030" u="1"/>
        <s v="06.169.0007" u="1"/>
        <s v="06.077.0031" u="1"/>
        <s v="06.169.0008" u="1"/>
        <s v="SH-99909-307" u="1"/>
        <s v="ZM-067" u="1"/>
        <s v="EC-13211544330" u="1"/>
        <s v="H710C901" u="1"/>
        <s v="06.169.0009" u="1"/>
        <s v="H710C911" u="1"/>
        <s v="H710C921" u="1"/>
        <s v="H652A100" u="1"/>
        <s v="H710C931" u="1"/>
        <s v="H710C941" u="1"/>
        <s v="H710C951" u="1"/>
        <s v="H710C961" u="1"/>
        <s v="01.025.0060" u="1"/>
        <s v="04.001.0030" u="1"/>
        <s v="04.003.0020" u="1"/>
        <s v="04.005.0010" u="1"/>
        <s v="06.004.0010" u="1"/>
        <s v="H710C971" u="1"/>
        <s v="H710C981" u="1"/>
        <s v="01.025.0061" u="1"/>
        <s v="04.001.0031" u="1"/>
        <s v="04.003.0021" u="1"/>
        <s v="04.005.0011" u="1"/>
        <s v="04.007.0001" u="1"/>
        <s v="06.004.0011" u="1"/>
        <s v="06.006.0001" u="1"/>
        <s v="H710C991" u="1"/>
        <s v="01.025.0062" u="1"/>
        <s v="04.001.0032" u="1"/>
        <s v="04.003.0022" u="1"/>
        <s v="04.005.0012" u="1"/>
        <s v="04.007.0002" u="1"/>
        <s v="06.004.0012" u="1"/>
        <s v="06.006.0002" u="1"/>
        <s v="JF-288" u="1"/>
        <s v="SH-70140-51102" u="1"/>
        <s v="01.025.0063" u="1"/>
        <s v="04.003.0023" u="1"/>
        <s v="04.005.0013" u="1"/>
        <s v="06.004.0013" u="1"/>
        <s v="06.006.0003" u="1"/>
        <s v="CR-027" u="1"/>
        <s v="01.025.0064" u="1"/>
        <s v="04.005.0014" u="1"/>
        <s v="06.004.0014" u="1"/>
        <s v="06.006.0004" u="1"/>
        <s v="H710C1097" u="1"/>
        <s v="EC-V103001200" u="1"/>
        <s v="SH-22150-12180" u="1"/>
        <s v="EC-A130000870" u="1"/>
        <s v="01.025.0065" u="1"/>
        <s v="H710C1197" u="1"/>
        <s v="04.003.0025" u="1"/>
        <s v="04.007.0005" u="1"/>
        <s v="06.004.0015" u="1"/>
        <s v="06.006.0005" u="1"/>
        <s v="H710C1297" u="1"/>
        <s v="COR-001" u="1"/>
        <s v="H710C1397" u="1"/>
        <s v="04.007.0006" u="1"/>
        <s v="06.004.0016" u="1"/>
        <s v="06.006.0006" u="1"/>
        <s v="EC-P021027040" u="1"/>
        <s v="COR-002" u="1"/>
        <s v="JF-025" u="1"/>
        <s v="H710C1497" u="1"/>
        <s v="EC-P022007041" u="1"/>
        <s v="01.025.0067" u="1"/>
        <s v="H710C1597" u="1"/>
        <s v="H710C2012" u="1"/>
        <s v="04.003.0027" u="1"/>
        <s v="04.005.0017" u="1"/>
        <s v="06.004.0017" u="1"/>
        <s v="H710C1697" u="1"/>
        <s v="H710C2112" u="1"/>
        <s v="01.025.0068" u="1"/>
        <s v="EC-DM6110" u="1"/>
        <s v="H710C1797" u="1"/>
        <s v="04.003.0028" u="1"/>
        <s v="04.005.0018" u="1"/>
        <s v="04.007.0008" u="1"/>
        <s v="06.004.0018" u="1"/>
        <s v="06.006.0008" u="1"/>
        <s v="EC-V104001500" u="1"/>
        <s v="SH-64112-66000" u="1"/>
        <s v="H710C1897" u="1"/>
        <s v="01.025.0069" u="1"/>
        <s v="H710C1997" u="1"/>
        <s v="04.003.0029" u="1"/>
        <s v="04.005.0019" u="1"/>
        <s v="04.007.0009" u="1"/>
        <s v="06.004.0019" u="1"/>
        <s v="06.006.0009" u="1"/>
        <s v="06.106.0001" u="1"/>
        <s v="93MB2313L15-08" u="1"/>
        <s v="OT-701" u="1"/>
        <s v="06.106.0002" u="1"/>
        <s v="H700A000" u="1"/>
        <s v="06.106.0003" u="1"/>
        <s v="06.040.0001" u="1"/>
        <s v="06.106.0004" u="1"/>
        <s v="06.040.0002" u="1"/>
        <s v="H710C902" u="1"/>
        <s v="06.106.0005" u="1"/>
        <s v="H710C912" u="1"/>
        <s v="SH-22150-71120" u="1"/>
        <s v="H710C922" u="1"/>
        <s v="CR-061" u="1"/>
        <s v="06.106.0006" u="1"/>
        <s v="06.040.0004" u="1"/>
        <s v="H710C932" u="1"/>
        <s v="JF-125" u="1"/>
        <s v="H710C942" u="1"/>
        <s v="01.019.0160" u="1"/>
        <s v="EC-V652000190" u="1"/>
        <s v="06.018.0010" u="1"/>
        <s v="06.106.0007" u="1"/>
        <s v="06.040.0005" u="1"/>
        <s v="H710C952" u="1"/>
        <s v="H710C962" u="1"/>
        <s v="01.019.0161" u="1"/>
        <s v="06.018.0011" u="1"/>
        <s v="06.106.0008" u="1"/>
        <s v="SH-20140-12221" u="1"/>
        <s v="06.040.0006" u="1"/>
        <s v="H710C972" u="1"/>
        <s v="EC-12533708260" u="1"/>
        <s v="H710C982" u="1"/>
        <s v="EC-70602035911" u="1"/>
        <s v="01.019.0162" u="1"/>
        <s v="06.018.0012" u="1"/>
        <s v="06.106.0009" u="1"/>
        <s v="06.206.0001" u="1"/>
        <s v="EC-10001142230" u="1"/>
        <s v="SH-20011-85401" u="1"/>
        <s v="H710C992" u="1"/>
        <s v="OR-65789" u="1"/>
        <s v="SH-72330-98010" u="1"/>
        <s v="SH-22169-51170" u="1"/>
        <s v="01.019.0163" u="1"/>
        <s v="06.206.0002" u="1"/>
        <s v="EC-10001143230" u="1"/>
        <s v="06.040.0008" u="1"/>
        <s v="SH-22155-97620" u="1"/>
        <s v="01.019.0164" u="1"/>
        <s v="H511A100" u="1"/>
        <s v="06.040.0009" u="1"/>
        <s v="06.140.0001" u="1"/>
        <s v="SH-99909-160" u="1"/>
        <s v="EC-V651000690" u="1"/>
        <s v="01.019.0165" u="1"/>
        <s v="01.019.0166" u="1"/>
        <s v="JF-039" u="1"/>
        <s v="01.019.0167" u="1"/>
        <s v="06.140.0004" u="1"/>
        <s v="01.019.0168" u="1"/>
        <s v="H710C2022" u="1"/>
        <s v="EC-A101000520" u="1"/>
        <s v="06.140.0005" u="1"/>
        <s v="EC-P021030550" u="1"/>
        <s v="H710C2122" u="1"/>
        <s v="01.019.0169" u="1"/>
        <s v="SH-20000-72241" u="1"/>
        <s v="06.050.0020" u="1"/>
        <s v="06.140.0007" u="1"/>
        <s v="06.050.0021" u="1"/>
        <s v="06.140.0008" u="1"/>
        <s v="110207181356778" u="1"/>
        <s v="EC-SP20HPS" u="1"/>
        <s v="SH-70043-85201" u="1"/>
        <s v="EC-P021000803" u="1"/>
        <s v="H512A100" u="1"/>
        <s v="06.050.0022" u="1"/>
        <s v="06.140.0009" u="1"/>
        <s v="H224B700" u="1"/>
        <s v="06.050.0023" u="1"/>
        <s v="SH-22015-14301" u="1"/>
        <s v="SH-22411-14500" u="1"/>
        <s v="EC-V475004810" u="1"/>
        <s v="EC-13031013410" u="1"/>
        <s v="EC-V505000080" u="1"/>
        <s v="H710C903" u="1"/>
        <s v="06.050.0024" u="1"/>
        <s v="H710C913" u="1"/>
        <s v="H710C923" u="1"/>
        <s v="04.005.0150" u="1"/>
        <s v="03.001.0030" u="1"/>
        <s v="05.004.0010" u="1"/>
        <s v="EC-V508000080" u="1"/>
        <s v="H710C933" u="1"/>
        <s v="H710C943" u="1"/>
        <s v="04.005.0151" u="1"/>
        <s v="03.001.0031" u="1"/>
        <s v="03.003.0021" u="1"/>
        <s v="03.007.0001" u="1"/>
        <s v="05.004.0011" u="1"/>
        <s v="06.050.0026" u="1"/>
        <s v="H710C953" u="1"/>
        <s v="H710C963" u="1"/>
        <s v="04.005.0152" u="1"/>
        <s v="SH-4073281" u="1"/>
        <s v="01.006.0012" u="1"/>
        <s v="03.001.0032" u="1"/>
        <s v="03.003.0022" u="1"/>
        <s v="03.007.0002" u="1"/>
        <s v="H710C973" u="1"/>
        <s v="H710C983" u="1"/>
        <s v="SH-20010-81781" u="1"/>
        <s v="04.005.0153" u="1"/>
        <s v="01.006.0013" u="1"/>
        <s v="03.001.0033" u="1"/>
        <s v="03.003.0023" u="1"/>
        <s v="03.007.0003" u="1"/>
        <s v="06.150.0020" u="1"/>
        <s v="H710C993" u="1"/>
        <s v="EC-20087-31211" u="1"/>
        <s v="04.005.0154" u="1"/>
        <s v="01.006.0014" u="1"/>
        <s v="03.001.0034" u="1"/>
        <s v="03.003.0024" u="1"/>
        <s v="03.007.0004" u="1"/>
        <s v="06.152.0011" u="1"/>
        <s v="EC-V103001010" u="1"/>
        <s v="04.005.0155" u="1"/>
        <s v="03.001.0035" u="1"/>
        <s v="03.007.0005" u="1"/>
        <s v="06.152.0012" u="1"/>
        <s v="SH-20060-81781" u="1"/>
        <s v="04.005.0156" u="1"/>
        <s v="03.001.0036" u="1"/>
        <s v="EC-17800147530" u="1"/>
        <s v="03.001.0037" u="1"/>
        <s v="03.007.0007" u="1"/>
        <s v="04.005.0158" u="1"/>
        <s v="SH-20021-51102" u="1"/>
        <s v="03.001.0038" u="1"/>
        <s v="03.007.0008" u="1"/>
        <s v="06.152.0015" u="1"/>
        <s v="H224F100" u="1"/>
        <s v="EC-P021012620" u="1"/>
        <s v="SH-72447-13240" u="1"/>
        <s v="H710C2032" u="1"/>
        <s v="04.005.0159" u="1"/>
        <s v="SH-22175-82320" u="1"/>
        <s v="01.006.0019" u="1"/>
        <s v="03.001.0039" u="1"/>
        <s v="SH-20016-31212" u="1"/>
        <s v="EC-17722135631" u="1"/>
        <s v="EC-P022007151" u="1"/>
        <s v="SH-01014-06100" u="1"/>
        <s v="01.040.0010" u="1"/>
        <s v="H710C800" u="1"/>
        <s v="SH-20010-71650" u="1"/>
        <s v="06.068.0001" u="1"/>
        <s v="H710C810" u="1"/>
        <s v="EC-P021012920" u="1"/>
        <s v="H710C820" u="1"/>
        <s v="06.068.0002" u="1"/>
        <s v="06.152.0019" u="1"/>
        <s v="01.040.0012" u="1"/>
        <s v="H710C830" u="1"/>
        <s v="SH-20010-12121" u="1"/>
        <s v="H710C840" u="1"/>
        <s v="06.068.0003" u="1"/>
        <s v="01.040.0013" u="1"/>
        <s v="H710C850" u="1"/>
        <s v="CR-089" u="1"/>
        <s v="H710C860" u="1"/>
        <s v="06.068.0004" u="1"/>
        <s v="01.040.0014" u="1"/>
        <s v="01.042.0004" u="1"/>
        <s v="H710C870" u="1"/>
        <s v="H710C904" u="1"/>
        <s v="H710C880" u="1"/>
        <s v="01.016.0030" u="1"/>
        <s v="01.018.0020" u="1"/>
        <s v="03.013.0040" u="1"/>
        <s v="06.068.0005" u="1"/>
        <s v="H710C914" u="1"/>
        <s v="01.040.0015" u="1"/>
        <s v="01.042.0005" u="1"/>
        <s v="H710C890" u="1"/>
        <s v="H710C924" u="1"/>
        <s v="01.016.0031" u="1"/>
        <s v="01.018.0021" u="1"/>
        <s v="03.013.0041" u="1"/>
        <s v="06.068.0006" u="1"/>
        <s v="EC-43021330833" u="1"/>
        <s v="H710C934" u="1"/>
        <s v="01.040.0016" u="1"/>
        <s v="01.042.0006" u="1"/>
        <s v="JF-087" u="1"/>
        <s v="H710C944" u="1"/>
        <s v="SH-22160-72220" u="1"/>
        <s v="01.016.0032" u="1"/>
        <s v="01.018.0022" u="1"/>
        <s v="03.013.0042" u="1"/>
        <s v="06.068.0007" u="1"/>
        <s v="H710C954" u="1"/>
        <s v="01.040.0017" u="1"/>
        <s v="01.042.0007" u="1"/>
        <s v="SH-70168-85201" u="1"/>
        <s v="JF-273" u="1"/>
        <s v="SH-22169-51130" u="1"/>
        <s v="H710C964" u="1"/>
        <s v="01.016.0033" u="1"/>
        <s v="01.018.0023" u="1"/>
        <s v="06.166.0010" u="1"/>
        <s v="H710C974" u="1"/>
        <s v="01.040.0018" u="1"/>
        <s v="H710C984" u="1"/>
        <s v="CR-012" u="1"/>
        <s v="01.016.0034" u="1"/>
        <s v="01.018.0024" u="1"/>
        <s v="06.166.0011" u="1"/>
        <s v="06.168.0001" u="1"/>
        <s v="H710C994" u="1"/>
        <s v="01.040.0019" u="1"/>
        <s v="CRE-125" u="1"/>
        <s v="SH-67000-41230" u="1"/>
        <s v="H251A200" u="1"/>
        <s v="H651A000" u="1"/>
        <s v="01.016.0035" u="1"/>
        <s v="01.018.0025" u="1"/>
        <s v="03.017.0025" u="1"/>
        <s v="06.166.0012" u="1"/>
        <s v="H261A200" u="1"/>
        <s v="CRE-127" u="1"/>
        <s v="H671A000" u="1"/>
        <s v="H681A000" u="1"/>
        <s v="01.016.0036" u="1"/>
        <s v="01.018.0026" u="1"/>
        <s v="06.166.0013" u="1"/>
        <s v="H710C1002" u="1"/>
        <s v="JF-010" u="1"/>
        <s v="SH-22169-55130" u="1"/>
        <s v="H710C1102" u="1"/>
        <s v="01.016.0037" u="1"/>
        <s v="01.018.0027" u="1"/>
        <s v="H710C1202" u="1"/>
        <s v="EC-P021028790" u="1"/>
        <s v="H710C1302" u="1"/>
        <s v="EC-A101000330" u="1"/>
        <s v="01.016.0038" u="1"/>
        <s v="01.018.0028" u="1"/>
        <s v="EC-P021030360" u="1"/>
        <s v="SH-22100-41230" u="1"/>
        <s v="H710C1402" u="1"/>
        <s v="H710C1502" u="1"/>
        <s v="01.016.0039" u="1"/>
        <s v="01.018.0029" u="1"/>
        <s v="06.166.0016" u="1"/>
        <s v="H710C1602" u="1"/>
        <s v="H710C1702" u="1"/>
        <s v="H710C2042" u="1"/>
        <s v="06.166.0017" u="1"/>
        <s v="H710C1802" u="1"/>
        <s v="H710C1902" u="1"/>
        <s v="SH-22175-21200" u="1"/>
        <s v="ZM-066" u="1"/>
        <s v="H710C801" u="1"/>
        <s v="H710C811" u="1"/>
        <s v="EC-17504646430" u="1"/>
        <s v="EC-10101147530" u="1"/>
        <s v="H710C821" u="1"/>
        <s v="H262A200" u="1"/>
        <s v="H710C831" u="1"/>
        <s v="CR-0123" u="1"/>
        <s v="H710C841" u="1"/>
        <s v="H710C851" u="1"/>
        <s v="H710C861" u="1"/>
        <s v="03.023.0060" u="1"/>
        <s v="02.001.0030" u="1"/>
        <s v="H710C871" u="1"/>
        <s v="H710C905" u="1"/>
        <s v="H710C881" u="1"/>
        <s v="03.023.0061" u="1"/>
        <s v="H710C915" u="1"/>
        <s v="02.001.0031" u="1"/>
        <s v="04.006.0001" u="1"/>
        <s v="H710C891" u="1"/>
        <s v="H710C925" u="1"/>
        <s v="03.023.0062" u="1"/>
        <s v="SH-A504000060" u="1"/>
        <s v="H710C935" u="1"/>
        <s v="02.001.0032" u="1"/>
        <s v="04.006.0002" u="1"/>
        <s v="JF-287" u="1"/>
        <s v="H710C945" u="1"/>
        <s v="03.023.0063" u="1"/>
        <s v="H710C955" u="1"/>
        <s v="02.001.0033" u="1"/>
        <s v="04.006.0003" u="1"/>
        <s v="EC-10001139731" u="1"/>
        <s v="H710C965" u="1"/>
        <s v="10.030.0001" u="1"/>
        <s v="CR-026" u="1"/>
        <s v="SH-68501-98010" u="1"/>
        <s v="03.023.0064" u="1"/>
        <s v="H710C975" u="1"/>
        <s v="02.001.0034" u="1"/>
        <s v="H710C985" u="1"/>
        <s v="10.030.0002" u="1"/>
        <s v="03.023.0065" u="1"/>
        <s v="H710C995" u="1"/>
        <s v="02.001.0035" u="1"/>
        <s v="06.094.0110" u="1"/>
        <s v="CRE-267" u="1"/>
        <s v="03.023.0066" u="1"/>
        <s v="02.001.0036" u="1"/>
        <s v="04.006.0006" u="1"/>
        <s v="06.094.0111" u="1"/>
        <s v="EC-13000739930" u="1"/>
        <s v="JF-024" u="1"/>
        <s v="03.023.0067" u="1"/>
        <s v="H710C1012" u="1"/>
        <s v="02.001.0037" u="1"/>
        <s v="04.006.0007" u="1"/>
        <s v="06.094.0112" u="1"/>
        <s v="SH-22169-35400" u="1"/>
        <s v="H710C1112" u="1"/>
        <s v="10.008.0010" u="1"/>
        <s v="03.023.0068" u="1"/>
        <s v="H710C1212" u="1"/>
        <s v="02.001.0038" u="1"/>
        <s v="04.006.0008" u="1"/>
        <s v="06.094.0113" u="1"/>
        <s v="H710C1312" u="1"/>
        <s v="EC-A232000710" u="1"/>
        <s v="EC-13211555930" u="1"/>
        <s v="03.023.0069" u="1"/>
        <s v="H710C1412" u="1"/>
        <s v="02.001.0039" u="1"/>
        <s v="04.006.0009" u="1"/>
        <s v="06.094.0114" u="1"/>
        <s v="H710C1512" u="1"/>
        <s v="06.088.0040" u="1"/>
        <s v="H710C1612" u="1"/>
        <s v="06.094.0115" u="1"/>
        <s v="06.105.0002" u="1"/>
        <s v="H710C1712" u="1"/>
        <s v="H710C2052" u="1"/>
        <s v="06.088.0041" u="1"/>
        <s v="H710C1812" u="1"/>
        <s v="06.094.0116" u="1"/>
        <s v="06.105.0003" u="1"/>
        <s v="SH-72481-98310" u="1"/>
        <s v="H710C1912" u="1"/>
        <s v="CR-126" u="1"/>
        <s v="06.088.0042" u="1"/>
        <s v="06.094.0117" u="1"/>
        <s v="06.105.0004" u="1"/>
        <s v="EC-P021012830" u="1"/>
        <s v="SH-70210-32111" u="1"/>
        <s v="H710C802" u="1"/>
        <s v="06.088.0043" u="1"/>
        <s v="SH-63019-12102" u="1"/>
        <s v="06.094.0118" u="1"/>
        <s v="06.105.0005" u="1"/>
        <s v="H710C812" u="1"/>
        <s v="H634A000" u="1"/>
        <s v="H710C822" u="1"/>
        <s v="CR-060" u="1"/>
        <s v="06.088.0044" u="1"/>
        <s v="SH-72550-14531" u="1"/>
        <s v="06.094.0119" u="1"/>
        <s v="06.105.0006" u="1"/>
        <s v="H710C832" u="1"/>
        <s v="H710C842" u="1"/>
        <s v="06.088.0045" u="1"/>
        <s v="06.105.0007" u="1"/>
        <s v="H710C852" u="1"/>
        <s v="H710C862" u="1"/>
        <s v="SH-22102-72220" u="1"/>
        <s v="06.088.0046" u="1"/>
        <s v="06.019.0001" u="1"/>
        <s v="06.105.0008" u="1"/>
        <s v="EC-61020643130" u="1"/>
        <s v="H710C872" u="1"/>
        <s v="H710C906" u="1"/>
        <s v="H710C882" u="1"/>
        <s v="H710C916" u="1"/>
        <s v="06.019.0002" u="1"/>
        <s v="06.205.0001" u="1"/>
        <s v="H710C892" u="1"/>
        <s v="H710C926" u="1"/>
        <s v="06.088.0048" u="1"/>
        <s v="SH-63840-61011" u="1"/>
        <s v="H710C936" u="1"/>
        <s v="06.019.0003" u="1"/>
        <s v="SH-70131-81180" u="1"/>
        <s v="H710C946" u="1"/>
        <s v="06.088.0049" u="1"/>
        <s v="H311A100" u="1"/>
        <s v="H710C956" u="1"/>
        <s v="06.019.0004" u="1"/>
        <s v="SH-60035-98040" u="1"/>
        <s v="H321A100" u="1"/>
        <s v="H521A000" u="1"/>
        <s v="H331A100" u="1"/>
        <s v="H710C966" u="1"/>
        <s v="H341A100" u="1"/>
        <s v="EC-61043450031" u="1"/>
        <s v="EC-90016205057" u="1"/>
        <s v="H351A100" u="1"/>
        <s v="H710C976" u="1"/>
        <s v="06.019.0005" u="1"/>
        <s v="H361A100" u="1"/>
        <s v="SH-20018-81750" u="1"/>
        <s v="H371A100" u="1"/>
        <s v="H710C986" u="1"/>
        <s v="H381A100" u="1"/>
        <s v="H710C996" u="1"/>
        <s v="SH-72334-98010" u="1"/>
        <s v="JF-038" u="1"/>
        <s v="PR-002" u="1"/>
        <s v="H635A000" u="1"/>
        <s v="CR-160" u="1"/>
        <s v="SH-70030-31120" u="1"/>
        <s v="H710C1022" u="1"/>
        <s v="EC-P004000880" u="1"/>
        <s v="H710C1122" u="1"/>
        <s v="H710C1222" u="1"/>
        <s v="06.119.0001" u="1"/>
        <s v="H710C1322" u="1"/>
        <s v="EC-A393000050" u="1"/>
        <s v="EC-10001146430" u="1"/>
        <s v="06.094.0080" u="1"/>
        <s v="H710C1422" u="1"/>
        <s v="06.119.0002" u="1"/>
        <s v="SH-70064-75310" u="1"/>
        <s v="H710C1522" u="1"/>
        <s v="06.094.0081" u="1"/>
        <s v="H710C1622" u="1"/>
        <s v="06.119.0003" u="1"/>
        <s v="EC-10001130831" u="1"/>
        <s v="H710C1722" u="1"/>
        <s v="SH-4048451" u="1"/>
        <s v="H710C2062" u="1"/>
        <s v="06.094.0082" u="1"/>
        <s v="EC-P021030570" u="1"/>
        <s v="H710C1822" u="1"/>
        <s v="H522A000" u="1"/>
        <s v="OR-238337" u="1"/>
        <s v="H710C1922" u="1"/>
        <s v="06.094.0083" u="1"/>
        <s v="H710C803" u="1"/>
        <s v="06.094.0084" u="1"/>
        <s v="SH-22015-11501" u="1"/>
        <s v="H710C813" u="1"/>
        <s v="H636A000" u="1"/>
        <s v="EC-CS 3000-30EU" u="1"/>
        <s v="H710C823" u="1"/>
        <s v="06.029.0020" u="1"/>
        <s v="06.119.0007" u="1"/>
        <s v="05.003.0010" u="1"/>
        <s v="H710C833" u="1"/>
        <s v="SH-20011-12221" u="1"/>
        <s v="H710C843" u="1"/>
        <s v="06.094.0086" u="1"/>
        <s v="06.029.0021" u="1"/>
        <s v="06.119.0008" u="1"/>
        <s v="01.007.0001" u="1"/>
        <s v="03.006.0001" u="1"/>
        <s v="05.003.0011" u="1"/>
        <s v="H710C853" u="1"/>
        <s v="H710C863" u="1"/>
        <s v="06.094.0087" u="1"/>
        <s v="06.029.0022" u="1"/>
        <s v="06.119.0009" u="1"/>
        <s v="03.002.0022" u="1"/>
        <s v="03.006.0002" u="1"/>
        <s v="05.003.0012" u="1"/>
        <s v="H710C873" u="1"/>
        <s v="SH-GP450INTL" u="1"/>
        <s v="H710C907" u="1"/>
        <s v="H710C883" u="1"/>
        <s v="H710C917" u="1"/>
        <s v="01.007.0003" u="1"/>
        <s v="03.006.0003" u="1"/>
        <s v="05.003.0013" u="1"/>
        <s v="H710C893" u="1"/>
        <s v="CR-DP2*" u="1"/>
        <s v="H710C927" u="1"/>
        <s v="06.094.0089" u="1"/>
        <s v="H710C937" u="1"/>
        <s v="01.007.0004" u="1"/>
        <s v="05.003.0014" u="1"/>
        <s v="06.153.0001" u="1"/>
        <s v="H710C947" u="1"/>
        <s v="H710C957" u="1"/>
        <s v="01.007.0005" u="1"/>
        <s v="05.003.0015" u="1"/>
        <s v="H523A000" u="1"/>
        <s v="EC-A225000400" u="1"/>
        <s v="H710C967" u="1"/>
        <s v="H710C977" u="1"/>
        <s v="01.007.0006" u="1"/>
        <s v="05.003.0016" u="1"/>
        <s v="EC-A225000500" u="1"/>
        <s v="H710C987" u="1"/>
        <s v="OT-113" u="1"/>
        <s v="H710C997" u="1"/>
        <s v="EC-A235000220" u="1"/>
        <s v="01.007.0007" u="1"/>
        <s v="05.003.0017" u="1"/>
        <s v="13.002.0030" u="1"/>
        <s v="EC-A226000600" u="1"/>
        <s v="SH-62035-81360" u="1"/>
        <s v="SH-20021-81180" u="1"/>
        <s v="01.007.0008" u="1"/>
        <s v="03.004.0018" u="1"/>
        <s v="05.003.0018" u="1"/>
        <s v="H224F000" u="1"/>
        <s v="EC-V103001030" u="1"/>
        <s v="13.002.0031" u="1"/>
        <s v="H710C1032" u="1"/>
        <s v="01.007.0009" u="1"/>
        <s v="03.004.0019" u="1"/>
        <s v="05.003.0019" u="1"/>
        <s v="06.153.0006" u="1"/>
        <s v="H710C1132" u="1"/>
        <s v="13.002.0032" u="1"/>
        <s v="H710C1232" u="1"/>
        <s v="06.061.0030" u="1"/>
        <s v="06.153.0007" u="1"/>
        <s v="H710C1332" u="1"/>
        <s v="H710C700" u="1"/>
        <s v="H710C1432" u="1"/>
        <s v="H410A000" u="1"/>
        <s v="06.061.0031" u="1"/>
        <s v="06.067.0001" u="1"/>
        <s v="06.153.0008" u="1"/>
        <s v="H710C710" u="1"/>
        <s v="H710C1532" u="1"/>
        <s v="EC-V104001330" u="1"/>
        <s v="SH-62035-85360" u="1"/>
        <s v="H710C720" u="1"/>
        <s v="H710C1632" u="1"/>
        <s v="H450A000" u="1"/>
        <s v="06.061.0032" u="1"/>
        <s v="06.067.0002" u="1"/>
        <s v="H460A000" u="1"/>
        <s v="H710C730" u="1"/>
        <s v="H710C1732" u="1"/>
        <s v="13.002.0035" u="1"/>
        <s v="H710C2072" u="1"/>
        <s v="SH-22175-82520" u="1"/>
        <s v="H710C740" u="1"/>
        <s v="H710C1832" u="1"/>
        <s v="06.061.0033" u="1"/>
        <s v="06.067.0003" u="1"/>
        <s v="H710C750" u="1"/>
        <s v="H710C1932" u="1"/>
        <s v="CR-088" u="1"/>
        <s v="H710C760" u="1"/>
        <s v="06.061.0034" u="1"/>
        <s v="06.067.0004" u="1"/>
        <s v="H710C770" u="1"/>
        <s v="H710C804" u="1"/>
        <s v="#N/A" u="1"/>
        <s v="H710C780" u="1"/>
        <s v="01.011.0050" u="1"/>
        <s v="01.017.0020" u="1"/>
        <s v="01.019.0010" u="1"/>
        <s v="03.012.0040" u="1"/>
        <s v="03.014.0030" u="1"/>
        <s v="06.061.0035" u="1"/>
        <s v="06.067.0005" u="1"/>
        <s v="H710C814" u="1"/>
        <s v="H710C790" u="1"/>
        <s v="H710C824" u="1"/>
        <s v="01.011.0051" u="1"/>
        <s v="01.017.0021" u="1"/>
        <s v="01.019.0011" u="1"/>
        <s v="03.012.0041" u="1"/>
        <s v="03.014.0031" u="1"/>
        <s v="06.061.0036" u="1"/>
        <s v="06.067.0006" u="1"/>
        <s v="BC0351" u="1"/>
        <s v="AI74CML6" u="1"/>
        <s v="H710C834" u="1"/>
        <s v="JF-086" u="1"/>
        <s v="13.002.0039" u="1"/>
        <s v="H710C844" u="1"/>
        <s v="01.011.0052" u="1"/>
        <s v="01.017.0022" u="1"/>
        <s v="01.019.0012" u="1"/>
        <s v="03.012.0042" u="1"/>
        <s v="03.014.0032" u="1"/>
        <s v="03.018.0012" u="1"/>
        <s v="06.061.0037" u="1"/>
        <s v="06.067.0007" u="1"/>
        <s v="H710C854" u="1"/>
        <s v="SH-70210-15212" u="1"/>
        <s v="JF-272" u="1"/>
        <s v="H710C864" u="1"/>
        <s v="01.013.0043" u="1"/>
        <s v="01.017.0023" u="1"/>
        <s v="01.019.0013" u="1"/>
        <s v="03.012.0043" u="1"/>
        <s v="03.014.0033" u="1"/>
        <s v="06.061.0038" u="1"/>
        <s v="H710C874" u="1"/>
        <s v="H710C908" u="1"/>
        <s v="H710C884" u="1"/>
        <s v="EC-10020455430" u="1"/>
        <s v="CR-011" u="1"/>
        <s v="H710C918" u="1"/>
        <s v="01.013.0044" u="1"/>
        <s v="01.017.0024" u="1"/>
        <s v="01.019.0014" u="1"/>
        <s v="03.012.0044" u="1"/>
        <s v="03.014.0034" u="1"/>
        <s v="06.061.0039" u="1"/>
        <s v="H710C894" u="1"/>
        <s v="EC-A369000100" u="1"/>
        <s v="H710C928" u="1"/>
        <s v="SH-63840-61111" u="1"/>
        <s v="H710C938" u="1"/>
        <s v="H451A000" u="1"/>
        <s v="01.013.0045" u="1"/>
        <s v="01.017.0025" u="1"/>
        <s v="01.019.0015" u="1"/>
        <s v="03.012.0045" u="1"/>
        <s v="03.014.0035" u="1"/>
        <s v="SH-18500-90001" u="1"/>
        <s v="H461A000" u="1"/>
        <s v="H710C948" u="1"/>
        <s v="SH-20010-42002" u="1"/>
        <s v="H515A000" u="1"/>
        <s v="H710C958" u="1"/>
        <s v="01.013.0046" u="1"/>
        <s v="01.017.0026" u="1"/>
        <s v="01.019.0016" u="1"/>
        <s v="03.012.0046" u="1"/>
        <s v="03.014.0036" u="1"/>
        <s v="03.018.0016" u="1"/>
        <s v="05.019.0006" u="1"/>
        <s v="EC-13000039131" u="1"/>
        <s v="H710C968" u="1"/>
        <s v="H710C978" u="1"/>
        <s v="01.013.0047" u="1"/>
        <s v="01.017.0027" u="1"/>
        <s v="01.019.0017" u="1"/>
        <s v="03.012.0047" u="1"/>
        <s v="03.014.0037" u="1"/>
        <s v="05.019.0007" u="1"/>
        <s v="SH-20020-81140" u="1"/>
        <s v="45ST3022" u="1"/>
        <s v="H710C988" u="1"/>
        <s v="H710C998" u="1"/>
        <s v="01.013.0048" u="1"/>
        <s v="01.017.0028" u="1"/>
        <s v="01.019.0018" u="1"/>
        <s v="03.012.0048" u="1"/>
        <s v="03.014.0038" u="1"/>
        <s v="EC-12311824430" u="1"/>
        <s v="01.013.0049" u="1"/>
        <s v="01.017.0029" u="1"/>
        <s v="01.019.0019" u="1"/>
        <s v="03.014.0039" u="1"/>
        <s v="SH-20075-41111" u="1"/>
        <s v="EC-A101000150" u="1"/>
        <s v="SH-4557850" u="1"/>
        <s v="ALEN 5X16 CC" u="1"/>
        <s v="H710C1042" u="1"/>
        <s v="EC-P004000890" u="1"/>
        <s v="EC-43101530831" u="1"/>
        <s v="H710C1142" u="1"/>
        <s v="EC-22169-54103" u="1"/>
        <s v="SH-22175-12140" u="1"/>
        <s v="H710C1242" u="1"/>
        <s v="EC-A392000060" u="1"/>
        <s v="EC-V265000230" u="1"/>
        <s v="SH-99909-207" u="1"/>
        <s v="ZM-065" u="1"/>
        <s v="H710C1342" u="1"/>
        <s v="SH-63880-62391" u="1"/>
        <s v="EC-A101000350" u="1"/>
        <s v="H710C701" u="1"/>
        <s v="H710C1442" u="1"/>
        <s v="SH-20020-86140" u="1"/>
        <s v="EC-9007200012" u="1"/>
        <s v="H710C711" u="1"/>
        <s v="H710C1542" u="1"/>
        <s v="H710C721" u="1"/>
        <s v="H710C1642" u="1"/>
        <s v="H252A100" u="1"/>
        <s v="H462A000" u="1"/>
        <s v="H710C731" u="1"/>
        <s v="H710C1742" u="1"/>
        <s v="H710C2082" u="1"/>
        <s v="EC-P021010581" u="1"/>
        <s v="H710C741" u="1"/>
        <s v="H710C1842" u="1"/>
        <s v="H711G100" u="1"/>
        <s v="06.077.0024" u="1"/>
        <s v="H710C751" u="1"/>
        <s v="H710C1942" u="1"/>
        <s v="OT-227" u="1"/>
        <s v="H710C761" u="1"/>
        <s v="01.025.0050" u="1"/>
        <s v="06.077.0025" u="1"/>
        <s v="04.001.0020" u="1"/>
        <s v="04.003.0010" u="1"/>
        <s v="06.002.0010" u="1"/>
        <s v="H710C771" u="1"/>
        <s v="H710C805" u="1"/>
        <s v="H710C781" u="1"/>
        <s v="01.025.0051" u="1"/>
        <s v="06.077.0026" u="1"/>
        <s v="H710C815" u="1"/>
        <s v="04.001.0021" u="1"/>
        <s v="04.003.0011" u="1"/>
        <s v="06.002.0011" u="1"/>
        <s v="H710C791" u="1"/>
        <s v="H710C825" u="1"/>
        <s v="EC-82082" u="1"/>
        <s v="01.025.0052" u="1"/>
        <s v="H710C835" u="1"/>
        <s v="04.001.0022" u="1"/>
        <s v="04.003.0012" u="1"/>
        <s v="04.005.0002" u="1"/>
        <s v="06.002.0012" u="1"/>
        <s v="JF-286" u="1"/>
        <s v="H710C845" u="1"/>
        <s v="01.025.0053" u="1"/>
        <s v="H710C855" u="1"/>
        <s v="04.001.0023" u="1"/>
        <s v="04.003.0013" u="1"/>
        <s v="04.005.0003" u="1"/>
        <s v="06.002.0013" u="1"/>
        <s v="06.004.0003" u="1"/>
        <s v="CRE-253" u="1"/>
        <s v="H710C865" u="1"/>
        <s v="EC-SP45BPE" u="1"/>
        <s v="SH-20024-81023" u="1"/>
        <s v="CR-025" u="1"/>
        <s v="CR-PP3" u="1"/>
        <s v="01.025.0054" u="1"/>
        <s v="06.077.0029" u="1"/>
        <s v="SH-V651000540" u="1"/>
        <s v="H710C875" u="1"/>
        <s v="04.001.0024" u="1"/>
        <s v="04.003.0014" u="1"/>
        <s v="06.002.0014" u="1"/>
        <s v="06.004.0004" u="1"/>
        <s v="H710C909" u="1"/>
        <s v="H710C885" u="1"/>
        <s v="H403A000" u="1"/>
        <s v="SH-22050-12100" u="1"/>
        <s v="H710C919" u="1"/>
        <s v="H710C895" u="1"/>
        <s v="04.001.0025" u="1"/>
        <s v="04.003.0015" u="1"/>
        <s v="04.005.0005" u="1"/>
        <s v="06.002.0015" u="1"/>
        <s v="06.004.0005" u="1"/>
        <s v="H710C929" u="1"/>
        <s v="H710C939" u="1"/>
        <s v="H453A000" u="1"/>
        <s v="04.003.0016" u="1"/>
        <s v="06.002.0016" u="1"/>
        <s v="06.004.0006" u="1"/>
        <s v="H710C949" u="1"/>
        <s v="JF-023" u="1"/>
        <s v="H710C959" u="1"/>
        <s v="04.001.0027" u="1"/>
        <s v="04.003.0017" u="1"/>
        <s v="06.002.0017" u="1"/>
        <s v="06.004.0007" u="1"/>
        <s v="SH-20021-42002" u="1"/>
        <s v="H710C969" u="1"/>
        <s v="SH-20011-81140" u="1"/>
        <s v="SH-62064-81011" u="1"/>
        <s v="H710C979" u="1"/>
        <s v="04.001.0028" u="1"/>
        <s v="04.003.0018" u="1"/>
        <s v="06.004.0008" u="1"/>
        <s v="EC-61032027430" u="1"/>
        <s v="H710C989" u="1"/>
        <s v="10.009.0001" u="1"/>
        <s v="H710C999" u="1"/>
        <s v="01.025.0059" u="1"/>
        <s v="04.005.0009" u="1"/>
        <s v="06.004.0009" u="1"/>
        <s v="10.009.0002" u="1"/>
        <s v="EC-V103001040" u="1"/>
        <s v="H300A000" u="1"/>
        <s v="H710C1052" u="1"/>
        <s v="SH-22169-33740" u="1"/>
        <s v="H710C1152" u="1"/>
        <s v="EC-12313704260" u="1"/>
        <s v="CR-125" u="1"/>
        <s v="H710C1252" u="1"/>
        <s v="H710C1352" u="1"/>
        <s v="H710C702" u="1"/>
        <s v="H710C1452" u="1"/>
        <s v="H224A100" u="1"/>
        <s v="H710C712" u="1"/>
        <s v="H710C1552" u="1"/>
        <s v="H710C722" u="1"/>
        <s v="H710C1652" u="1"/>
        <s v="EC-P022007081" u="1"/>
        <s v="H710C732" u="1"/>
        <s v="H710C1752" u="1"/>
        <s v="H710C2092" u="1"/>
        <s v="SH-72030-13140" u="1"/>
        <s v="H710C742" u="1"/>
        <s v="H710C1852" u="1"/>
        <s v="01.019.0150" u="1"/>
        <s v="SH-20015-93200" u="1"/>
        <s v="SH-20024-71610" u="1"/>
        <s v="H710C752" u="1"/>
        <s v="H710C1952" u="1"/>
        <s v="EC-P021027280" u="1"/>
        <s v="H710C762" u="1"/>
        <s v="01.019.0151" u="1"/>
        <s v="06.018.0001" u="1"/>
        <s v="H710C772" u="1"/>
        <s v="H710C806" u="1"/>
        <s v="H710C782" u="1"/>
        <s v="01.019.0152" u="1"/>
        <s v="H710C816" u="1"/>
        <s v="06.018.0002" u="1"/>
        <s v="06.204.0001" u="1"/>
        <s v="H710C792" u="1"/>
        <s v="SH-91032" u="1"/>
        <s v="H710C826" u="1"/>
        <s v="EC-09510" u="1"/>
        <s v="01.019.0153" u="1"/>
        <s v="H710C836" u="1"/>
        <s v="06.018.0003" u="1"/>
        <s v="06.204.0002" u="1"/>
        <s v="H710C846" u="1"/>
        <s v="CR-039" u="1"/>
        <s v="H301A000" u="1"/>
        <s v="01.019.0154" u="1"/>
        <s v="SH-62035-32331" u="1"/>
        <s v="H710C856" u="1"/>
        <s v="06.018.0004" u="1"/>
        <s v="06.204.0003" u="1"/>
        <s v="SH-22021-12100" u="1"/>
        <s v="H710C866" u="1"/>
        <s v="01.019.0155" u="1"/>
        <s v="H710C876" u="1"/>
        <s v="06.018.0005" u="1"/>
        <s v="06.204.0004" u="1"/>
        <s v="H161A100" u="1"/>
        <s v="H710C886" u="1"/>
        <s v="01.019.0156" u="1"/>
        <s v="H391A000" u="1"/>
        <s v="H710C896" u="1"/>
        <s v="06.018.0006" u="1"/>
        <s v="06.204.0005" u="1"/>
        <s v="SH-V299000410" u="1"/>
        <s v="SH-20011-35151" u="1"/>
        <s v="01.019.0157" u="1"/>
        <s v="06.018.0007" u="1"/>
        <s v="06.204.0006" u="1"/>
        <s v="SH-4070981" u="1"/>
        <s v="01.019.0158" u="1"/>
        <s v="06.018.0008" u="1"/>
        <s v="SH-62035-82011" u="1"/>
        <s v="01.019.0159" u="1"/>
        <s v="06.018.0009" u="1"/>
        <s v="06.118.0001" u="1"/>
        <s v="EC-13051039932" u="1"/>
        <s v="06.118.0002" u="1"/>
        <s v="SH-22150-75520" u="1"/>
        <s v="06.050.0010" u="1"/>
        <s v="EC-43021531731" u="1"/>
        <s v="06.118.0003" u="1"/>
        <s v="06.050.0011" u="1"/>
        <s v="06.052.0001" u="1"/>
        <s v="EC-A101000160" u="1"/>
        <s v="H710C1062" u="1"/>
        <s v="H312A000" u="1"/>
        <s v="06.118.0004" u="1"/>
        <s v="06.050.0012" u="1"/>
        <s v="H322A000" u="1"/>
        <s v="H710C1162" u="1"/>
        <s v="H332A000" u="1"/>
        <s v="H710C1262" u="1"/>
        <s v="06.118.0005" u="1"/>
        <s v="CR-DP1" u="1"/>
        <s v="H162A100" u="1"/>
        <s v="H710C1362" u="1"/>
        <s v="EC-A101000360" u="1"/>
        <s v="H710C703" u="1"/>
        <s v="H710C1462" u="1"/>
        <s v="EC-CS 420ES" u="1"/>
        <s v="H392A000" u="1"/>
        <s v="T611A100" u="1"/>
        <s v="H710C713" u="1"/>
        <s v="H710C1562" u="1"/>
        <s v="H710C723" u="1"/>
        <s v="H710C1662" u="1"/>
        <s v="SH-4525920" u="1"/>
        <s v="04.005.0140" u="1"/>
        <s v="03.001.0020" u="1"/>
        <s v="03.003.0010" u="1"/>
        <s v="H710C733" u="1"/>
        <s v="H710C1762" u="1"/>
        <s v="SH-22169-82251" u="1"/>
        <s v="EC-A101000560" u="1"/>
        <s v="H710C743" u="1"/>
        <s v="H710C1862" u="1"/>
        <s v="3982-000-1640" u="1"/>
        <s v="04.005.0141" u="1"/>
        <s v="H710C2005" u="1"/>
        <s v="01.006.0001" u="1"/>
        <s v="03.001.0021" u="1"/>
        <s v="03.003.0011" u="1"/>
        <s v="05.004.0001" u="1"/>
        <s v="06.050.0016" u="1"/>
        <s v="H710C753" u="1"/>
        <s v="H710C1962" u="1"/>
        <s v="SH-22169-21300" u="1"/>
        <s v="JF-071" u="1"/>
        <s v="H710C2105" u="1"/>
        <s v="H710C763" u="1"/>
        <s v="04.005.0142" u="1"/>
        <s v="01.006.0002" u="1"/>
        <s v="03.001.0022" u="1"/>
        <s v="03.003.0012" u="1"/>
        <s v="05.004.0002" u="1"/>
        <s v="06.050.0017" u="1"/>
        <s v="H710C773" u="1"/>
        <s v="SH-62035-71020" u="1"/>
        <s v="H710C807" u="1"/>
        <s v="H710C783" u="1"/>
        <s v="H710C817" u="1"/>
        <s v="04.005.0143" u="1"/>
        <s v="EC-A100000860" u="1"/>
        <s v="01.006.0003" u="1"/>
        <s v="03.001.0023" u="1"/>
        <s v="03.003.0013" u="1"/>
        <s v="05.004.0003" u="1"/>
        <s v="06.050.0018" u="1"/>
        <s v="06.150.0010" u="1"/>
        <s v="H710C793" u="1"/>
        <s v="H710C827" u="1"/>
        <s v="EP-13030039730" u="1"/>
        <s v="H710C837" u="1"/>
        <s v="04.005.0144" u="1"/>
        <s v="01.006.0004" u="1"/>
        <s v="03.001.0024" u="1"/>
        <s v="03.003.0014" u="1"/>
        <s v="05.004.0004" u="1"/>
        <s v="06.050.0019" u="1"/>
        <s v="06.150.0011" u="1"/>
        <s v="H710C847" u="1"/>
        <s v="H313A000" u="1"/>
        <s v="H710C857" u="1"/>
        <s v="04.005.0145" u="1"/>
        <s v="01.006.0005" u="1"/>
        <s v="03.001.0025" u="1"/>
        <s v="03.003.0015" u="1"/>
        <s v="06.150.0012" u="1"/>
        <s v="EC-BP35INTL" u="1"/>
        <s v="H323A000" u="1"/>
        <s v="H333A000" u="1"/>
        <s v="H710C867" u="1"/>
        <s v="EC-A226000020" u="1"/>
        <s v="SH-V651000550" u="1"/>
        <s v="SH-72935-63210" u="1"/>
        <s v="H710C877" u="1"/>
        <s v="04.005.0146" u="1"/>
        <s v="01.006.0006" u="1"/>
        <s v="03.001.0026" u="1"/>
        <s v="03.003.0016" u="1"/>
        <s v="05.004.0006" u="1"/>
        <s v="06.150.0013" u="1"/>
        <s v="06.152.0003" u="1"/>
        <s v="EC-A230000040" u="1"/>
        <s v="SH-62035-75020" u="1"/>
        <s v="H710C887" u="1"/>
        <s v="H407A000" u="1"/>
        <s v="SH-60023-98031" u="1"/>
        <s v="H393A000" u="1"/>
        <s v="H710C897" u="1"/>
        <s v="04.005.0147" u="1"/>
        <s v="EC-V100000410" u="1"/>
        <s v="EC-V104000210" u="1"/>
        <s v="03.001.0027" u="1"/>
        <s v="06.150.0014" u="1"/>
        <s v="06.152.0004" u="1"/>
        <s v="SH-22020-14200" u="1"/>
        <s v="ALEN 5X25" u="1"/>
        <s v="01.006.0008" u="1"/>
        <s v="03.001.0028" u="1"/>
        <s v="05.004.0008" u="1"/>
        <s v="06.150.0015" u="1"/>
        <s v="06.152.0005" u="1"/>
        <s v="04.005.0149" u="1"/>
        <s v="01.004.0019" u="1"/>
        <s v="03.001.0029" u="1"/>
        <s v="05.004.0009" u="1"/>
        <s v="06.150.0016" u="1"/>
        <s v="EC-P021005911" u="1"/>
        <s v="06.150.0017" u="1"/>
        <s v="06.152.0007" u="1"/>
        <s v="EC-A226000520" u="1"/>
        <s v="CR-71.064.10" u="1"/>
        <s v="H710C600" u="1"/>
        <s v="EC-17500539133" u="1"/>
        <s v="06.066.0001" u="1"/>
        <s v="06.150.0018" u="1"/>
        <s v="06.152.0008" u="1"/>
        <s v="01.040.0001" u="1"/>
        <s v="H710C610" u="1"/>
        <s v="H710C620" u="1"/>
        <s v="06.066.0002" u="1"/>
        <s v="06.150.0019" u="1"/>
        <s v="06.152.0009" u="1"/>
        <s v="EC-10020442230" u="1"/>
        <s v="01.040.0002" u="1"/>
        <s v="H710C630" u="1"/>
        <s v="H710C1072" u="1"/>
        <s v="H710C640" u="1"/>
        <s v="06.066.0003" u="1"/>
        <s v="H710C1172" u="1"/>
        <s v="H710C650" u="1"/>
        <s v="H710C1272" u="1"/>
        <s v="H710C660" u="1"/>
        <s v="06.066.0004" u="1"/>
        <s v="H710C1372" u="1"/>
        <s v="H710C670" u="1"/>
        <s v="H710C704" u="1"/>
        <s v="H710C1472" u="1"/>
        <s v="H710C680" u="1"/>
        <s v="T613A100" u="1"/>
        <s v="01.018.0010" u="1"/>
        <s v="03.013.0030" u="1"/>
        <s v="03.015.0020" u="1"/>
        <s v="06.066.0005" u="1"/>
        <s v="H710C714" u="1"/>
        <s v="H710C1572" u="1"/>
        <s v="H710C690" u="1"/>
        <s v="EC-P021027090" u="1"/>
        <s v="H710C724" u="1"/>
        <s v="H710C1672" u="1"/>
        <s v="01.016.0021" u="1"/>
        <s v="01.018.0011" u="1"/>
        <s v="03.013.0031" u="1"/>
        <s v="06.066.0006" u="1"/>
        <s v="H710C734" u="1"/>
        <s v="H710C1772" u="1"/>
        <s v="01.040.0006" u="1"/>
        <s v="EC-A232000940" u="1"/>
        <s v="EC-12411505530" u="1"/>
        <s v="JF-085" u="1"/>
        <s v="H710C744" u="1"/>
        <s v="H710C1872" u="1"/>
        <s v="EC-70602042040" u="1"/>
        <s v="H710C2015" u="1"/>
        <s v="01.016.0022" u="1"/>
        <s v="01.018.0012" u="1"/>
        <s v="03.013.0032" u="1"/>
        <s v="05.018.0002" u="1"/>
        <s v="H710C754" u="1"/>
        <s v="H710C1972" u="1"/>
        <s v="01.040.0007" u="1"/>
        <s v="JF-271" u="1"/>
        <s v="H710C2115" u="1"/>
        <s v="H710C764" u="1"/>
        <s v="SH-4575700" u="1"/>
        <s v="01.016.0023" u="1"/>
        <s v="01.018.0013" u="1"/>
        <s v="03.013.0033" u="1"/>
        <s v="03.017.0013" u="1"/>
        <s v="H710C774" u="1"/>
        <s v="01.040.0008" u="1"/>
        <s v="H710C808" u="1"/>
        <s v="H710C784" u="1"/>
        <s v="CR-010" u="1"/>
        <s v="H710C818" u="1"/>
        <s v="01.016.0024" u="1"/>
        <s v="01.018.0014" u="1"/>
        <s v="03.013.0034" u="1"/>
        <s v="06.166.0001" u="1"/>
        <s v="H710C794" u="1"/>
        <s v="01.040.0009" u="1"/>
        <s v="H710C828" u="1"/>
        <s v="OT-72" u="1"/>
        <s v="H710C838" u="1"/>
        <s v="SH-38500-82110" u="1"/>
        <s v="01.016.0025" u="1"/>
        <s v="01.018.0015" u="1"/>
        <s v="03.013.0035" u="1"/>
        <s v="06.166.0002" u="1"/>
        <s v="H710C848" u="1"/>
      </sharedItems>
    </cacheField>
    <cacheField name="Buffer" numFmtId="0">
      <sharedItems containsSemiMixedTypes="0" containsString="0" containsNumber="1" containsInteger="1" minValue="500" maxValue="500"/>
    </cacheField>
    <cacheField name="Fecha" numFmtId="14">
      <sharedItems containsSemiMixedTypes="0" containsNonDate="0" containsDate="1" containsString="0" minDate="2017-01-31T00:00:00" maxDate="2017-04-02T00:00:00" count="59"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</sharedItems>
      <fieldGroup par="12" base="3">
        <rangePr groupBy="days" startDate="2017-01-31T00:00:00" endDate="2017-04-02T00:00:00"/>
        <groupItems count="368">
          <s v="&lt;31/01/2017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2/04/2017"/>
        </groupItems>
      </fieldGroup>
    </cacheField>
    <cacheField name="InvFis" numFmtId="0">
      <sharedItems containsSemiMixedTypes="0" containsString="0" containsNumber="1" containsInteger="1" minValue="0" maxValue="353"/>
    </cacheField>
    <cacheField name="InvProyAct" numFmtId="0">
      <sharedItems containsSemiMixedTypes="0" containsString="0" containsNumber="1" containsInteger="1" minValue="170" maxValue="549"/>
    </cacheField>
    <cacheField name="Zona Amar" numFmtId="0">
      <sharedItems containsSemiMixedTypes="0" containsString="0" containsNumber="1" containsInteger="1" minValue="333" maxValue="333"/>
    </cacheField>
    <cacheField name="Zona Roj" numFmtId="0">
      <sharedItems containsSemiMixedTypes="0" containsString="0" containsNumber="1" containsInteger="1" minValue="165" maxValue="165"/>
    </cacheField>
    <cacheField name="Entradas" numFmtId="0">
      <sharedItems containsSemiMixedTypes="0" containsString="0" containsNumber="1" containsInteger="1" minValue="0" maxValue="0"/>
    </cacheField>
    <cacheField name="Salidas" numFmtId="0">
      <sharedItems containsSemiMixedTypes="0" containsString="0" containsNumber="1" containsInteger="1" minValue="0" maxValue="0"/>
    </cacheField>
    <cacheField name="Causa" numFmtId="0">
      <sharedItems containsNonDate="0" containsString="0" containsBlank="1"/>
    </cacheField>
    <cacheField name="Meses" numFmtId="0" databaseField="0">
      <fieldGroup base="3">
        <rangePr groupBy="months" startDate="2017-01-31T00:00:00" endDate="2017-04-02T00:00:00"/>
        <groupItems count="14">
          <s v="&lt;31/01/2017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2/04/2017"/>
        </groupItems>
      </fieldGroup>
    </cacheField>
    <cacheField name="Años" numFmtId="0" databaseField="0">
      <fieldGroup base="3">
        <rangePr groupBy="years" startDate="2017-01-31T00:00:00" endDate="2017-04-02T00:00:00"/>
        <groupItems count="3">
          <s v="&lt;31/01/2017"/>
          <s v="2017"/>
          <s v="&gt;02/04/2017"/>
        </groupItems>
      </fieldGroup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BUFFER" refreshedDate="42826.870238310185" createdVersion="5" refreshedVersion="5" minRefreshableVersion="3" recordCount="1">
  <cacheSource type="worksheet">
    <worksheetSource name="ConsHist"/>
  </cacheSource>
  <cacheFields count="6">
    <cacheField name="BODEGA" numFmtId="0">
      <sharedItems containsNonDate="0" containsBlank="1" count="6">
        <m/>
        <s v="BP-MATRIZ" u="1"/>
        <s v="BDG. DE PRODUCTO TERMI PLANTA" u="1"/>
        <s v="Bodega ECU" u="1"/>
        <s v="MCS - Bodega Macas" u="1"/>
        <s v="BOD - Centro Distribuciones" u="1"/>
      </sharedItems>
    </cacheField>
    <cacheField name="CODIGO" numFmtId="0">
      <sharedItems containsNonDate="0" containsBlank="1" count="8000">
        <m/>
        <s v="20951322" u="1"/>
        <s v="H281A000" u="1"/>
        <s v="H251A000       " u="1"/>
        <s v="760201" u="1"/>
        <s v="H710G000" u="1"/>
        <s v="01.018.0016" u="1"/>
        <s v="03.013.0036" u="1"/>
        <s v="06.166.0003" u="1"/>
        <s v="58920400B0" u="1"/>
        <s v="765015" u="1"/>
        <s v="ANU76P925317" u="1"/>
        <s v="190935315N0" u="1"/>
        <s v="H271A000       " u="1"/>
        <s v="562211" u="1"/>
        <s v="H271A020" u="1"/>
        <s v="65001801" u="1"/>
        <s v="H281A000       " u="1"/>
        <s v="ANU30212990" u="1"/>
        <s v="H710G000       " u="1"/>
        <s v="568025" u="1"/>
        <s v="768015" u="1"/>
        <s v="76P900012" u="1"/>
        <s v="58901802J0" u="1"/>
        <s v="01.018.0017" u="1"/>
        <s v="03.013.0037" u="1"/>
        <s v="06.166.0004" u="1"/>
        <s v="569025" u="1"/>
        <s v="20561589" u="1"/>
        <s v="192444" u="1"/>
        <s v="H271A020       " u="1"/>
        <s v="192933998F0" u="1"/>
        <s v="567211" u="1"/>
        <s v="191000761" u="1"/>
        <s v="190966197R0" u="1"/>
        <s v="191937610Z0" u="1"/>
        <s v="190630" u="1"/>
        <s v="314438" u="1"/>
        <s v="T614A100" u="1"/>
        <s v="191966321C0" u="1"/>
        <s v="192000761" u="1"/>
        <s v="01.018.0018" u="1"/>
        <s v="03.013.0038" u="1"/>
        <s v="06.166.0005" u="1"/>
        <s v="76P924364" u="1"/>
        <s v="192933382Z0" u="1"/>
        <s v="403060" u="1"/>
        <s v="76P924464" u="1"/>
        <s v="2516200" u="1"/>
        <s v="191966149C0" u="1"/>
        <s v="T614A100       " u="1"/>
        <s v="760378" u="1"/>
        <s v="192001004" u="1"/>
        <s v="20972834" u="1"/>
        <s v="192000961" u="1"/>
        <s v="58914163M0" u="1"/>
        <s v="01.018.0019" u="1"/>
        <s v="03.013.0039" u="1"/>
        <s v="06.166.0006" u="1"/>
        <s v="191001853MO" u="1"/>
        <s v="ANU30211228" u="1"/>
        <s v="2516201" u="1"/>
        <s v="192000689" u="1"/>
        <s v="192001104" u="1"/>
        <s v="4003890" u="1"/>
        <s v="65240430" u="1"/>
        <s v="191001204" u="1"/>
        <s v="2516202" u="1"/>
        <s v="59055026" u="1"/>
        <s v="58914207M0" u="1"/>
        <s v="192000789" u="1"/>
        <s v="192001204" u="1"/>
        <s v="4003891" u="1"/>
        <s v="06.072.0040" u="1"/>
        <s v="06.166.0007" u="1"/>
        <s v="76P924764" u="1"/>
        <s v="2516203" u="1"/>
        <s v="3330212627" u="1"/>
        <s v="191916356N0" u="1"/>
        <s v="4003892" u="1"/>
        <s v="58914193M0" u="1"/>
        <s v="76P924864" u="1"/>
        <s v="2516204" u="1"/>
        <s v="58901906J0" u="1"/>
        <s v="192000989" u="1"/>
        <s v="06.072.0041" u="1"/>
        <s v="06.166.0008" u="1"/>
        <s v="191001504" u="1"/>
        <s v="2516205" u="1"/>
        <s v="59055056" u="1"/>
        <s v="58901716J1" u="1"/>
        <s v="58914237M0" u="1"/>
        <s v="192943747Z0" u="1"/>
        <s v="2516206" u="1"/>
        <s v="H212A000" u="1"/>
        <s v="06.072.0042" u="1"/>
        <s v="06.166.0009" u="1"/>
        <s v="191001704" u="1"/>
        <s v="2516207" u="1"/>
        <s v="460037" u="1"/>
        <s v="ANU20976967" u="1"/>
        <s v="2516208" u="1"/>
        <s v="H212A000       " u="1"/>
        <s v="422039" u="1"/>
        <s v="06.072.0043" u="1"/>
        <s v="2516209" u="1"/>
        <s v="ANU192344" u="1"/>
        <s v="H282A000" u="1"/>
        <s v="191966710J0" u="1"/>
        <s v="H316A000" u="1"/>
        <s v="192933572C0" u="1"/>
        <s v="30212993" u="1"/>
        <s v="H711G000" u="1"/>
        <s v="T711A000" u="1"/>
        <s v="H336A000" u="1"/>
        <s v="192933395P0" u="1"/>
        <s v="400412" u="1"/>
        <s v="76P925707" u="1"/>
        <s v="191966004D0" u="1"/>
        <s v="ANU58901109Z0" u="1"/>
        <s v="H282A000       " u="1"/>
        <s v="H316A000       " u="1"/>
        <s v="252448" u="1"/>
        <s v="ANU401033" u="1"/>
        <s v="06.042.0090" u="1"/>
        <s v="H711G000       " u="1"/>
        <s v="T711A000       " u="1"/>
        <s v="01.024.0050" u="1"/>
        <s v="01.028.0030" u="1"/>
        <s v="03.023.0050" u="1"/>
        <s v="403412" u="1"/>
        <s v="H336A000       " u="1"/>
        <s v="H316A030" u="1"/>
        <s v="490184" u="1"/>
        <s v="20562825" u="1"/>
        <s v="251634" u="1"/>
        <s v="313538" u="1"/>
        <s v="ANU567256" u="1"/>
        <s v="405412" u="1"/>
        <s v="567311" u="1"/>
        <s v="T615A100" u="1"/>
        <s v="06.042.0091" u="1"/>
        <s v="734079" u="1"/>
        <s v="01.024.0051" u="1"/>
        <s v="01.028.0031" u="1"/>
        <s v="03.023.0051" u="1"/>
        <s v="58920658B0" u="1"/>
        <s v="02.001.0021" u="1"/>
        <s v="06.003.0001" u="1"/>
        <s v="191947026H0" u="1"/>
        <s v="H316A030       " u="1"/>
        <s v="T615A100       " u="1"/>
        <s v="06.042.0092" u="1"/>
        <s v="256196" u="1"/>
        <s v="01.024.0052" u="1"/>
        <s v="01.028.0032" u="1"/>
        <s v="03.023.0052" u="1"/>
        <s v="58901998R0" u="1"/>
        <s v="190966041Z0" u="1"/>
        <s v="191937180D0" u="1"/>
        <s v="091007" u="1"/>
        <s v="58920245G0" u="1"/>
        <s v="06.042.0093" u="1"/>
        <s v="314472" u="1"/>
        <s v="01.024.0053" u="1"/>
        <s v="03.023.0053" u="1"/>
        <s v="490799" u="1"/>
        <s v="76P926747" u="1"/>
        <s v="191946191K0" u="1"/>
        <s v="567926" u="1"/>
        <s v="567488" u="1"/>
        <s v="58914010M0" u="1"/>
        <s v="06.042.0094" u="1"/>
        <s v="1100100123" u="1"/>
        <s v="01.024.0054" u="1"/>
        <s v="03.023.0054" u="1"/>
        <s v="04.004.0004" u="1"/>
        <s v="06.003.0004" u="1"/>
        <s v="191937055B0" u="1"/>
        <s v="191966069Z0" u="1"/>
        <s v="06.042.0095" u="1"/>
        <s v="760029" u="1"/>
        <s v="H213A000" u="1"/>
        <s v="01.024.0055" u="1"/>
        <s v="03.023.0055" u="1"/>
        <s v="06.003.0005" u="1"/>
        <s v="06.094.0100" u="1"/>
        <s v="H223A000" u="1"/>
        <s v="04GR100" u="1"/>
        <s v="58902196V0" u="1"/>
        <s v="132032" u="1"/>
        <s v="06.042.0096" u="1"/>
        <s v="H213A000       " u="1"/>
        <s v="559889" u="1"/>
        <s v="760215" u="1"/>
        <s v="01.024.0056" u="1"/>
        <s v="03.023.0056" u="1"/>
        <s v="554011" u="1"/>
        <s v="58901701R0" u="1"/>
        <s v="06.094.0101" u="1"/>
        <s v="H223A000       " u="1"/>
        <s v="37938117N0" u="1"/>
        <s v="04GR100        " u="1"/>
        <s v="400326" u="1"/>
        <s v="H273A000" u="1"/>
        <s v="567039" u="1"/>
        <s v="757001" u="1"/>
        <s v="06.042.0097" u="1"/>
        <s v="01.024.0057" u="1"/>
        <s v="03.023.0057" u="1"/>
        <s v="58901721R0" u="1"/>
        <s v="02.001.0027" u="1"/>
        <s v="06.094.0102" u="1"/>
        <s v="569039" u="1"/>
        <s v="58906240W0" u="1"/>
        <s v="759001" u="1"/>
        <s v="H273A000       " u="1"/>
        <s v="H273A020" u="1"/>
        <s v="080090" u="1"/>
        <s v="58920411B0" u="1"/>
        <s v="405326" u="1"/>
        <s v="190644" u="1"/>
        <s v="06.042.0098" u="1"/>
        <s v="03.023.0058" u="1"/>
        <s v="422073" u="1"/>
        <s v="02.001.0028" u="1"/>
        <s v="06.094.0103" u="1"/>
        <s v="569225" u="1"/>
        <s v="490722" u="1"/>
        <s v="H273A020       " u="1"/>
        <s v="251734" u="1"/>
        <s v="400260" u="1"/>
        <s v="404074" u="1"/>
        <s v="10.008.0001" u="1"/>
        <s v="190830" u="1"/>
        <s v="30217836" u="1"/>
        <s v="T616A100" u="1"/>
        <s v="ANU403216" u="1"/>
        <s v="76P924374" u="1"/>
        <s v="58940017D0" u="1"/>
        <s v="192000499" u="1"/>
        <s v="192943157Z0" u="1"/>
        <s v="58901733Z0" u="1"/>
        <s v="58914154M0" u="1"/>
        <s v="76P924474" u="1"/>
        <s v="58912092V0" u="1"/>
        <s v="20971382" u="1"/>
        <s v="405260" u="1"/>
        <s v="192001014" u="1"/>
        <s v="58912126V0" u="1"/>
        <s v="190009" u="1"/>
        <s v="192000971" u="1"/>
        <s v="190966201N0" u="1"/>
        <s v="30210032" u="1"/>
        <s v="65301842" u="1"/>
        <s v="192001114" u="1"/>
        <s v="58901815R0" u="1"/>
        <s v="191966354P0" u="1"/>
        <s v="20972845" u="1"/>
        <s v="58901753Z0" u="1"/>
        <s v="58906334W0" u="1"/>
        <s v="59055027" u="1"/>
        <s v="192000799" u="1"/>
        <s v="192001214" u="1"/>
        <s v="191966704D8" u="1"/>
        <s v="76P924774" u="1"/>
        <s v="192933792Z0" u="1"/>
        <s v="ANU58920291B0" u="1"/>
        <s v="20PU650" u="1"/>
        <s v="191001414" u="1"/>
        <s v="5610209400" u="1"/>
        <s v="58920068D0" u="1"/>
        <s v="65300453" u="1"/>
        <s v="192000999" u="1"/>
        <s v="20PU651" u="1"/>
        <s v="76P925017" u="1"/>
        <s v="76P924974" u="1"/>
        <s v="58914238M0" u="1"/>
        <s v="766764" u="1"/>
        <s v="58901793Z0" u="1"/>
        <s v="270032" u="1"/>
        <s v="567774" u="1"/>
        <s v="H170A000" u="1"/>
        <s v="191001614" u="1"/>
        <s v="191966329N0" u="1"/>
        <s v="58901827Z0" u="1"/>
        <s v="192933182C0" u="1"/>
        <s v="20PU653" u="1"/>
        <s v="191947042N0" u="1"/>
        <s v="492021" u="1"/>
        <s v="710103" u="1"/>
        <s v="20218942" u="1"/>
        <s v="191001714" u="1"/>
        <s v="190935238D0" u="1"/>
        <s v="192904199Z0" u="1"/>
        <s v="H224A000" u="1"/>
        <s v="311123" u="1"/>
        <s v="192943195R0" u="1"/>
        <s v="582138" u="1"/>
        <s v="20PU654" u="1"/>
        <s v="76P925317" u="1"/>
        <s v="192001057GR" u="1"/>
        <s v="58920112G0" u="1"/>
        <s v="191001914" u="1"/>
        <s v="400426" u="1"/>
        <s v="766129" u="1"/>
        <s v="76P925517" u="1"/>
        <s v="583324" u="1"/>
        <s v="557111" u="1"/>
        <s v="T113A300" u="1"/>
        <s v="760063" u="1"/>
        <s v="191966067F0" u="1"/>
        <s v="192943347C0" u="1"/>
        <s v="403426" u="1"/>
        <s v="569139" u="1"/>
        <s v="251648" u="1"/>
        <s v="405426" u="1"/>
        <s v="567325" u="1"/>
        <s v="190935175Z0" u="1"/>
        <s v="20977540" u="1"/>
        <s v="402174" u="1"/>
        <s v="06.017.0001" u="1"/>
        <s v="490822" u="1"/>
        <s v="565073" u="1"/>
        <s v="400360" u="1"/>
        <s v="766063" u="1"/>
        <s v="20921365" u="1"/>
        <s v="ANU490861" u="1"/>
        <s v="192933552N0" u="1"/>
        <s v="252396" u="1"/>
        <s v="ANU405396" u="1"/>
        <s v="768063" u="1"/>
        <s v="T427A200" u="1"/>
        <s v="ANU567366" u="1"/>
        <s v="76P926557" u="1"/>
        <s v="58920246G0" u="1"/>
        <s v="D111C000" u="1"/>
        <s v="H111A000" u="1"/>
        <s v="76P926757" u="1"/>
        <s v="58931477D0" u="1"/>
        <s v="191947055D0" u="1"/>
        <s v="D121C000" u="1"/>
        <s v="192943817N0" u="1"/>
        <s v="D131C000" u="1"/>
        <s v="ANU568009" u="1"/>
        <s v="550025" u="1"/>
        <s v="D131C010" u="1"/>
        <s v="76P946956" u="1"/>
        <s v="191043" u="1"/>
        <s v="192001056NE" u="1"/>
        <s v="191966079Z0" u="1"/>
        <s v="20942897" u="1"/>
        <s v="191966179Z0" u="1"/>
        <s v="554025" u="1"/>
        <s v="H225A000" u="1"/>
        <s v="T620A000" u="1"/>
        <s v="192933790F0" u="1"/>
        <s v="557025" u="1"/>
        <s v="733202" u="1"/>
        <s v="760415" u="1"/>
        <s v="314223" u="1"/>
        <s v="192001073MO" u="1"/>
        <s v="192000281" u="1"/>
        <s v="192933560Q0" u="1"/>
        <s v="401088" u="1"/>
        <s v="760601" u="1"/>
        <s v="192000381" u="1"/>
        <s v="422087" u="1"/>
        <s v="191946952Z0" u="1"/>
        <s v="58906241W0" u="1"/>
        <s v="58920240Z0" u="1"/>
        <s v="ANU76P925318" u="1"/>
        <s v="251748" u="1"/>
        <s v="58914568H0" u="1"/>
        <s v="190844" u="1"/>
        <s v="76P938374" u="1"/>
        <s v="403274" u="1"/>
        <s v="58901714Z0" u="1"/>
        <s v="ANU30202193" u="1"/>
        <s v="1100000218" u="1"/>
        <s v="252496" u="1"/>
        <s v="76P924384" u="1"/>
        <s v="191946971V0" u="1"/>
        <s v="191966069C0" u="1"/>
        <s v="192933205Z0" u="1"/>
        <s v="403460" u="1"/>
        <s v="58901734Z0" u="1"/>
        <s v="58914155M0" u="1"/>
        <s v="58920452B0" u="1"/>
        <s v="20971383" u="1"/>
        <s v="192001024" u="1"/>
        <s v="192000981" u="1"/>
        <s v="58914165M0" u="1"/>
        <s v="ANU191224" u="1"/>
        <s v="191209" u="1"/>
        <s v="30210033" u="1"/>
        <s v="192933405Z0" u="1"/>
        <s v="ANU76P925348" u="1"/>
        <s v="192001124" u="1"/>
        <s v="76P924684" u="1"/>
        <s v="190966039N0" u="1"/>
        <s v="58914185M0" u="1"/>
        <s v="D112C000" u="1"/>
        <s v="270046" u="1"/>
        <s v="76P924884" u="1"/>
        <s v="600001" u="1"/>
        <s v="ANU404066" u="1"/>
        <s v="58901808Z0" u="1"/>
        <s v="0416308" u="1"/>
        <s v="192933373G0" u="1"/>
        <s v="30212935" u="1"/>
        <s v="76P925027" u="1"/>
        <s v="58906365W0" u="1"/>
        <s v="20586255" u="1"/>
        <s v="191001524" u="1"/>
        <s v="ANU162003" u="1"/>
        <s v="58901818Z0" u="1"/>
        <s v="311137" u="1"/>
        <s v="20227697" u="1"/>
        <s v="65300464" u="1"/>
        <s v="190966339N0" u="1"/>
        <s v="191937048C0" u="1"/>
        <s v="58901794Z0" u="1"/>
        <s v="ANU58901248Z0" u="1"/>
        <s v="192143" u="1"/>
        <s v="58901828Z0" u="1"/>
        <s v="251233" u="1"/>
        <s v="314137" u="1"/>
        <s v="734116" u="1"/>
        <s v="191001724" u="1"/>
        <s v="190935248D0" u="1"/>
        <s v="H226A000" u="1"/>
        <s v="ANU76P925378" u="1"/>
        <s v="T421A100" u="1"/>
        <s v="30213908P" u="1"/>
        <s v="11122300" u="1"/>
        <s v="65310300" u="1"/>
        <s v="760077" u="1"/>
        <s v="ANU58901507F0" u="1"/>
        <s v="710051" u="1"/>
        <s v="ANU76P925388" u="1"/>
        <s v="65610300" u="1"/>
        <s v="58901868Z0" u="1"/>
        <s v="31203" u="1"/>
        <s v="30212995" u="1"/>
        <s v="31303" u="1"/>
        <s v="402188" u="1"/>
        <s v="760263" u="1"/>
        <s v="314071" u="1"/>
        <s v="734050" u="1"/>
        <s v="490836" u="1"/>
        <s v="76P925727" u="1"/>
        <s v="30210721PU" u="1"/>
        <s v="400374" u="1"/>
        <s v="766077" u="1"/>
        <s v="76P926067" u="1"/>
        <s v="567087" u="1"/>
        <s v="768077" u="1"/>
        <s v="20921356" u="1"/>
        <s v="080007" u="1"/>
        <s v="191966377F0" u="1"/>
        <s v="192943371L0" u="1"/>
        <s v="T619A100" u="1"/>
        <s v="58920207G0" u="1"/>
        <s v="06.094.0078" u="1"/>
        <s v="ANU491014" u="1"/>
        <s v="ANU567376" u="1"/>
        <s v="76P926367" u="1"/>
        <s v="192692" u="1"/>
        <s v="76P926467" u="1"/>
        <s v="191946248Q0" u="1"/>
        <s v="731851" u="1"/>
        <s v="H521B200" u="1"/>
        <s v="65830403" u="1"/>
        <s v="191937003D0" u="1"/>
        <s v="58920247G0" u="1"/>
        <s v="58920704E0" u="1"/>
        <s v="360020" u="1"/>
        <s v="700003" u="1"/>
        <s v="76P926767" u="1"/>
        <s v="58902196N0" u="1"/>
        <s v="191916301Z0" u="1"/>
        <s v="BR10A000" u="1"/>
        <s v="9786196" u="1"/>
        <s v="BR20A000" u="1"/>
        <s v="D153C000" u="1"/>
        <s v="191001828VE" u="1"/>
        <s v="724002" u="1"/>
        <s v="BR30A000" u="1"/>
        <s v="192001066NE" u="1"/>
        <s v="BR40A000" u="1"/>
        <s v="191966089Z0" u="1"/>
        <s v="191937126Q0" u="1"/>
        <s v="166030" u="1"/>
        <s v="BR50A000" u="1"/>
        <s v="58901611Z0" u="1"/>
        <s v="567010" u="1"/>
        <s v="BR60A000" u="1"/>
        <s v="314237" u="1"/>
        <s v="568010" u="1"/>
        <s v="58901621Z0" u="1"/>
        <s v="T422A100" u="1"/>
        <s v="312423" u="1"/>
        <s v="270080" u="1"/>
        <s v="610063" u="1"/>
        <s v="733402" u="1"/>
        <s v="251081" u="1"/>
        <s v="192000191" u="1"/>
        <s v="314423" u="1"/>
        <s v="760177" u="1"/>
        <s v="58931542G0" u="1"/>
        <s v="1100500051" u="1"/>
        <s v="H277A000" u="1"/>
        <s v="192933475D0" u="1"/>
        <s v="400288" u="1"/>
        <s v="583624" u="1"/>
        <s v="190903486B0" u="1"/>
        <s v="760363" u="1"/>
        <s v="65920300" u="1"/>
        <s v="58906242W0" u="1"/>
        <s v="25604" u="1"/>
        <s v="403288" u="1"/>
        <s v="58901733R0" u="1"/>
        <s v="ANU2516198" u="1"/>
        <s v="567187" u="1"/>
        <s v="58901705Z0" u="1"/>
        <s v="190966202R0" u="1"/>
        <s v="58901005A0" u="1"/>
        <s v="403474" u="1"/>
        <s v="490684" u="1"/>
        <s v="58901753R0" u="1"/>
        <s v="251696" u="1"/>
        <s v="30210004" u="1"/>
        <s v="405474" u="1"/>
        <s v="190792" u="1"/>
        <s v="192000791" u="1"/>
        <s v="490870" u="1"/>
        <s v="58906292W0" u="1"/>
        <s v="192001034" u="1"/>
        <s v="58928010C0" u="1"/>
        <s v="192000991" u="1"/>
        <s v="H912B000" u="1"/>
        <s v="192001134" u="1"/>
        <s v="192409" u="1"/>
        <s v="58901793R0" u="1"/>
        <s v="600015" u="1"/>
        <s v="192001234" u="1"/>
        <s v="58901827R0" u="1"/>
        <s v="190966049N0" u="1"/>
        <s v="421024" u="1"/>
        <s v="550139" u="1"/>
        <s v="422024" u="1"/>
        <s v="760100" u="1"/>
        <s v="76P924894" u="1"/>
        <s v="ANU20559986" u="1"/>
        <s v="58901809Z0" u="1"/>
        <s v="251247" u="1"/>
        <s v="20970039" u="1"/>
        <s v="58901785Z0" u="1"/>
        <s v="58906366W0" u="1"/>
        <s v="20218924" u="1"/>
        <s v="191001534" u="1"/>
        <s v="1102100054" u="1"/>
        <s v="764100" u="1"/>
        <s v="58901819Z0" u="1"/>
        <s v="191937058C0" u="1"/>
        <s v="58901795Z0" u="1"/>
        <s v="ANU20559987" u="1"/>
        <s v="58901829Z0" u="1"/>
        <s v="191937539G0" u="1"/>
        <s v="ANU58920006A0" u="1"/>
        <s v="567110" u="1"/>
        <s v="252433" u="1"/>
        <s v="20218944" u="1"/>
        <s v="191001734" u="1"/>
        <s v="191966449N0" u="1"/>
        <s v="710065" u="1"/>
        <s v="768100" u="1"/>
        <s v="58901839Z0" u="1"/>
        <s v="191937200N0" u="1"/>
        <s v="191091" u="1"/>
        <s v="569110" u="1"/>
        <s v="76P925337" u="1"/>
        <s v="58901077I0" u="1"/>
        <s v="65330300" u="1"/>
        <s v="ANU58901530R0" u="1"/>
        <s v="58901849Z0" u="1"/>
        <s v="192943162P0" u="1"/>
        <s v="192933375D8" u="1"/>
        <s v="760277" u="1"/>
        <s v="191001934" u="1"/>
        <s v="ANU400423" u="1"/>
        <s v="554073" u="1"/>
        <s v="734064" u="1"/>
        <s v="ANU20970151" u="1"/>
        <s v="H278A000" u="1"/>
        <s v="76P925537" u="1"/>
        <s v="192933400P0" u="1"/>
        <s v="ANU58901531R0" u="1"/>
        <s v="316085" u="1"/>
        <s v="577072" u="1"/>
        <s v="76P925637" u="1"/>
        <s v="192933405C0" u="1"/>
        <s v="65930300" u="1"/>
        <s v="256181" u="1"/>
        <s v="20556134" u="1"/>
        <s v="58920497R0" u="1"/>
        <s v="6291003" u="1"/>
        <s v="ANU58901532R0" u="1"/>
        <s v="405388" u="1"/>
        <s v="567287" u="1"/>
        <s v="76P925837" u="1"/>
        <s v="76P926177" u="1"/>
        <s v="490784" u="1"/>
        <s v="HM750-3020" u="1"/>
        <s v="20921367" u="1"/>
        <s v="192935295Z0" u="1"/>
        <s v="190892" u="1"/>
        <s v="ANU567386" u="1"/>
        <s v="6291007" u="1"/>
        <s v="ANU58901534R0" u="1"/>
        <s v="76P926477" u="1"/>
        <s v="ANU251236" u="1"/>
        <s v="160044" u="1"/>
        <s v="700017" u="1"/>
        <s v="720016" u="1"/>
        <s v="701017" u="1"/>
        <s v="761014" u="1"/>
        <s v="191966071Z0" u="1"/>
        <s v="400125" u="1"/>
        <s v="562024" u="1"/>
        <s v="763014" u="1"/>
        <s v="564024" u="1"/>
        <s v="760200" u="1"/>
        <s v="403125" u="1"/>
        <s v="765014" u="1"/>
        <s v="768014" u="1"/>
        <s v="58920278G0" u="1"/>
        <s v="403311" u="1"/>
        <s v="569024" u="1"/>
        <s v="192443" u="1"/>
        <s v="76P962922" u="1"/>
        <s v="58914033M0" u="1"/>
        <s v="191937185B0" u="1"/>
        <s v="65001721" u="1"/>
        <s v="251095" u="1"/>
        <s v="567210" u="1"/>
        <s v="65785230" u="1"/>
        <s v="65240300" u="1"/>
        <s v="58920240R0" u="1"/>
        <s v="58914496H0" u="1"/>
        <s v="65440300" u="1"/>
        <s v="192943803H0" u="1"/>
        <s v="760377" u="1"/>
        <s v="314185" u="1"/>
        <s v="192943522D0" u="1"/>
        <s v="575172" u="1"/>
        <s v="30211350" u="1"/>
        <s v="65301741" u="1"/>
        <s v="58901714R0" u="1"/>
        <s v="259533" u="1"/>
        <s v="58901329L0" u="1"/>
        <s v="557173" u="1"/>
        <s v="760563" u="1"/>
        <s v="65940300" u="1"/>
        <s v="30212813" u="1"/>
        <s v="65440330" u="1"/>
        <s v="58901734R0" u="1"/>
        <s v="567387" u="1"/>
        <s v="58901706Z0" u="1"/>
        <s v="58914127M0" u="1"/>
        <s v="191946791V0" u="1"/>
        <s v="192944924L0" u="1"/>
        <s v="58901716Z0" u="1"/>
        <s v="192000504" u="1"/>
        <s v="30210005" u="1"/>
        <s v="310986" u="1"/>
        <s v="H450B200" u="1"/>
        <s v="76P924207" u="1"/>
        <s v="58906317W0" u="1"/>
        <s v="600029" u="1"/>
        <s v="20971385" u="1"/>
        <s v="76P924307" u="1"/>
        <s v="192001044" u="1"/>
        <s v="58901808R0" u="1"/>
        <s v="9789192" u="1"/>
        <s v="58914167M0" u="1"/>
        <s v="58920326Z0" u="1"/>
        <s v="422038" u="1"/>
        <s v="192001144" u="1"/>
        <s v="58901818R0" u="1"/>
        <s v="58901794R0" u="1"/>
        <s v="400225" u="1"/>
        <s v="404039" u="1"/>
        <s v="76P924507" u="1"/>
        <s v="192933525Z0" u="1"/>
        <s v="192001244" u="1"/>
        <s v="58901828R0" u="1"/>
        <s v="192933193G0" u="1"/>
        <s v="20916003" u="1"/>
        <s v="191966059N0" u="1"/>
        <s v="402225" u="1"/>
        <s v="764114" u="1"/>
        <s v="T511A000" u="1"/>
        <s v="76P924607" u="1"/>
        <s v="190966159N0" u="1"/>
        <s v="191966006L0" u="1"/>
        <s v="400411" u="1"/>
        <s v="T511A010" u="1"/>
        <s v="65300456" u="1"/>
        <s v="76P925047" u="1"/>
        <s v="95IB78231" u="1"/>
        <s v="58901786Z0" u="1"/>
        <s v="58906367W0" u="1"/>
        <s v="252447" u="1"/>
        <s v="192933825Z0" u="1"/>
        <s v="192943787Z0" u="1"/>
        <s v="311099" u="1"/>
        <s v="403411" u="1"/>
        <s v="569124" u="1"/>
        <s v="191001644" u="1"/>
        <s v="490183" u="1"/>
        <s v="ANU58901705R0" u="1"/>
        <s v="251633" u="1"/>
        <s v="20237491" u="1"/>
        <s v="58901868R0" u="1"/>
        <s v="251195" u="1"/>
        <s v="20218945" u="1"/>
        <s v="T415A100" u="1"/>
        <s v="191001744" u="1"/>
        <s v="734078" u="1"/>
        <s v="T425A100" u="1"/>
        <s v="ANU30212709" u="1"/>
        <s v="191001844" u="1"/>
        <s v="R122CC000" u="1"/>
        <s v="ANU191946241D8" u="1"/>
        <s v="256195" u="1"/>
        <s v="191943228R0" u="1"/>
        <s v="ANU76P925389" u="1"/>
        <s v="95IB84168" u="1"/>
        <s v="76P925547" u="1"/>
        <s v="582486" u="1"/>
        <s v="591006611" u="1"/>
        <s v="192933182N0" u="1"/>
        <s v="ANU192484" u="1"/>
        <s v="091006" u="1"/>
        <s v="76P925647" u="1"/>
        <s v="65950300" u="1"/>
        <s v="314471" u="1"/>
        <s v="20552069PRM" u="1"/>
        <s v="02.002.0013" u="1"/>
        <s v="567925" u="1"/>
        <s v="192943577C0" u="1"/>
        <s v="20921358" u="1"/>
        <s v="76P926187" u="1"/>
        <s v="250996" u="1"/>
        <s v="ANU567396" u="1"/>
        <s v="H451B200" u="1"/>
        <s v="76P926387" u="1"/>
        <s v="710002" u="1"/>
        <s v="132031" u="1"/>
        <s v="559888" u="1"/>
        <s v="191966081Z0" u="1"/>
        <s v="400325" u="1"/>
        <s v="766028" u="1"/>
        <s v="76P967100" u="1"/>
        <s v="58901611R0" u="1"/>
        <s v="567038" u="1"/>
        <s v="76P962632" u="1"/>
        <s v="1103600036" u="1"/>
        <s v="568038" u="1"/>
        <s v="768028" u="1"/>
        <s v="58901621R0" u="1"/>
        <s v="569038" u="1"/>
        <s v="490097" u="1"/>
        <s v="250103661" u="1"/>
        <s v="567224" u="1"/>
        <s v="58920726E0" u="1"/>
        <s v="190937476F0" u="1"/>
        <s v="190643" u="1"/>
        <s v="191001857RS" u="1"/>
        <s v="ANU76P924891" u="1"/>
        <s v="1100100085" u="1"/>
        <s v="422072" u="1"/>
        <s v="569224" u="1"/>
        <s v="490721" u="1"/>
        <s v="312199" u="1"/>
        <s v="251733" u="1"/>
        <s v="404073" u="1"/>
        <s v="567410" u="1"/>
        <s v="30217736" u="1"/>
        <s v="ANU58920781F0" u="1"/>
        <s v="731802" u="1"/>
        <s v="ANU190114" u="1"/>
        <s v="58914092E0" u="1"/>
        <s v="557187" u="1"/>
        <s v="30212760" u="1"/>
        <s v="760577" u="1"/>
        <s v="58901705R0" u="1"/>
        <s v="190008" u="1"/>
        <s v="190935012L0" u="1"/>
        <s v="192943809V7" u="1"/>
        <s v="58901815B0" u="1"/>
        <s v="191947025Z0" u="1"/>
        <s v="65960300" u="1"/>
        <s v="65716510" u="1"/>
        <s v="191966071C0" u="1"/>
        <s v="20PU640" u="1"/>
        <s v="40076400" u="1"/>
        <s v="58901707Z0" u="1"/>
        <s v="H622B100" u="1"/>
        <s v="766763" u="1"/>
        <s v="080069" u="1"/>
        <s v="20PU642" u="1"/>
        <s v="H632B100" u="1"/>
        <s v="58901693Z0" u="1"/>
        <s v="567773" u="1"/>
        <s v="20942603" u="1"/>
        <s v="58901827J0" u="1"/>
        <s v="20196000" u="1"/>
        <s v="760128" u="1"/>
        <s v="20PU643" u="1"/>
        <s v="20218842" u="1"/>
        <s v="58906318W0" u="1"/>
        <s v="192000714" u="1"/>
        <s v="084069" u="1"/>
        <s v="20PU644" u="1"/>
        <s v="20971386" u="1"/>
        <s v="ANU191937007P0" u="1"/>
        <s v="192000814" u="1"/>
        <s v="58901785R0" u="1"/>
        <s v="760314" u="1"/>
        <s v="20PU645" u="1"/>
        <s v="76P924417" u="1"/>
        <s v="314122" u="1"/>
        <s v="734101" u="1"/>
        <s v="192001154" u="1"/>
        <s v="30213793P" u="1"/>
        <s v="58901819R0" u="1"/>
        <s v="5540100" u="1"/>
        <s v="58901757Z0" u="1"/>
        <s v="190966341N0" u="1"/>
        <s v="191937050C0" u="1"/>
        <s v="58901795R0" u="1"/>
        <s v="400425" u="1"/>
        <s v="766128" u="1"/>
        <s v="76P924517" u="1"/>
        <s v="190935150D0" u="1"/>
        <s v="192933535Z0" u="1"/>
        <s v="192001254" u="1"/>
        <s v="58901829R0" u="1"/>
        <s v="58928032C0" u="1"/>
        <s v="557110" u="1"/>
        <s v="191001354" u="1"/>
        <s v="191966069N0" u="1"/>
        <s v="T113A200" u="1"/>
        <s v="T513A000" u="1"/>
        <s v="76P924617" u="1"/>
        <s v="58901839R0" u="1"/>
        <s v="403425" u="1"/>
        <s v="56110219" u="1"/>
        <s v="251647" u="1"/>
        <s v="400173" u="1"/>
        <s v="58901849R0" u="1"/>
        <s v="58906368W0" u="1"/>
        <s v="ANU600033" u="1"/>
        <s v="402173" u="1"/>
        <s v="R110G000" u="1"/>
        <s v="30193863P" u="1"/>
        <s v="192001067RO" u="1"/>
        <s v="192943797Z0" u="1"/>
        <s v="30212948" u="1"/>
        <s v="76P925157" u="1"/>
        <s v="403173" u="1"/>
        <s v="58931255L0" u="1"/>
        <s v="76P924917" u="1"/>
        <s v="586071" u="1"/>
        <s v="766062" u="1"/>
        <s v="R140G000" u="1"/>
        <s v="T617A000" u="1"/>
        <s v="191001754" u="1"/>
        <s v="252395" u="1"/>
        <s v="1103600053" u="1"/>
        <s v="768062" u="1"/>
        <s v="65270300" u="1"/>
        <s v="T427A100" u="1"/>
        <s v="191946995P0" u="1"/>
        <s v="R160G000" u="1"/>
        <s v="ANU552001132" u="1"/>
        <s v="ANU58920007B0" u="1"/>
        <s v="76P965455" u="1"/>
        <s v="191937092L0" u="1"/>
        <s v="20931101" u="1"/>
        <s v="191937048N0" u="1"/>
        <s v="ANU192394" u="1"/>
        <s v="583686" u="1"/>
        <s v="30212998" u="1"/>
        <s v="ANU30215199" u="1"/>
        <s v="76P925857" u="1"/>
        <s v="192943157N0" u="1"/>
        <s v="20921359" u="1"/>
        <s v="192933492N0" u="1"/>
        <s v="190042" u="1"/>
        <s v="550024" u="1"/>
        <s v="710016" u="1"/>
        <s v="ANU490604" u="1"/>
        <s v="191042" u="1"/>
        <s v="610114" u="1"/>
        <s v="760228" u="1"/>
        <s v="H453B200" u="1"/>
        <s v="554024" u="1"/>
        <s v="734015" u="1"/>
        <s v="2500321" u="1"/>
        <s v="58901520Z0" u="1"/>
        <s v="T420A000" u="1"/>
        <s v="59MS21231" u="1"/>
        <s v="190909" u="1"/>
        <s v="2500322" u="1"/>
        <s v="58901530Z0" u="1"/>
        <s v="557024" u="1"/>
        <s v="58901207L0" u="1"/>
        <s v="760414" u="1"/>
        <s v="191001830VE" u="1"/>
        <s v="403339" u="1"/>
        <s v="2500323" u="1"/>
        <s v="58920120Z0" u="1"/>
        <s v="191966091Z0" u="1"/>
        <s v="2500324" u="1"/>
        <s v="192933567L0" u="1"/>
        <s v="192943757N0" u="1"/>
        <s v="401087" u="1"/>
        <s v="9789672" u="1"/>
        <s v="760600" u="1"/>
        <s v="422086" u="1"/>
        <s v="760162" u="1"/>
        <s v="06.114.0010" u="1"/>
        <s v="403087" u="1"/>
        <s v="192904199N0" u="1"/>
        <s v="251747" u="1"/>
        <s v="400273" u="1"/>
        <s v="190843" u="1"/>
        <s v="9789675" u="1"/>
        <s v="490483" u="1"/>
        <s v="ID301001" u="1"/>
        <s v="405273" u="1"/>
        <s v="252495" u="1"/>
        <s v="569172" u="1"/>
        <s v="9789677" u="1"/>
        <s v="11192300" u="1"/>
        <s v="58901706R0" u="1"/>
        <s v="H720B000" u="1"/>
        <s v="58901716R0" u="1"/>
        <s v="20551348" u="1"/>
        <s v="65880300" u="1"/>
        <s v="ANU252496" u="1"/>
        <s v="58931150D0" u="1"/>
        <s v="ANU31203" u="1"/>
        <s v="191946992Z0" u="1"/>
        <s v="191966991Z0" u="1"/>
        <s v="20551358" u="1"/>
        <s v="3330197082" u="1"/>
        <s v="766777" u="1"/>
        <s v="192000324" u="1"/>
        <s v="76P9962620" u="1"/>
        <s v="191937098Z0" u="1"/>
        <s v="270045" u="1"/>
        <s v="58901708Z0" u="1"/>
        <s v="58901808J0" u="1"/>
        <s v="58920326R0" u="1"/>
        <s v="58901684Z0" u="1"/>
        <s v="252046" u="1"/>
        <s v="550124" u="1"/>
        <s v="311136" u="1"/>
        <s v="731115" u="1"/>
        <s v="58901694Z0" u="1"/>
        <s v="58901794J0" u="1"/>
        <s v="192142" u="1"/>
        <s v="312136" u="1"/>
        <s v="58901828J0" u="1"/>
        <s v="190966051N0" u="1"/>
        <s v="251232" u="1"/>
        <s v="760328" u="1"/>
        <s v="314136" u="1"/>
        <s v="734115" u="1"/>
        <s v="T411A000" u="1"/>
        <s v="58928003C0" u="1"/>
        <s v="58914201H0" u="1"/>
        <s v="T421A000" u="1"/>
        <s v="ANU311158" u="1"/>
        <s v="400439" u="1"/>
        <s v="20971387" u="1"/>
        <s v="58906295W0" u="1"/>
        <s v="192933345Z0" u="1"/>
        <s v="58901786R0" u="1"/>
        <s v="191937598Z0" u="1"/>
        <s v="192001164" u="1"/>
        <s v="403439" u="1"/>
        <s v="710050" u="1"/>
        <s v="191937060C0" u="1"/>
        <s v="490649" u="1"/>
        <s v="192000924" u="1"/>
        <s v="192933545Z0" u="1"/>
        <s v="192001264" u="1"/>
        <s v="567338" u="1"/>
        <s v="191937541G0" u="1"/>
        <s v="551003363" u="1"/>
        <s v="ANU76P926779" u="1"/>
        <s v="402187" u="1"/>
        <s v="58901878J0" u="1"/>
        <s v="490835" u="1"/>
        <s v="766076" u="1"/>
        <s v="76P925067" u="1"/>
        <s v="58901788Z0" u="1"/>
        <s v="58931308D0" u="1"/>
        <s v="ANU562023" u="1"/>
        <s v="30212949" u="1"/>
        <s v="58901798Z0" u="1"/>
        <s v="191001664" u="1"/>
        <s v="081006" u="1"/>
        <s v="567272" u="1"/>
        <s v="T619A000" u="1"/>
        <s v="190933383R0" u="1"/>
        <s v="192943420R0" u="1"/>
        <s v="192691" u="1"/>
        <s v="192933383R0" u="1"/>
        <s v="110106923600" u="1"/>
        <s v="76P925467" u="1"/>
        <s v="0486097" u="1"/>
        <s v="731850" u="1"/>
        <s v="30212989" u="1"/>
        <s v="H721B000" u="1"/>
        <s v="191966037E7" u="1"/>
        <s v="20PU590CU" u="1"/>
        <s v="65890300" u="1"/>
        <s v="733850" u="1"/>
        <s v="30212999" u="1"/>
        <s v="76P925667" u="1"/>
        <s v="20951121" u="1"/>
        <s v="58931278F9" u="1"/>
        <s v="590036" u="1"/>
        <s v="700002" u="1"/>
        <s v="192943829V0" u="1"/>
        <s v="ANU20969507" u="1"/>
        <s v="190935028Z0" u="1"/>
        <s v="3330179884" u="1"/>
        <s v="723001" u="1"/>
        <s v="ANU567019" u="1"/>
        <s v="734029" u="1"/>
        <s v="724001" u="1"/>
        <s v="ANU20165992" u="1"/>
        <s v="191946790F0" u="1"/>
        <s v="557038" u="1"/>
        <s v="405110" u="1"/>
        <s v="ANU567319" u="1"/>
        <s v="6942100" u="1"/>
        <s v="58901531Z0" u="1"/>
        <s v="760614" u="1"/>
        <s v="314422" u="1"/>
        <s v="760176" u="1"/>
        <s v="490749" u="1"/>
        <s v="400287" u="1"/>
        <s v="2500466" u="1"/>
        <s v="58931029I0" u="1"/>
        <s v="760362" u="1"/>
        <s v="314170" u="1"/>
        <s v="766176" u="1"/>
        <s v="567186" u="1"/>
        <s v="403473" u="1"/>
        <s v="490683" u="1"/>
        <s v="251695" u="1"/>
        <s v="ID301002" u="1"/>
        <s v="405473" u="1"/>
        <s v="567372" u="1"/>
        <s v="190791" u="1"/>
        <s v="30212752" u="1"/>
        <s v="58931536G0" u="1"/>
        <s v="58901635Z0" u="1"/>
        <s v="166009" u="1"/>
        <s v="2084151267" u="1"/>
        <s v="58901707R0" u="1"/>
        <s v="19191940N0" u="1"/>
        <s v="191916941Z0" u="1"/>
        <s v="20234693PRM" u="1"/>
        <s v="H722B000" u="1"/>
        <s v="192000134" u="1"/>
        <s v="192408" u="1"/>
        <s v="191966704Z0" u="1"/>
        <s v="270059" u="1"/>
        <s v="58901693R0" u="1"/>
        <s v="420023" u="1"/>
        <s v="600014" u="1"/>
        <s v="190966042R0" u="1"/>
        <s v="421023" u="1"/>
        <s v="590136" u="1"/>
        <s v="320121" u="1"/>
        <s v="422023" u="1"/>
        <s v="H224C700" u="1"/>
        <s v="251246" u="1"/>
        <s v="ANU190634" u="1"/>
        <s v="402210" u="1"/>
        <s v="58931500Z0" u="1"/>
        <s v="192000534" u="1"/>
        <s v="58901757R0" u="1"/>
        <s v="30210008" u="1"/>
        <s v="58901695Z0" u="1"/>
        <s v="58901829J0" u="1"/>
        <s v="76P924237" u="1"/>
        <s v="252432" u="1"/>
        <s v="T413A000" u="1"/>
        <s v="58901839J0" u="1"/>
        <s v="191090" u="1"/>
        <s v="76P924337" u="1"/>
        <s v="192090" u="1"/>
        <s v="191001174" u="1"/>
        <s v="191916301N0" u="1"/>
        <s v="ANU56259" u="1"/>
        <s v="192001174" u="1"/>
        <s v="58901759Z0" u="1"/>
        <s v="192944920F0" u="1"/>
        <s v="490849" u="1"/>
        <s v="192000934" u="1"/>
        <s v="192001274" u="1"/>
        <s v="58931193L0" u="1"/>
        <s v="95IB78061" u="1"/>
        <s v="58912270A0" u="1"/>
        <s v="191966089N0" u="1"/>
        <s v="256180" u="1"/>
        <s v="191966036L0" u="1"/>
        <s v="403387" u="1"/>
        <s v="58920497B0" u="1"/>
        <s v="65205020" u="1"/>
        <s v="191947035C0" u="1"/>
        <s v="ANU58940004C0" u="1"/>
        <s v="76P925077" u="1"/>
        <s v="58931309D0" u="1"/>
        <s v="ANU562033" u="1"/>
        <s v="58920064G0" u="1"/>
        <s v="191937040N0" u="1"/>
        <s v="58901941E0" u="1"/>
        <s v="191001674" u="1"/>
        <s v="76P959466" u="1"/>
        <s v="190891" u="1"/>
        <s v="58920084G0" u="1"/>
        <s v="76P925377" u="1"/>
        <s v="250981" u="1"/>
        <s v="20931103" u="1"/>
        <s v="20558956" u="1"/>
        <s v="191966102F0" u="1"/>
        <s v="700016" u="1"/>
        <s v="720015" u="1"/>
        <s v="760013" u="1"/>
        <s v="76P925577" u="1"/>
        <s v="76P959766" u="1"/>
        <s v="192933345C0" u="1"/>
        <s v="H523B100" u="1"/>
        <s v="761013" u="1"/>
        <s v="ANU405131" u="1"/>
        <s v="191937540N0" u="1"/>
        <s v="562023" u="1"/>
        <s v="76P925677" u="1"/>
        <s v="ANU557064" u="1"/>
        <s v="58931279F9" u="1"/>
        <s v="ANU20953329" u="1"/>
        <s v="564023" u="1"/>
        <s v="65685100" u="1"/>
        <s v="76P925777" u="1"/>
        <s v="58901520R0" u="1"/>
        <s v="765013" u="1"/>
        <s v="ANU567301" u="1"/>
        <s v="191937740N0" u="1"/>
        <s v="400310" u="1"/>
        <s v="65001601" u="1"/>
        <s v="58901530R0" u="1"/>
        <s v="567023" u="1"/>
        <s v="568023" u="1"/>
        <s v="768013" u="1"/>
        <s v="192943277N0" u="1"/>
        <s v="192442" u="1"/>
        <s v="191001821CA" u="1"/>
        <s v="405310" u="1"/>
        <s v="314436" u="1"/>
        <s v="192943477N0" u="1"/>
        <s v="58931038A0" u="1"/>
        <s v="30211230" u="1"/>
        <s v="58901532Z0" u="1"/>
        <s v="58901632J0" u="1"/>
        <s v="CS2000P1-B3" u="1"/>
        <s v="191966149B0" u="1"/>
        <s v="760376" u="1"/>
        <s v="314184" u="1"/>
        <s v="65001651" u="1"/>
        <s v="20PU645JU15" u="1"/>
        <s v="191947018D0" u="1"/>
        <s v="58906153W0" u="1"/>
        <s v="567386" u="1"/>
        <s v="9073" u="1"/>
        <s v="58901706J0" u="1"/>
        <s v="192933353F0" u="1"/>
        <s v="58901716J0" u="1"/>
        <s v="ANU37938037S0" u="1"/>
        <s v="ANU20976956" u="1"/>
        <s v="ANU192944491D8" u="1"/>
        <s v="30212753" u="1"/>
        <s v="H450B100" u="1"/>
        <s v="58906183W0" u="1"/>
        <s v="58931537G0" u="1"/>
        <s v="190937476Q0" u="1"/>
        <s v="400038" u="1"/>
        <s v="58901708R0" u="1"/>
        <s v="9789182" u="1"/>
        <s v="58901684R0" u="1"/>
        <s v="191608" u="1"/>
        <s v="422037" u="1"/>
        <s v="760113" u="1"/>
        <s v="30212773" u="1"/>
        <s v="283044" u="1"/>
        <s v="58901694R0" u="1"/>
        <s v="400224" u="1"/>
        <s v="191947055Z0" u="1"/>
        <s v="192000244" u="1"/>
        <s v="58906247W0" u="1"/>
        <s v="402224" u="1"/>
        <s v="65695100" u="1"/>
        <s v="T311A000" u="1"/>
        <s v="56127724" u="1"/>
        <s v="192000344" u="1"/>
        <s v="403224" u="1"/>
        <s v="400410" u="1"/>
        <s v="567123" u="1"/>
        <s v="19966064P1" u="1"/>
        <s v="252446" u="1"/>
        <s v="710078" u="1"/>
        <s v="311098" u="1"/>
        <s v="ANU20942465" u="1"/>
        <s v="T311A030" u="1"/>
        <s v="ANU20559663" u="1"/>
        <s v="251632" u="1"/>
        <s v="ANU191084" u="1"/>
        <s v="9789188" u="1"/>
        <s v="191966071N0" u="1"/>
        <s v="T415A000" u="1"/>
        <s v="58940004G0" u="1"/>
        <s v="20969491PRM" u="1"/>
        <s v="ANU30212989" u="1"/>
        <s v="734077" u="1"/>
        <s v="58931521Z0" u="1"/>
        <s v="T425A000" u="1"/>
        <s v="192000744" u="1"/>
        <s v="02.003.0001" u="1"/>
        <s v="76P924347" u="1"/>
        <s v="58906397G0" u="1"/>
        <s v="192001084" u="1"/>
        <s v="58901788R0" u="1"/>
        <s v="58920468B0" u="1"/>
        <s v="76P924447" u="1"/>
        <s v="760476" u="1"/>
        <s v="192001184" u="1"/>
        <s v="1103100005" u="1"/>
        <s v="256194" u="1"/>
        <s v="191001284" u="1"/>
        <s v="192000944" u="1"/>
        <s v="58901798R0" u="1"/>
        <s v="582485" u="1"/>
        <s v="192001284" u="1"/>
        <s v="090005" u="1"/>
        <s v="58912271A0" u="1"/>
        <s v="091005" u="1"/>
        <s v="76P924647" u="1"/>
        <s v="20PU293" u="1"/>
        <s v="190966199N0" u="1"/>
        <s v="314470" u="1"/>
        <s v="ANU132002" u="1"/>
        <s v="02.001.0013" u="1"/>
        <s v="490797" u="1"/>
        <s v="65205021" u="1"/>
        <s v="191946191J0" u="1"/>
        <s v="567924" u="1"/>
        <s v="20213933" u="1"/>
        <s v="58901932E0" u="1"/>
        <s v="76P924847" u="1"/>
        <s v="191937050N0" u="1"/>
        <s v="ANU166019" u="1"/>
        <s v="02.001.0014" u="1"/>
        <s v="191937006P0" u="1"/>
        <s v="191001784" u="1"/>
        <s v="58931310G0" u="1"/>
        <s v="H451B100" u="1"/>
        <s v="06.176.0012" u="1"/>
        <s v="710001" u="1"/>
        <s v="191001884" u="1"/>
        <s v="191947015N0" u="1"/>
        <s v="192933250P0" u="1"/>
        <s v="761027" u="1"/>
        <s v="191946972N0" u="1"/>
        <s v="132030" u="1"/>
        <s v="ANU567011" u="1"/>
        <s v="402138" u="1"/>
        <s v="584036" u="1"/>
        <s v="403138" u="1"/>
        <s v="591006651" u="1"/>
        <s v="58901716U1" u="1"/>
        <s v="766027" u="1"/>
        <s v="567037" u="1"/>
        <s v="568037" u="1"/>
        <s v="T312A000" u="1"/>
        <s v="ANU192427" u="1"/>
        <s v="403324" u="1"/>
        <s v="ANU567311" u="1"/>
        <s v="190937478N0" u="1"/>
        <s v="58901531R0" u="1"/>
        <s v="567223" u="1"/>
        <s v="190642" u="1"/>
        <s v="192943287N0" u="1"/>
        <s v="422071" u="1"/>
        <s v="569223" u="1"/>
        <s v="251732" u="1"/>
        <s v="ANU76P924863" u="1"/>
        <s v="40000022" u="1"/>
        <s v="405072" u="1"/>
        <s v="192933525N0" u="1"/>
        <s v="314198" u="1"/>
        <s v="T312A040" u="1"/>
        <s v="58901523Z0" u="1"/>
        <s v="58901623J0" u="1"/>
        <s v="ANU76P925020" u="1"/>
        <s v="65301622" u="1"/>
        <s v="58901533Z0" u="1"/>
        <s v="190903966A0" u="1"/>
        <s v="20951183" u="1"/>
        <s v="30212660" u="1"/>
        <s v="760576" u="1"/>
        <s v="65301632" u="1"/>
        <s v="190007" u="1"/>
        <s v="58920261B0" u="1"/>
        <s v="190943200F0" u="1"/>
        <s v="65301642" u="1"/>
        <s v="192943787N0" u="1"/>
        <s v="191966024Z0" u="1"/>
        <s v="192943200F0" u="1"/>
        <s v="65360230" u="1"/>
        <s v="19966141P0" u="1"/>
        <s v="58920143Z0" u="1"/>
        <s v="191937110B0" u="1"/>
        <s v="58901635R0" u="1"/>
        <s v="58920315B0" u="1"/>
        <s v="58906154W0" u="1"/>
        <s v="ANU251686" u="1"/>
        <s v="58920291B0" u="1"/>
        <s v="ANU20559834" u="1"/>
        <s v="65301672" u="1"/>
        <s v="58920325B0" u="1"/>
        <s v="ANU58920778D0" u="1"/>
        <s v="191966324Z0" u="1"/>
        <s v="766762" u="1"/>
        <s v="080068" u="1"/>
        <s v="ID301004" u="1"/>
        <s v="567772" u="1"/>
        <s v="ANU314473" u="1"/>
        <s v="65301692" u="1"/>
        <s v="58901765B0" u="1"/>
        <s v="192933563F0" u="1"/>
        <s v="58906184W0" u="1"/>
        <s v="191946247L9" u="1"/>
        <s v="710101" u="1"/>
        <s v="30208452P" u="1"/>
        <s v="311121" u="1"/>
        <s v="400238" u="1"/>
        <s v="ANU20559836" u="1"/>
        <s v="190903521B0" u="1"/>
        <s v="192943800F0" u="1"/>
        <s v="734100" u="1"/>
        <s v="192000154" u="1"/>
        <s v="58931500R0" u="1"/>
        <s v="58901695R0" u="1"/>
        <s v="400424" u="1"/>
        <s v="567137" u="1"/>
        <s v="192943772D0" u="1"/>
        <s v="T113A100" u="1"/>
        <s v="T313A000" u="1"/>
        <s v="56127725" u="1"/>
        <s v="192000354" u="1"/>
        <s v="ANU311160" u="1"/>
        <s v="190935308N0" u="1"/>
        <s v="251646" u="1"/>
        <s v="567323" u="1"/>
        <s v="191936988Z0" u="1"/>
        <s v="402172" u="1"/>
        <s v="76P900005" u="1"/>
        <s v="58901759R0" u="1"/>
        <s v="ANU30211350" u="1"/>
        <s v="192933175Z0" u="1"/>
        <s v="490820" u="1"/>
        <s v="565071" u="1"/>
        <s v="T313A030" u="1"/>
        <s v="313736" u="1"/>
        <s v="766061" u="1"/>
        <s v="567071" u="1"/>
        <s v="1103000017" u="1"/>
        <s v="58931165L0" u="1"/>
        <s v="58940005G0" u="1"/>
        <s v="20942617" u="1"/>
        <s v="T427A000" u="1"/>
        <s v="192000754" u="1"/>
        <s v="58906398G0" u="1"/>
        <s v="191000854" u="1"/>
        <s v="192000854" u="1"/>
        <s v="76P924457" u="1"/>
        <s v="192001194" u="1"/>
        <s v="190107" u="1"/>
        <s v="9786030" u="1"/>
        <s v="191001294" u="1"/>
        <s v="192000954" u="1"/>
        <s v="ANU166001" u="1"/>
        <s v="58901799R0" u="1"/>
        <s v="192001294" u="1"/>
        <s v="58920489B0" u="1"/>
        <s v="3FPAP310218" u="1"/>
        <s v="191001494" u="1"/>
        <s v="192943812Z0" u="1"/>
        <s v="ANU404039" u="1"/>
        <s v="ANU166029" u="1"/>
        <s v="190041" u="1"/>
        <s v="710015" u="1"/>
        <s v="76P924957" u="1"/>
        <s v="58901400Z0" u="1"/>
        <s v="191041" u="1"/>
        <s v="610113" u="1"/>
        <s v="58931311G0" u="1"/>
        <s v="58901410Z0" u="1"/>
        <s v="H453B100" u="1"/>
        <s v="76P925397" u="1"/>
        <s v="314035" u="1"/>
        <s v="554023" u="1"/>
        <s v="191001894" u="1"/>
        <s v="192943831V0" u="1"/>
        <s v="191946982N0" u="1"/>
        <s v="76P925497" u="1"/>
        <s v="190935030Z0" u="1"/>
        <s v="190908" u="1"/>
        <s v="58901530J0" u="1"/>
        <s v="557023" u="1"/>
        <s v="9789660" u="1"/>
        <s v="76P969823" u="1"/>
        <s v="191966122F0" u="1"/>
        <s v="76P925597" u="1"/>
        <s v="314221" u="1"/>
        <s v="65300110" u="1"/>
        <s v="403338" u="1"/>
        <s v="591006661" u="1"/>
        <s v="65200120" u="1"/>
        <s v="191966222F0" u="1"/>
        <s v="76P926112" u="1"/>
        <s v="190943097N0" u="1"/>
        <s v="420085" u="1"/>
        <s v="65700100" u="1"/>
        <s v="567237" u="1"/>
        <s v="58901450Z0" u="1"/>
        <s v="ANU567221" u="1"/>
        <s v="191966322F0" u="1"/>
        <s v="T314A000" u="1"/>
        <s v="422085" u="1"/>
        <s v="760161" u="1"/>
        <s v="58920202B0" u="1"/>
        <s v="ANU58901632E0" u="1"/>
        <s v="ANU567321" u="1"/>
        <s v="192933235N0" u="1"/>
        <s v="595002236" u="1"/>
        <s v="76P926312" u="1"/>
        <s v="251746" u="1"/>
        <s v="400272" u="1"/>
        <s v="58901532R0" u="1"/>
        <s v="58920050Z0" u="1"/>
        <s v="190842" u="1"/>
        <s v="9789665" u="1"/>
        <s v="372395" u="1"/>
        <s v="T314A030" u="1"/>
        <s v="766161" u="1"/>
        <s v="313398" u="1"/>
        <s v="405272" u="1"/>
        <s v="192933535N0" u="1"/>
        <s v="192944490R0" u="1"/>
        <s v="252494" u="1"/>
        <s v="569171" u="1"/>
        <s v="11192200" u="1"/>
        <s v="58901534Z0" u="1"/>
        <s v="58931173O1" u="1"/>
        <s v="40000043" u="1"/>
        <s v="76P952248" u="1"/>
        <s v="20917200" u="1"/>
        <s v="192943797N0" u="1"/>
        <s v="20976199" u="1"/>
        <s v="191937129F0" u="1"/>
        <s v="766776" u="1"/>
        <s v="58906155W0" u="1"/>
        <s v="ANU251696" u="1"/>
        <s v="65780230" u="1"/>
        <s v="550123" u="1"/>
        <s v="710115" u="1"/>
        <s v="311135" u="1"/>
        <s v="192933473F0" u="1"/>
        <s v="192141" u="1"/>
        <s v="251231" u="1"/>
        <s v="20226088" u="1"/>
        <s v="760327" u="1"/>
        <s v="58906185W0" u="1"/>
        <s v="58920551Z9" u="1"/>
        <s v="400438" u="1"/>
        <s v="192933248D0" u="1"/>
        <s v="ANU407034" u="1"/>
        <s v="95IB56612" u="1"/>
        <s v="760075" u="1"/>
        <s v="403438" u="1"/>
        <s v="ANU20926322" u="1"/>
        <s v="582522" u="1"/>
        <s v="192000264" u="1"/>
        <s v="405438" u="1"/>
        <s v="192933543Q0" u="1"/>
        <s v="20557342" u="1"/>
        <s v="65810100" u="1"/>
        <s v="402186" u="1"/>
        <s v="564085" u="1"/>
        <s v="760261" u="1"/>
        <s v="56127726" u="1"/>
        <s v="58931521R0" u="1"/>
        <s v="490834" u="1"/>
        <s v="586084" u="1"/>
        <s v="766075" u="1"/>
        <s v="19966066P1" u="1"/>
        <s v="191946295D8" u="1"/>
        <s v="76P900015" u="1"/>
        <s v="192942" u="1"/>
        <s v="191966091N0" u="1"/>
        <s v="081005" u="1"/>
        <s v="405372" u="1"/>
        <s v="567271" u="1"/>
        <s v="30216001" u="1"/>
        <s v="58940006G0" u="1"/>
        <s v="58906399G0" u="1"/>
        <s v="58920298Z0" u="1"/>
        <s v="192933385Z0" u="1"/>
        <s v="192690" u="1"/>
        <s v="76P924467" u="1"/>
        <s v="192001007" u="1"/>
        <s v="58901904E0" u="1"/>
        <s v="086005" u="1"/>
        <s v="192000964" u="1"/>
        <s v="191001856MO" u="1"/>
        <s v="25999990" u="1"/>
        <s v="76P924567" u="1"/>
        <s v="58931258D0" u="1"/>
        <s v="191001207" u="1"/>
        <s v="192001207" u="1"/>
        <s v="190055" u="1"/>
        <s v="710029" u="1"/>
        <s v="191937103C0" u="1"/>
        <s v="ANU30210495" u="1"/>
        <s v="320020" u="1"/>
        <s v="700001" u="1"/>
        <s v="76P924767" u="1"/>
        <s v="192933785Z0" u="1"/>
        <s v="191916359N0" u="1"/>
        <s v="ANU20975291" u="1"/>
        <s v="65790230" u="1"/>
        <s v="191001507" u="1"/>
        <s v="58901401Z0" u="1"/>
        <s v="191916559N0" u="1"/>
        <s v="312235" u="1"/>
        <s v="191936988C0" u="1"/>
        <s v="191001607" u="1"/>
        <s v="58901511J0" u="1"/>
        <s v="192001051CA" u="1"/>
        <s v="557037" u="1"/>
        <s v="192933175C0" u="1"/>
        <s v="T212A000" u="1"/>
        <s v="191947035N0" u="1"/>
        <s v="ANU30210497" u="1"/>
        <s v="191001707" u="1"/>
        <s v="58928001V0" u="1"/>
        <s v="191966991N0" u="1"/>
        <s v="575222" u="1"/>
        <s v="T222A000" u="1"/>
        <s v="312421" u="1"/>
        <s v="610061" u="1"/>
        <s v="191001807" u="1"/>
        <s v="58901531J0" u="1"/>
        <s v="314421" u="1"/>
        <s v="760175" u="1"/>
        <s v="191001907" u="1"/>
        <s v="65200121" u="1"/>
        <s v="65200131" u="1"/>
        <s v="520811" u="1"/>
        <s v="T316A000" u="1"/>
        <s v="760361" u="1"/>
        <s v="58901523R0" u="1"/>
        <s v="30212612" u="1"/>
        <s v="ANU567331" u="1"/>
        <s v="76P926322" u="1"/>
        <s v="191001822GR" u="1"/>
        <s v="192933398P0" u="1"/>
        <s v="58901533R0" u="1"/>
        <s v="191966007D0" u="1"/>
        <s v="ANU76P924854" u="1"/>
        <s v="ANU58901409Z0" u="1"/>
        <s v="190935168Z0" u="1"/>
        <s v="192944152C0" u="1"/>
        <s v="191946954V7" u="1"/>
        <s v="403472" u="1"/>
        <s v="ANU76P924864" u="1"/>
        <s v="251694" u="1"/>
        <s v="ANU567259" u="1"/>
        <s v="405472" u="1"/>
        <s v="567371" u="1"/>
        <s v="ANU490854" u="1"/>
        <s v="192933545N0" u="1"/>
        <s v="190790" u="1"/>
        <s v="58901625J0" u="1"/>
        <s v="653049057" u="1"/>
        <s v="191001851N0" u="1"/>
        <s v="58931174O1" u="1"/>
        <s v="191947020D0" u="1"/>
        <s v="166008" u="1"/>
        <s v="313784" u="1"/>
        <s v="40000044" u="1"/>
        <s v="65300215" u="1"/>
        <s v="192407" u="1"/>
        <s v="270058" u="1"/>
        <s v="191937183D0" u="1"/>
        <s v="600013" u="1"/>
        <s v="401023" u="1"/>
        <s v="421022" u="1"/>
        <s v="492047" u="1"/>
        <s v="320120" u="1"/>
        <s v="422022" u="1"/>
        <s v="311149" u="1"/>
        <s v="403023" u="1"/>
        <s v="58920712H0" u="1"/>
        <s v="251245" u="1"/>
        <s v="ANU564046" u="1"/>
        <s v="ANU20237849" u="1"/>
        <s v="30212736" u="1"/>
        <s v="ANU58931315C0" u="1"/>
        <s v="58931043L0" u="1"/>
        <s v="58901695J0" u="1"/>
        <s v="58906176W0" u="1"/>
        <s v="20563943" u="1"/>
        <s v="760527" u="1"/>
        <s v="252431" u="1"/>
        <s v="760089" u="1"/>
        <s v="T213A000" u="1"/>
        <s v="190946594K0" u="1"/>
        <s v="710063" u="1"/>
        <s v="190935300N0" u="1"/>
        <s v="58931107L0" u="1"/>
        <s v="192943592D0" u="1"/>
        <s v="564099" u="1"/>
        <s v="65711510" u="1"/>
        <s v="192000174" u="1"/>
        <s v="734062" u="1"/>
        <s v="58901716A7" u="1"/>
        <s v="490848" u="1"/>
        <s v="190935272L0" u="1"/>
        <s v="557071" u="1"/>
        <s v="T317A000" u="1"/>
        <s v="ANU569214" u="1"/>
        <s v="58920397B0" u="1"/>
        <s v="080019" u="1"/>
        <s v="19966067P1" u="1"/>
        <s v="405386" u="1"/>
        <s v="20557363" u="1"/>
        <s v="ANU20557342" u="1"/>
        <s v="191937091G0" u="1"/>
        <s v="76P900025" u="1"/>
        <s v="490782" u="1"/>
        <s v="58931314Z1" u="1"/>
        <s v="76P924277" u="1"/>
        <s v="190890" u="1"/>
        <s v="ANU191017" u="1"/>
        <s v="191946964V0" u="1"/>
        <s v="192001017" u="1"/>
        <s v="58914226H0" u="1"/>
        <s v="192000974" u="1"/>
        <s v="ANU166021" u="1"/>
        <s v="58901005L0" u="1"/>
        <s v="700015" u="1"/>
        <s v="720014" u="1"/>
        <s v="760012" u="1"/>
        <s v="25999991" u="1"/>
        <s v="ANU191217" u="1"/>
        <s v="58901400R0" u="1"/>
        <s v="192001117" u="1"/>
        <s v="400123" u="1"/>
        <s v="562022" u="1"/>
        <s v="76P924677" u="1"/>
        <s v="58901410R0" u="1"/>
        <s v="192943832Z0" u="1"/>
        <s v="ANU30213793P" u="1"/>
        <s v="584021" u="1"/>
        <s v="R110B000" u="1"/>
        <s v="58920481E0" u="1"/>
        <s v="20556048" u="1"/>
        <s v="766012" u="1"/>
        <s v="191001417" u="1"/>
        <s v="76P924877" u="1"/>
        <s v="ANU20218842" u="1"/>
        <s v="405123" u="1"/>
        <s v="567022" u="1"/>
        <s v="R140B000" u="1"/>
        <s v="ANU30213354" u="1"/>
        <s v="768012" u="1"/>
        <s v="R150B000" u="1"/>
        <s v="76P924977" u="1"/>
        <s v="58920120B0" u="1"/>
        <s v="ANU58920006E0" u="1"/>
        <s v="569022" u="1"/>
        <s v="192441" u="1"/>
        <s v="65301501" u="1"/>
        <s v="191916941N0" u="1"/>
        <s v="R170B000" u="1"/>
        <s v="191001617" u="1"/>
        <s v="58901450R0" u="1"/>
        <s v="760627" u="1"/>
        <s v="192933185C0" u="1"/>
        <s v="314435" u="1"/>
        <s v="760189" u="1"/>
        <s v="30216092" u="1"/>
        <s v="192933236R0" u="1"/>
        <s v="190937480N0" u="1"/>
        <s v="58901532J0" u="1"/>
        <s v="191966142F0" u="1"/>
        <s v="76P926032" u="1"/>
        <s v="2500597" u="1"/>
        <s v="191001917" u="1"/>
        <s v="ANU400406" u="1"/>
        <s v="56127500" u="1"/>
        <s v="58901452Z0" u="1"/>
        <s v="567199" u="1"/>
        <s v="ANU567241" u="1"/>
        <s v="ANU20560330" u="1"/>
        <s v="557171" u="1"/>
        <s v="T318A000" u="1"/>
        <s v="20956098" u="1"/>
        <s v="58920204B0" u="1"/>
        <s v="30212613" u="1"/>
        <s v="58901562J0" u="1"/>
        <s v="403486" u="1"/>
        <s v="569199" u="1"/>
        <s v="490696" u="1"/>
        <s v="58901534R0" u="1"/>
        <s v="ANU567069" u="1"/>
        <s v="405486" u="1"/>
        <s v="567385" u="1"/>
        <s v="58901506Z0" u="1"/>
        <s v="192933785C0" u="1"/>
        <s v="ANU58931174Z1" u="1"/>
        <s v="H410B000" u="1"/>
        <s v="H410B010" u="1"/>
        <s v="ANU567269" u="1"/>
        <s v="ANU490864" u="1"/>
        <s v="1100000417" u="1"/>
        <s v="192933555N0" u="1"/>
        <s v="310984" u="1"/>
        <s v="H460B000" u="1"/>
        <s v="58931175O1" u="1"/>
        <s v="65460203" u="1"/>
        <s v="65560203" u="1"/>
        <s v="401037" u="1"/>
        <s v="422036" u="1"/>
        <s v="760112" u="1"/>
        <s v="283043" u="1"/>
        <s v="420222" u="1"/>
        <s v="251259" u="1"/>
        <s v="405037" u="1"/>
        <s v="58906147W0" u="1"/>
        <s v="402223" u="1"/>
        <s v="T111A000" u="1"/>
        <s v="58912101A0" u="1"/>
        <s v="191947058D0" u="1"/>
        <s v="403223" u="1"/>
        <s v="T121A000" u="1"/>
        <s v="58906157W0" u="1"/>
        <s v="20558703" u="1"/>
        <s v="20961042" u="1"/>
        <s v="30212737" u="1"/>
        <s v="252445" u="1"/>
        <s v="710077" u="1"/>
        <s v="58931501J0" u="1"/>
        <s v="191966354Z0" u="1"/>
        <s v="58901700M0" u="1"/>
        <s v="311097" u="1"/>
        <s v="T121A020" u="1"/>
        <s v="58906177W0" u="1"/>
        <s v="20563944" u="1"/>
        <s v="R171B000" u="1"/>
        <s v="251631" u="1"/>
        <s v="734076" u="1"/>
        <s v="192000084" u="1"/>
        <s v="190935310N0" u="1"/>
        <s v="312283" u="1"/>
        <s v="316097" u="1"/>
        <s v="58912151A0" u="1"/>
        <s v="58931108L0" u="1"/>
        <s v="ANU58931283C0" u="1"/>
        <s v="191936990Z0" u="1"/>
        <s v="ANU20155678" u="1"/>
        <s v="760475" u="1"/>
        <s v="192000184" u="1"/>
        <s v="256193" u="1"/>
        <s v="ANU58901941E0" u="1"/>
        <s v="090004" u="1"/>
        <s v="551006611" u="1"/>
        <s v="091004" u="1"/>
        <s v="192000384" u="1"/>
        <s v="58920402E0" u="1"/>
        <s v="58912181A0" u="1"/>
        <s v="490796" u="1"/>
        <s v="567923" u="1"/>
        <s v="191966144C0" u="1"/>
        <s v="192943805D0" u="1"/>
        <s v="192000584" u="1"/>
        <s v="ANU165019" u="1"/>
        <s v="06.077.0009" u="1"/>
        <s v="250994" u="1"/>
        <s v="58901852E0" u="1"/>
        <s v="66930103" u="1"/>
        <s v="192000784" u="1"/>
        <s v="65370203" u="1"/>
        <s v="H461B000" u="1"/>
        <s v="25999982" u="1"/>
        <s v="58901906E0" u="1"/>
        <s v="ANU166031" u="1"/>
        <s v="65205005" u="1"/>
        <s v="58901401R0" u="1"/>
        <s v="191937171R0" u="1"/>
        <s v="ANU58901005E0" u="1"/>
        <s v="192001127" u="1"/>
        <s v="58901716E1" u="1"/>
        <s v="562222" u="1"/>
        <s v="766026" u="1"/>
        <s v="3330196047" u="1"/>
        <s v="118808026600" u="1"/>
        <s v="192001227" u="1"/>
        <s v="768026" u="1"/>
        <s v="76P924787" u="1"/>
        <s v="58901064D0" u="1"/>
        <s v="403323" u="1"/>
        <s v="569036" u="1"/>
        <s v="T122A000" u="1"/>
        <s v="19943034D0" u="1"/>
        <s v="313449" u="1"/>
        <s v="405323" u="1"/>
        <s v="567222" u="1"/>
        <s v="20931044" u="1"/>
        <s v="190641" u="1"/>
        <s v="314449" u="1"/>
        <s v="76P925402" u="1"/>
        <s v="422070" u="1"/>
        <s v="569222" u="1"/>
        <s v="ANU76P924825" u="1"/>
        <s v="76P925502" u="1"/>
        <s v="251731" u="1"/>
        <s v="404071" u="1"/>
        <s v="191001727" u="1"/>
        <s v="731800" u="1"/>
        <s v="65200103" u="1"/>
        <s v="58901533J0" u="1"/>
        <s v="190943102N0" u="1"/>
        <s v="557185" u="1"/>
        <s v="76P926042" u="1"/>
        <s v="192933395C0" u="1"/>
        <s v="760575" u="1"/>
        <s v="190006" u="1"/>
        <s v="58901581B0" u="1"/>
        <s v="132009" u="1"/>
        <s v="31209" u="1"/>
        <s v="20956099" u="1"/>
        <s v="76P965728" u="1"/>
        <s v="58920215B0" u="1"/>
        <s v="192933212L0" u="1"/>
        <s v="190966127D0" u="1"/>
        <s v="259999988" u="1"/>
        <s v="76P926442" u="1"/>
        <s v="58901507Z0" u="1"/>
        <s v="20PU621" u="1"/>
        <s v="ANU30212660" u="1"/>
        <s v="190935288Z0" u="1"/>
        <s v="080067" u="1"/>
        <s v="20PU622" u="1"/>
        <s v="567771" u="1"/>
        <s v="76P926642" u="1"/>
        <s v="58901527Z0" u="1"/>
        <s v="9792503" u="1"/>
        <s v="58920245B0" u="1"/>
        <s v="760126" u="1"/>
        <s v="20PU623" u="1"/>
        <s v="710100" u="1"/>
        <s v="ANU58902180S0" u="1"/>
        <s v="58931176O1" u="1"/>
        <s v="20PU624" u="1"/>
        <s v="9792505" u="1"/>
        <s v="20PU625" u="1"/>
        <s v="191937059F0" u="1"/>
        <s v="76P926942" u="1"/>
        <s v="400423" u="1"/>
        <s v="20PU626" u="1"/>
        <s v="19943212G0" u="1"/>
        <s v="ANU58901714Z0" u="1"/>
        <s v="58920309B0" u="1"/>
        <s v="58906148W0" u="1"/>
        <s v="252459" u="1"/>
        <s v="550099" u="1"/>
        <s v="760060" u="1"/>
        <s v="403423" u="1"/>
        <s v="58901577Z0" u="1"/>
        <s v="191916304Z0" u="1"/>
        <s v="ANU554104" u="1"/>
        <s v="251645" u="1"/>
        <s v="58920329B0" u="1"/>
        <s v="405423" u="1"/>
        <s v="567322" u="1"/>
        <s v="20961043" u="1"/>
        <s v="30212738" u="1"/>
        <s v="58906168W0" u="1"/>
        <s v="554099" u="1"/>
        <s v="191966699B0" u="1"/>
        <s v="565070" u="1"/>
        <s v="20558690" u="1"/>
        <s v="20917253" u="1"/>
        <s v="20563945" u="1"/>
        <s v="58931412Z0" u="1"/>
        <s v="191937129Q0" u="1"/>
        <s v="766060" u="1"/>
        <s v="557099" u="1"/>
        <s v="310921" u="1"/>
        <s v="65170100" u="1"/>
        <s v="ANU20970282" u="1"/>
        <s v="768060" u="1"/>
        <s v="192000194" u="1"/>
        <s v="190106" u="1"/>
        <s v="3330207660" u="1"/>
        <s v="37938119Q0" u="1"/>
        <s v="192933478D0" u="1"/>
        <s v="9786021" u="1"/>
        <s v="3330196250" u="1"/>
        <s v="9786022" u="1"/>
        <s v="58901823E0" u="1"/>
        <s v="58920403E0" u="1"/>
        <s v="190966054C0" u="1"/>
        <s v="58930181B0" u="1"/>
        <s v="191966054C0" u="1"/>
        <s v="9786023" u="1"/>
        <s v="58931472Z0" u="1"/>
        <s v="58931149L0" u="1"/>
        <s v="H403B000" u="1"/>
        <s v="9786024" u="1"/>
        <s v="58901005D0" u="1"/>
        <s v="58920423E0" u="1"/>
        <s v="190040" u="1"/>
        <s v="191040" u="1"/>
        <s v="791010" u="1"/>
        <s v="9786025" u="1"/>
        <s v="312034" u="1"/>
        <s v="610112" u="1"/>
        <s v="192000794" u="1"/>
        <s v="190966024N0" u="1"/>
        <s v="760226" u="1"/>
        <s v="554022" u="1"/>
        <s v="65390203" u="1"/>
        <s v="58914541V0" u="1"/>
        <s v="191916361N0" u="1"/>
        <s v="400337" u="1"/>
        <s v="25999983" u="1"/>
        <s v="65300000" u="1"/>
        <s v="58914551V0" u="1"/>
        <s v="191946953F8" u="1"/>
        <s v="190907" u="1"/>
        <s v="192001037" u="1"/>
        <s v="9789650" u="1"/>
        <s v="192000994" u="1"/>
        <s v="25999993" u="1"/>
        <s v="65300010" u="1"/>
        <s v="403337" u="1"/>
        <s v="30213910" u="1"/>
        <s v="192001137" u="1"/>
        <s v="76P924697" u="1"/>
        <s v="400085" u="1"/>
        <s v="65300020" u="1"/>
        <s v="192933518Z0" u="1"/>
        <s v="192001237" u="1"/>
        <s v="58901450J0" u="1"/>
        <s v="191966096L0" u="1"/>
        <s v="192933186G0" u="1"/>
        <s v="401085" u="1"/>
        <s v="191001337" u="1"/>
        <s v="76P945211" u="1"/>
        <s v="190966196L0" u="1"/>
        <s v="422084" u="1"/>
        <s v="760160" u="1"/>
        <s v="58928002N0" u="1"/>
        <s v="58931261G0" u="1"/>
        <s v="192904194Z0" u="1"/>
        <s v="C100A900" u="1"/>
        <s v="19943035D0" u="1"/>
        <s v="76P944896" u="1"/>
        <s v="251745" u="1"/>
        <s v="58901370Z0" u="1"/>
        <s v="190841" u="1"/>
        <s v="405085" u="1"/>
        <s v="9789654" u="1"/>
        <s v="191001537" u="1"/>
        <s v="ANU600016" u="1"/>
        <s v="95IB14371" u="1"/>
        <s v="58931315G0" u="1"/>
        <s v="191001637" u="1"/>
        <s v="766160" u="1"/>
        <s v="252493" u="1"/>
        <s v="65236300" u="1"/>
        <s v="191937203N0" u="1"/>
        <s v="191946978P0" u="1"/>
        <s v="569170" u="1"/>
        <s v="20968690" u="1"/>
        <s v="191001837" u="1"/>
        <s v="58901534J0" u="1"/>
        <s v="ANU567061" u="1"/>
        <s v="65436300" u="1"/>
        <s v="9789658" u="1"/>
        <s v="58901506R0" u="1"/>
        <s v="192933208C0" u="1"/>
        <s v="192933378D8" u="1"/>
        <s v="191001937" u="1"/>
        <s v="76P925812" u="1"/>
        <s v="65680100" u="1"/>
        <s v="1101900061" u="1"/>
        <s v="20931095" u="1"/>
        <s v="ANU192377" u="1"/>
        <s v="ANU567261" u="1"/>
        <s v="191966362F0" u="1"/>
        <s v="30212615" u="1"/>
        <s v="ANU567361" u="1"/>
        <s v="766775" u="1"/>
        <s v="65300144" u="1"/>
        <s v="191966362F1" u="1"/>
        <s v="192933375N0" u="1"/>
        <s v="710114" u="1"/>
        <s v="904192N0" u="1"/>
        <s v="H224B100" u="1"/>
        <s v="191937041F0" u="1"/>
        <s v="311134" u="1"/>
        <s v="ANU567289" u="1"/>
        <s v="192140" u="1"/>
        <s v="251230" u="1"/>
        <s v="9788790" u="1"/>
        <s v="58920246B0" u="1"/>
        <s v="ANU567389" u="1"/>
        <s v="314134" u="1"/>
        <s v="734113" u="1"/>
        <s v="585149" u="1"/>
        <s v="76P926752" u="1"/>
        <s v="58901538Z0" u="1"/>
        <s v="400437" u="1"/>
        <s v="192943812N0" u="1"/>
        <s v="11122000" u="1"/>
        <s v="H224B130" u="1"/>
        <s v="192944152N0" u="1"/>
        <s v="557122" u="1"/>
        <s v="9788792" u="1"/>
        <s v="760074" u="1"/>
        <s v="403437" u="1"/>
        <s v="30212709" u="1"/>
        <s v="192001051NE" u="1"/>
        <s v="19943213G0" u="1"/>
        <s v="251659" u="1"/>
        <s v="402185" u="1"/>
        <s v="760260" u="1"/>
        <s v="403185" u="1"/>
        <s v="490833" u="1"/>
        <s v="400371" u="1"/>
        <s v="766074" u="1"/>
        <s v="20558705" u="1"/>
        <s v="250103654" u="1"/>
        <s v="58901588Z0" u="1"/>
        <s v="768074" u="1"/>
        <s v="T427B300" u="1"/>
        <s v="58920120E1" u="1"/>
        <s v="192941" u="1"/>
        <s v="9788797" u="1"/>
        <s v="191937188B0" u="1"/>
        <s v="58920330E0" u="1"/>
        <s v="405371" u="1"/>
        <s v="9788798" u="1"/>
        <s v="ANU76P924722" u="1"/>
        <s v="9788799" u="1"/>
        <s v="65346300" u="1"/>
        <s v="192943806H0" u="1"/>
        <s v="ANU403021" u="1"/>
        <s v="086004" u="1"/>
        <s v="65690100" u="1"/>
        <s v="191947018Z0" u="1"/>
        <s v="192001074MOL" u="1"/>
        <s v="192000207" u="1"/>
        <s v="191946975Z0" u="1"/>
        <s v="530037" u="1"/>
        <s v="590034" u="1"/>
        <s v="710028" u="1"/>
        <s v="192933200Z0" u="1"/>
        <s v="132009PU" u="1"/>
        <s v="58931535R0" u="1"/>
        <s v="190966115R0" u="1"/>
        <s v="192943162Z0" u="1"/>
        <s v="3330179883" u="1"/>
        <s v="58931507Z0" u="1"/>
        <s v="20932361" u="1"/>
        <s v="ANU403421" u="1"/>
        <s v="20969487PRM" u="1"/>
        <s v="58901401J0" u="1"/>
        <s v="ANU20933146" u="1"/>
        <s v="192000707" u="1"/>
        <s v="312420" u="1"/>
        <s v="65300001" u="1"/>
        <s v="610060" u="1"/>
        <s v="192001047" u="1"/>
        <s v="58901431J0" u="1"/>
        <s v="557222" u="1"/>
        <s v="760612" u="1"/>
        <s v="25999994" u="1"/>
        <s v="65205007" u="1"/>
        <s v="76P925022" u="1"/>
        <s v="1100100098" u="1"/>
        <s v="58931204O0" u="1"/>
        <s v="314420" u="1"/>
        <s v="760174" u="1"/>
        <s v="65300011" u="1"/>
        <s v="58920921C0" u="1"/>
        <s v="65766403" u="1"/>
        <s v="192001147" u="1"/>
        <s v="251759" u="1"/>
        <s v="400285" u="1"/>
        <s v="65300021" u="1"/>
        <s v="192933528Z0" u="1"/>
        <s v="192001247" u="1"/>
        <s v="ANU20960624" u="1"/>
        <s v="65301450" u="1"/>
        <s v="190966009L0" u="1"/>
        <s v="552003346" u="1"/>
        <s v="19943036D0" u="1"/>
        <s v="191001447" u="1"/>
        <s v="76P925322" u="1"/>
        <s v="192001062GR" u="1"/>
        <s v="766174" u="1"/>
        <s v="ANU58931005F0" u="1"/>
        <s v="76P925422" u="1"/>
        <s v="58901505J0" u="1"/>
        <s v="160007" u="1"/>
        <s v="403471" u="1"/>
        <s v="490681" u="1"/>
        <s v="76P925522" u="1"/>
        <s v="251693" u="1"/>
        <s v="405471" u="1"/>
        <s v="567370" u="1"/>
        <s v="191001747" u="1"/>
        <s v="58901425Z0" u="1"/>
        <s v="ANU20973148" u="1"/>
        <s v="65200105" u="1"/>
        <s v="H710C200" u="1"/>
        <s v="165007" u="1"/>
        <s v="65356300" u="1"/>
        <s v="191001847" u="1"/>
        <s v="76P925722" u="1"/>
        <s v="ANU58901851Z0" u="1"/>
        <s v="166007" u="1"/>
        <s v="ANU567071" u="1"/>
        <s v="110102906800" u="1"/>
        <s v="192933218C0" u="1"/>
        <s v="76P926162" u="1"/>
        <s v="191937185L0" u="1"/>
        <s v="192406" u="1"/>
        <s v="ANU58901852Z0" u="1"/>
        <s v="270057" u="1"/>
        <s v="192933185N0" u="1"/>
        <s v="600012" u="1"/>
        <s v="H342B000" u="1"/>
        <s v="58901527R0" u="1"/>
        <s v="58920207B0" u="1"/>
        <s v="421021" u="1"/>
        <s v="30212616" u="1"/>
        <s v="66900043" u="1"/>
        <s v="H352B000" u="1"/>
        <s v="ANU567371" u="1"/>
        <s v="422021" u="1"/>
        <s v="76P926362" u="1"/>
        <s v="311148" u="1"/>
        <s v="58901609J0" u="1"/>
        <s v="251244" u="1"/>
        <s v="191946243Q0" u="1"/>
        <s v="314148" u="1"/>
        <s v="192933485N0" u="1"/>
        <s v="30211227" u="1"/>
        <s v="58901495Z0" u="1"/>
        <s v="58920247B0" u="1"/>
        <s v="760526" u="1"/>
        <s v="252430" u="1"/>
        <s v="760088" u="1"/>
        <s v="ANU567771" u="1"/>
        <s v="76P926762" u="1"/>
        <s v="58901639J0" u="1"/>
        <s v="58901577R0" u="1"/>
        <s v="564098" u="1"/>
        <s v="403199" u="1"/>
        <s v="19943214G0" u="1"/>
        <s v="191966084Z0" u="1"/>
        <s v="400385" u="1"/>
        <s v="76P967103" u="1"/>
        <s v="557070" u="1"/>
        <s v="9786508" u="1"/>
        <s v="58912104A0" u="1"/>
        <s v="ANU314136" u="1"/>
        <s v="313949" u="1"/>
        <s v="20942465" u="1"/>
        <s v="ANU58931315E0" u="1"/>
        <s v="405385" u="1"/>
        <s v="192933370D0" u="1"/>
        <s v="20558716" u="1"/>
        <s v="20558692" u="1"/>
        <s v="20917255" u="1"/>
        <s v="20563947" u="1"/>
        <s v="58931029F9" u="1"/>
        <s v="110103301900" u="1"/>
        <s v="192943235D0" u="1"/>
        <s v="0415556" u="1"/>
        <s v="H711C200" u="1"/>
        <s v="ANU402219" u="1"/>
        <s v="9788161" u="1"/>
        <s v="9788162" u="1"/>
        <s v="192000017" u="1"/>
        <s v="190935015L0" u="1"/>
        <s v="320033" u="1"/>
        <s v="700014" u="1"/>
        <s v="720013" u="1"/>
        <s v="760011" u="1"/>
        <s v="791038" u="1"/>
        <s v="132009P" u="1"/>
        <s v="562021" u="1"/>
        <s v="763011" u="1"/>
        <s v="9788164" u="1"/>
        <s v="71420544" u="1"/>
        <s v="584020" u="1"/>
        <s v="1400086" u="1"/>
        <s v="765011" u="1"/>
        <s v="9788165" u="1"/>
        <s v="766011" u="1"/>
        <s v="58931508Z0" u="1"/>
        <s v="191916314C0" u="1"/>
        <s v="568021" u="1"/>
        <s v="768011" u="1"/>
        <s v="192440" u="1"/>
        <s v="58906374J0" u="1"/>
        <s v="58914533V0" u="1"/>
        <s v="191966325R0" u="1"/>
        <s v="610074" u="1"/>
        <s v="760626" u="1"/>
        <s v="314434" u="1"/>
        <s v="760188" u="1"/>
        <s v="65301411" u="1"/>
        <s v="C600A600" u="1"/>
        <s v="58901360R0" u="1"/>
        <s v="192000717" u="1"/>
        <s v="65300002" u="1"/>
        <s v="30213902" u="1"/>
        <s v="58901370R0" u="1"/>
        <s v="58920922C0" u="1"/>
        <s v="314182" u="1"/>
        <s v="192001157" u="1"/>
        <s v="191001257" u="1"/>
        <s v="192933538Z0" u="1"/>
        <s v="192001257" u="1"/>
        <s v="567198" u="1"/>
        <s v="65001461" u="1"/>
        <s v="191001357" u="1"/>
        <s v="760560" u="1"/>
        <s v="190935253D0" u="1"/>
        <s v="ANU58940004G0" u="1"/>
        <s v="58901362Z0" u="1"/>
        <s v="403485" u="1"/>
        <s v="569198" u="1"/>
        <s v="65001471" u="1"/>
        <s v="19943037D0" u="1"/>
        <s v="490695" u="1"/>
        <s v="ANU76P925157" u="1"/>
        <s v="405485" u="1"/>
        <s v="567384" u="1"/>
        <s v="191966219L0" u="1"/>
        <s v="3330196095" u="1"/>
        <s v="191947085N0" u="1"/>
        <s v="76P925632" u="1"/>
        <s v="58920006Z0" u="1"/>
        <s v="192933400C0" u="1"/>
        <s v="30216096" u="1"/>
        <s v="460033" u="1"/>
        <s v="256893" u="1"/>
        <s v="401036" u="1"/>
        <s v="H314B000" u="1"/>
        <s v="422035" u="1"/>
        <s v="ANU167004" u="1"/>
        <s v="ANU192397" u="1"/>
        <s v="190935290Z0" u="1"/>
        <s v="H324B000" u="1"/>
        <s v="283042" u="1"/>
        <s v="76P925932" u="1"/>
        <s v="H334B000" u="1"/>
        <s v="ANU567281" u="1"/>
        <s v="420221" u="1"/>
        <s v="65876300" u="1"/>
        <s v="251258" u="1"/>
        <s v="30212617" u="1"/>
        <s v="ANU567381" u="1"/>
        <s v="58920084R0" u="1"/>
        <s v="402222" u="1"/>
        <s v="76P926372" u="1"/>
        <s v="H364B000" u="1"/>
        <s v="58901538R0" u="1"/>
        <s v="403222" u="1"/>
        <s v="H374B000" u="1"/>
        <s v="191946964J0" u="1"/>
        <s v="ANU58920309B0" u="1"/>
        <s v="405222" u="1"/>
        <s v="252444" u="1"/>
        <s v="H394B000" u="1"/>
        <s v="768111" u="1"/>
        <s v="191937061F0" u="1"/>
        <s v="311096" u="1"/>
        <s v="569121" u="1"/>
        <s v="30211228" u="1"/>
        <s v="76P962145" u="1"/>
        <s v="251630" u="1"/>
        <s v="251192" u="1"/>
        <s v="58906087W0" u="1"/>
        <s v="734075" u="1"/>
        <s v="02.001.0001" u="1"/>
        <s v="76P942346" u="1"/>
        <s v="400399" u="1"/>
        <s v="58901588R0" u="1"/>
        <s v="760474" u="1"/>
        <s v="20917182" u="1"/>
        <s v="1103100004" u="1"/>
        <s v="256192" u="1"/>
        <s v="76P926972" u="1"/>
        <s v="19966138P0" u="1"/>
        <s v="19943215G0" u="1"/>
        <s v="191966094Z0" u="1"/>
        <s v="090003" u="1"/>
        <s v="191937180B0" u="1"/>
        <s v="20218709" u="1"/>
        <s v="5610219" u="1"/>
        <s v="191947045B0" u="1"/>
        <s v="567922" u="1"/>
        <s v="20558717" u="1"/>
        <s v="20558693" u="1"/>
        <s v="192933480D0" u="1"/>
        <s v="ID207001" u="1"/>
        <s v="760025" u="1"/>
        <s v="65286300" u="1"/>
        <s v="02.001.0005" u="1"/>
        <s v="761025" u="1"/>
        <s v="191001849BL" u="1"/>
        <s v="ANU58931283E0" u="1"/>
        <s v="400136" u="1"/>
        <s v="600126" u="1"/>
        <s v="65586300" u="1"/>
        <s v="H315B000" u="1"/>
        <s v="191937173Z0" u="1"/>
        <s v="H710H000" u="1"/>
        <s v="H325B000" u="1"/>
        <s v="551006651" u="1"/>
        <s v="H335B000" u="1"/>
        <s v="400322" u="1"/>
        <s v="562221" u="1"/>
        <s v="766025" u="1"/>
        <s v="65886300" u="1"/>
        <s v="ANU403241" u="1"/>
        <s v="191946995Z0" u="1"/>
        <s v="768025" u="1"/>
        <s v="ANU310990" u="1"/>
        <s v="569035" u="1"/>
        <s v="192454" u="1"/>
        <s v="76P924302" u="1"/>
        <s v="400070" u="1"/>
        <s v="567221" u="1"/>
        <s v="190640" u="1"/>
        <s v="314448" u="1"/>
        <s v="H395B000" u="1"/>
        <s v="569221" u="1"/>
        <s v="58906375J0" u="1"/>
        <s v="192933520Z0" u="1"/>
        <s v="251730" u="1"/>
        <s v="404070" u="1"/>
        <s v="58920903C0" u="1"/>
        <s v="192000727" u="1"/>
        <s v="65300003" u="1"/>
        <s v="192933348Z0" u="1"/>
        <s v="25999996" u="1"/>
        <s v="65205009" u="1"/>
        <s v="192000827" u="1"/>
        <s v="58920923C0" u="1"/>
        <s v="190005" u="1"/>
        <s v="192001167" u="1"/>
        <s v="190966201L0" u="1"/>
        <s v="403499" u="1"/>
        <s v="191916591N0" u="1"/>
        <s v="192000927" u="1"/>
        <s v="65300023" u="1"/>
        <s v="65301442" u="1"/>
        <s v="192933548Z0" u="1"/>
        <s v="132008" u="1"/>
        <s v="192001267" u="1"/>
        <s v="405499" u="1"/>
        <s v="58901425R0" u="1"/>
        <s v="191937110A0" u="1"/>
        <s v="19943038D0" u="1"/>
        <s v="191946980P0" u="1"/>
        <s v="76P925342" u="1"/>
        <s v="30211105" u="1"/>
        <s v="58901373Z0" u="1"/>
        <s v="191946985C0" u="1"/>
        <s v="58931308G0" u="1"/>
        <s v="191001567" u="1"/>
        <s v="ANU600046" u="1"/>
        <s v="192933210C0" u="1"/>
        <s v="ANU562026" u="1"/>
        <s v="58901383Z0" u="1"/>
        <s v="06.080.0052" u="1"/>
        <s v="191936990N0" u="1"/>
        <s v="58901417Z0" u="1"/>
        <s v="192933463E0" u="1"/>
        <s v="080066" u="1"/>
        <s v="H232B000" u="1"/>
        <s v="410021" u="1"/>
        <s v="567770" u="1"/>
        <s v="ANU400256" u="1"/>
        <s v="58901427Z0" u="1"/>
        <s v="58901527J0" u="1"/>
        <s v="58920007Z0" u="1"/>
        <s v="191966701L0" u="1"/>
        <s v="30216097" u="1"/>
        <s v="422049" u="1"/>
        <s v="65296300" u="1"/>
        <s v="76P950938" u="1"/>
        <s v="110102906801" u="1"/>
        <s v="H711H000" u="1"/>
        <s v="76P926182" u="1"/>
        <s v="192806" u="1"/>
        <s v="372359" u="1"/>
        <s v="490446" u="1"/>
        <s v="ANU567291" u="1"/>
        <s v="58901495R0" u="1"/>
        <s v="400422" u="1"/>
        <s v="T531B100" u="1"/>
        <s v="ANU20559827" u="1"/>
        <s v="ANU567391" u="1"/>
        <s v="ANU76P942018" u="1"/>
        <s v="403422" u="1"/>
        <s v="191944925Z0" u="1"/>
        <s v="76P926482" u="1"/>
        <s v="251644" u="1"/>
        <s v="ANU20559828" u="1"/>
        <s v="567321" u="1"/>
        <s v="192933352L0" u="1"/>
        <s v="554098" u="1"/>
        <s v="734089" u="1"/>
        <s v="190933408N0" u="1"/>
        <s v="30211229" u="1"/>
        <s v="58901497Z0" u="1"/>
        <s v="20558590" u="1"/>
        <s v="191001814CA" u="1"/>
        <s v="557098" u="1"/>
        <s v="252392" u="1"/>
        <s v="76P926782" u="1"/>
        <s v="65326200" u="1"/>
        <s v="30212678" u="1"/>
        <s v="190105" u="1"/>
        <s v="19966139P0" u="1"/>
        <s v="19943216G0" u="1"/>
        <s v="20917193" u="1"/>
        <s v="191937190B0" u="1"/>
        <s v="760039" u="1"/>
        <s v="710013" u="1"/>
        <s v="ANU564109" u="1"/>
        <s v="191947020Z0" u="1"/>
        <s v="584048" u="1"/>
        <s v="760225" u="1"/>
        <s v="ANU58901620E0" u="1"/>
        <s v="58931474R0" u="1"/>
        <s v="400336" u="1"/>
        <s v="766039" u="1"/>
        <s v="58931508R0" u="1"/>
        <s v="190906" u="1"/>
        <s v="ANU30173491" u="1"/>
        <s v="191916944Z0" u="1"/>
        <s v="551006661" u="1"/>
        <s v="58901240Z0" u="1"/>
        <s v="191946240D8" u="1"/>
        <s v="9789642" u="1"/>
        <s v="422083" u="1"/>
        <s v="C100A800" u="1"/>
        <s v="400270" u="1"/>
        <s v="192944957L0" u="1"/>
        <s v="9789644" u="1"/>
        <s v="59LIFA120" u="1"/>
        <s v="58906376J0" u="1"/>
        <s v="76P924512" u="1"/>
        <s v="58901452B0" u="1"/>
        <s v="59LIFA220" u="1"/>
        <s v="760588" u="1"/>
        <s v="65390207" u="1"/>
        <s v="1100000216" u="1"/>
        <s v="252492" u="1"/>
        <s v="310582" u="1"/>
        <s v="59071020" u="1"/>
        <s v="58901362R0" u="1"/>
        <s v="191966011L0" u="1"/>
        <s v="65300004" u="1"/>
        <s v="191916357P0" u="1"/>
        <s v="192001077" u="1"/>
        <s v="191916304N0" u="1"/>
        <s v="192001177" u="1"/>
        <s v="5610341827" u="1"/>
        <s v="192943792Z0" u="1"/>
        <s v="192944923F0" u="1"/>
        <s v="192000937" u="1"/>
        <s v="76P925152" u="1"/>
        <s v="65300024" u="1"/>
        <s v="192001277" u="1"/>
        <s v="76P924912" u="1"/>
        <s v="58920006R0" u="1"/>
        <s v="191946990P0" u="1"/>
        <s v="ANU58901626E0" u="1"/>
        <s v="191001477" u="1"/>
        <s v="76P925352" u="1"/>
        <s v="766774" u="1"/>
        <s v="258109" u="1"/>
        <s v="ANU312283" u="1"/>
        <s v="58931309G0" u="1"/>
        <s v="192933220C0" u="1"/>
        <s v="760139" u="1"/>
        <s v="20552497" u="1"/>
        <s v="58901384Z0" u="1"/>
        <s v="191937043N0" u="1"/>
        <s v="H224B000" u="1"/>
        <s v="76P925552" u="1"/>
        <s v="311133" u="1"/>
        <s v="190966339L0" u="1"/>
        <s v="191946765N0" u="1"/>
        <s v="191966711L0" u="1"/>
        <s v="314133" u="1"/>
        <s v="734112" u="1"/>
        <s v="191001877" u="1"/>
        <s v="191966222E7" u="1"/>
        <s v="76P926092" u="1"/>
        <s v="H224B030" u="1"/>
        <s v="557121" u="1"/>
        <s v="30173491P" u="1"/>
        <s v="06.094.0055" u="1"/>
        <s v="191966105F0" u="1"/>
        <s v="760073" u="1"/>
        <s v="56127506" u="1"/>
        <s v="192933348C0" u="1"/>
        <s v="403436" u="1"/>
        <s v="569149" u="1"/>
        <s v="65756303" u="1"/>
        <s v="58901383NO" u="1"/>
        <s v="20917114" u="1"/>
        <s v="58901496R0" u="1"/>
        <s v="582520" u="1"/>
        <s v="76P926292" u="1"/>
        <s v="191937543N0" u="1"/>
        <s v="251658" u="1"/>
        <s v="567335" u="1"/>
        <s v="66960043" u="1"/>
        <s v="402184" u="1"/>
        <s v="58901620E0" u="1"/>
        <s v="490832" u="1"/>
        <s v="20917134" u="1"/>
        <s v="56121121" u="1"/>
        <s v="191937743N0" u="1"/>
        <s v="192933218N0" u="1"/>
        <s v="766073" u="1"/>
        <s v="58901588J0" u="1"/>
        <s v="58920068Z0" u="1"/>
        <s v="192943552N0" u="1"/>
        <s v="190933418N0" u="1"/>
        <s v="T427B200" u="1"/>
        <s v="192940" u="1"/>
        <s v="58931313Z0" u="1"/>
        <s v="192944373R0" u="1"/>
        <s v="58906089W0" u="1"/>
        <s v="191916942F0" u="1"/>
        <s v="192933562L0" u="1"/>
        <s v="190119" u="1"/>
        <s v="9786150" u="1"/>
        <s v="76P926792" u="1"/>
        <s v="58912043A0" u="1"/>
        <s v="76P962365" u="1"/>
        <s v="192904194N0" u="1"/>
        <s v="192001069BL" u="1"/>
        <s v="251209" u="1"/>
        <s v="190937481F0" u="1"/>
        <s v="ANU58931177R0" u="1"/>
        <s v="D111D000" u="1"/>
        <s v="H111B000" u="1"/>
        <s v="ANU20975280" u="1"/>
        <s v="ANU58931178R0" u="1"/>
        <s v="256209" u="1"/>
        <s v="710027" u="1"/>
        <s v="191053" u="1"/>
        <s v="132008PU" u="1"/>
        <s v="58931173Z1" u="1"/>
        <s v="192053" u="1"/>
        <s v="490131" u="1"/>
        <s v="251143" u="1"/>
        <s v="20933680" u="1"/>
        <s v="192933356F0" u="1"/>
        <s v="ANU58906359S0" u="1"/>
        <s v="314233" u="1"/>
        <s v="65501300" u="1"/>
        <s v="191966136V0" u="1"/>
        <s v="190668" u="1"/>
        <s v="191946237V0" u="1"/>
        <s v="760611" u="1"/>
        <s v="760173" u="1"/>
        <s v="490746" u="1"/>
        <s v="190935298N0" u="1"/>
        <s v="251758" u="1"/>
        <s v="19943211Z0" u="1"/>
        <s v="191947058Z0" u="1"/>
        <s v="58901828E0" u="1"/>
        <s v="190854" u="1"/>
        <s v="ANU30215199PU" u="1"/>
        <s v="192933240Z0" u="1"/>
        <s v="58940002B0" u="1"/>
        <s v="ANU76P926320" u="1"/>
        <s v="ANU58906365W0" u="1"/>
        <s v="766173" u="1"/>
        <s v="ANU403461" u="1"/>
        <s v="58901271Z0" u="1"/>
        <s v="405284" u="1"/>
        <s v="191937593Z0" u="1"/>
        <s v="76P940193" u="1"/>
        <s v="403470" u="1"/>
        <s v="58906377J0" u="1"/>
        <s v="490680" u="1"/>
        <s v="ANU58906366W0" u="1"/>
        <s v="ANU76P924764" u="1"/>
        <s v="251692" u="1"/>
        <s v="405470" u="1"/>
        <s v="65390208" u="1"/>
        <s v="59071021" u="1"/>
        <s v="H710C100" u="1"/>
        <s v="191219" u="1"/>
        <s v="58901878E0" u="1"/>
        <s v="65300005" u="1"/>
        <s v="192001087" u="1"/>
        <s v="76P924722" u="1"/>
        <s v="ANU58906367W0" u="1"/>
        <s v="166006" u="1"/>
        <s v="58901373R0" u="1"/>
        <s v="25999998" u="1"/>
        <s v="76P939252" u="1"/>
        <s v="191916314N0" u="1"/>
        <s v="192001187" u="1"/>
        <s v="H112B000" u="1"/>
        <s v="58901383R0" u="1"/>
        <s v="191001287" u="1"/>
        <s v="65300025" u="1"/>
        <s v="58901417R0" u="1"/>
        <s v="192405" u="1"/>
        <s v="192001287" u="1"/>
        <s v="270056" u="1"/>
        <s v="400021" u="1"/>
        <s v="600011" u="1"/>
        <s v="58901427R0" u="1"/>
        <s v="58920007R0" u="1"/>
        <s v="421020" u="1"/>
        <s v="422020" u="1"/>
        <s v="ANU132005" u="1"/>
        <s v="311147" u="1"/>
        <s v="403021" u="1"/>
        <s v="191001587" u="1"/>
        <s v="58901409Z0" u="1"/>
        <s v="251243" u="1"/>
        <s v="314147" u="1"/>
        <s v="734126" u="1"/>
        <s v="76P925562" u="1"/>
        <s v="65311300" u="1"/>
        <s v="760087" u="1"/>
        <s v="191001887" u="1"/>
        <s v="ANU192402" u="1"/>
        <s v="191916356W0" u="1"/>
        <s v="191947018N0" u="1"/>
        <s v="190935023Z0" u="1"/>
        <s v="567349" u="1"/>
        <s v="31204" u="1"/>
        <s v="ANU567014" u="1"/>
        <s v="31304" u="1"/>
        <s v="402198" u="1"/>
        <s v="760273" u="1"/>
        <s v="490846" u="1"/>
        <s v="58901497R0" u="1"/>
        <s v="76P926105" u="1"/>
        <s v="01203349" u="1"/>
        <s v="20917125" u="1"/>
        <s v="59MASK21231" u="1"/>
        <s v="ANU557177" u="1"/>
        <s v="58912004A0" u="1"/>
        <s v="405384" u="1"/>
        <s v="ANU401019" u="1"/>
        <s v="58931280Z0" u="1"/>
        <s v="490780" u="1"/>
        <s v="58931314Z0" u="1"/>
        <s v="191966234B0" u="1"/>
        <s v="76P926505" u="1"/>
        <s v="192943762N0" u="1"/>
        <s v="59MASK21233" u="1"/>
        <s v="192933528N0" u="1"/>
        <s v="H711C100" u="1"/>
        <s v="H521C200" u="1"/>
        <s v="190903969A0" u="1"/>
        <s v="ANU251661" u="1"/>
        <s v="192943003F0" u="1"/>
        <s v="58912026I0" u="1"/>
        <s v="191946200Z0" u="1"/>
        <s v="190067" u="1"/>
        <s v="76P926805" u="1"/>
        <s v="700013" u="1"/>
        <s v="720012" u="1"/>
        <s v="19943218G0" u="1"/>
        <s v="190943203F0" u="1"/>
        <s v="2500570" u="1"/>
        <s v="BR10B000" u="1"/>
        <s v="591003369" u="1"/>
        <s v="763010" u="1"/>
        <s v="20961039" u="1"/>
        <s v="BR20B000" u="1"/>
        <s v="192943737L0" u="1"/>
        <s v="191916364Z0" u="1"/>
        <s v="765010" u="1"/>
        <s v="BR40B000" u="1"/>
        <s v="58931174Z1" u="1"/>
        <s v="ANU58931315G0" u="1"/>
        <s v="766010" u="1"/>
        <s v="ANU251689" u="1"/>
        <s v="65001301" u="1"/>
        <s v="ANU20973599" u="1"/>
        <s v="567020" u="1"/>
        <s v="20933681" u="1"/>
        <s v="ANU584028" u="1"/>
        <s v="768010" u="1"/>
        <s v="H521C260" u="1"/>
        <s v="58901240R0" u="1"/>
        <s v="65321300" u="1"/>
        <s v="1400079" u="1"/>
        <s v="58931428Z0" u="1"/>
        <s v="251091" u="1"/>
        <s v="58901765E0" u="1"/>
        <s v="192933566F0" u="1"/>
        <s v="ANU192933354L0" u="1"/>
        <s v="314433" u="1"/>
        <s v="760187" u="1"/>
        <s v="58931438Z0" u="1"/>
        <s v="C600A500" u="1"/>
        <s v="191966146V0" u="1"/>
        <s v="192933513D0" u="1"/>
        <s v="192000057" u="1"/>
        <s v="58901232Z0" u="1"/>
        <s v="191937006Z0" u="1"/>
        <s v="760373" u="1"/>
        <s v="314181" u="1"/>
        <s v="25605" u="1"/>
        <s v="766187" u="1"/>
        <s v="192000257" u="1"/>
        <s v="58920409E0" u="1"/>
        <s v="567197" u="1"/>
        <s v="192943775D0" u="1"/>
        <s v="192000357" u="1"/>
        <s v="403484" u="1"/>
        <s v="30218328P" u="1"/>
        <s v="191947011G0" u="1"/>
        <s v="192933350Z0" u="1"/>
        <s v="405484" u="1"/>
        <s v="567383" u="1"/>
        <s v="58906378J0" u="1"/>
        <s v="192933178Z0" u="1"/>
        <s v="20552429" u="1"/>
        <s v="65301381" u="1"/>
        <s v="65390209" u="1"/>
        <s v="76P964258" u="1"/>
        <s v="58901426J0" u="1"/>
        <s v="58920006J0" u="1"/>
        <s v="191937606Z0" u="1"/>
        <s v="192000757" u="1"/>
        <s v="65300006" u="1"/>
        <s v="H522C200" u="1"/>
        <s v="192419" u="1"/>
        <s v="250509" u="1"/>
        <s v="192001097" u="1"/>
        <s v="600025" u="1"/>
        <s v="25999999" u="1"/>
        <s v="76P925072" u="1"/>
        <s v="6115884" u="1"/>
        <s v="65300016" u="1"/>
        <s v="252509" u="1"/>
        <s v="256892" u="1"/>
        <s v="192001197" u="1"/>
        <s v="58901384R0" u="1"/>
        <s v="422034" u="1"/>
        <s v="760110" u="1"/>
        <s v="65300026" u="1"/>
        <s v="192001297" u="1"/>
        <s v="76P924932" u="1"/>
        <s v="190966331L0" u="1"/>
        <s v="400221" u="1"/>
        <s v="251257" u="1"/>
        <s v="ANU5511448" u="1"/>
        <s v="402221" u="1"/>
        <s v="564120" u="1"/>
        <s v="191001497" u="1"/>
        <s v="76P925372" u="1"/>
        <s v="192943815Z0" u="1"/>
        <s v="403221" u="1"/>
        <s v="192353" u="1"/>
        <s v="191001597" u="1"/>
        <s v="76P925472" u="1"/>
        <s v="760539" u="1"/>
        <s v="252443" u="1"/>
        <s v="710075" u="1"/>
        <s v="H522C260" u="1"/>
        <s v="191937010L0" u="1"/>
        <s v="311095" u="1"/>
        <s v="65331300" u="1"/>
        <s v="312095" u="1"/>
        <s v="191001797" u="1"/>
        <s v="192933821G0" u="1"/>
        <s v="251191" u="1"/>
        <s v="734074" u="1"/>
        <s v="191001897" u="1"/>
        <s v="76P925772" u="1"/>
        <s v="192943834V0" u="1"/>
        <s v="191946985N0" u="1"/>
        <s v="400398" u="1"/>
        <s v="312281" u="1"/>
        <s v="316095" u="1"/>
        <s v="58920068R0" u="1"/>
        <s v="191966125F0" u="1"/>
        <s v="190933410N0" u="1"/>
        <s v="256191" u="1"/>
        <s v="76P925972" u="1"/>
        <s v="192944374V0" u="1"/>
        <s v="58931313R0" u="1"/>
        <s v="ANU58901532Z0" u="1"/>
        <s v="405398" u="1"/>
        <s v="192933568C0" u="1"/>
        <s v="76P926315" u="1"/>
        <s v="191001815GR" u="1"/>
        <s v="ANU58901533Z0" u="1"/>
        <s v="567921" u="1"/>
        <s v="58901632E0" u="1"/>
        <s v="191946293Q0" u="1"/>
        <s v="95IB30608" u="1"/>
        <s v="ANU58901534Z0" u="1"/>
        <s v="192933538N0" u="1"/>
        <s v="192944493R0" u="1"/>
        <s v="H523C200" u="1"/>
        <s v="192519" u="1"/>
        <s v="191947013D0" u="1"/>
        <s v="20917186" u="1"/>
        <s v="190705" u="1"/>
        <s v="402135" u="1"/>
        <s v="764024" u="1"/>
        <s v="191937076D0" u="1"/>
        <s v="58901716E0" u="1"/>
        <s v="ANU58901581B0" u="1"/>
        <s v="400321" u="1"/>
        <s v="562220" u="1"/>
        <s v="766024" u="1"/>
        <s v="568034" u="1"/>
        <s v="768024" u="1"/>
        <s v="191966137Z0" u="1"/>
        <s v="569034" u="1"/>
        <s v="58931175Z1" u="1"/>
        <s v="20558687" u="1"/>
        <s v="567220" u="1"/>
        <s v="65786230" u="1"/>
        <s v="314447" u="1"/>
        <s v="20558697" u="1"/>
        <s v="191916574Z0" u="1"/>
        <s v="38T619A100" u="1"/>
        <s v="H523C260" u="1"/>
        <s v="ANU30211822" u="1"/>
        <s v="569220" u="1"/>
        <s v="65341300" u="1"/>
        <s v="313633" u="1"/>
        <s v="65441300" u="1"/>
        <s v="760387" u="1"/>
        <s v="314195" u="1"/>
        <s v="ANU315001" u="1"/>
        <s v="58901271R0" u="1"/>
        <s v="557183" u="1"/>
        <s v="192000167" u="1"/>
        <s v="06.175.0007" u="1"/>
        <s v="58901796E0" u="1"/>
        <s v="65301342" u="1"/>
        <s v="132007" u="1"/>
        <s v="192000267" u="1"/>
        <s v="405498" u="1"/>
        <s v="567397" u="1"/>
        <s v="192933546Q0" u="1"/>
        <s v="58920386E0" u="1"/>
        <s v="5610210388" u="1"/>
        <s v="ANU403381" u="1"/>
        <s v="58920400H0" u="1"/>
        <s v="191943225Z0" u="1"/>
        <s v="H450C200" u="1"/>
        <s v="59LIFA150" u="1"/>
        <s v="58931499Z0" u="1"/>
        <s v="58906379J0" u="1"/>
        <s v="65301382" u="1"/>
        <s v="080065" u="1"/>
        <s v="420048" u="1"/>
        <s v="600039" u="1"/>
        <s v="410020" u="1"/>
        <s v="191966094N0" u="1"/>
        <s v="20939297PRM" u="1"/>
        <s v="191000767" u="1"/>
        <s v="58901427J0" u="1"/>
        <s v="58931166O0" u="1"/>
        <s v="59071023" u="1"/>
        <s v="422048" u="1"/>
        <s v="192000767" u="1"/>
        <s v="65300007" u="1"/>
        <s v="65761403" u="1"/>
        <s v="76P924742" u="1"/>
        <s v="20PU604" u="1"/>
        <s v="76P925082" u="1"/>
        <s v="58901409R0" u="1"/>
        <s v="58914568V0" u="1"/>
        <s v="583133" u="1"/>
        <s v="191937054R0" u="1"/>
        <s v="ANU76P924809" u="1"/>
        <s v="402235" u="1"/>
        <s v="20PU605" u="1"/>
        <s v="76P925182" u="1"/>
        <s v="65300027" u="1"/>
        <s v="407049" u="1"/>
        <s v="190966341L0" u="1"/>
        <s v="400421" u="1"/>
        <s v="20PU606" u="1"/>
        <s v="76P925282" u="1"/>
        <s v="20PU607" u="1"/>
        <s v="ANU20970270" u="1"/>
        <s v="192933788Z0" u="1"/>
        <s v="403421" u="1"/>
        <s v="58901849D7" u="1"/>
        <s v="20PU608" u="1"/>
        <s v="76P925482" u="1"/>
        <s v="ANU420095" u="1"/>
        <s v="251643" u="1"/>
        <s v="58931230R0" u="1"/>
        <s v="191966056V7" u="1"/>
        <s v="405421" u="1"/>
        <s v="567320" u="1"/>
        <s v="9786776" u="1"/>
        <s v="554097" u="1"/>
        <s v="734088" u="1"/>
        <s v="20PU609" u="1"/>
        <s v="76P925582" u="1"/>
        <s v="192933350C0" u="1"/>
        <s v="ANU260006" u="1"/>
        <s v="95IB168732" u="1"/>
        <s v="58901916P0" u="1"/>
        <s v="65351300" u="1"/>
        <s v="76P925682" u="1"/>
        <s v="19943052G0" u="1"/>
        <s v="5610220974" u="1"/>
        <s v="192001054CA" u="1"/>
        <s v="557097" u="1"/>
        <s v="192933178C0" u="1"/>
        <s v="252391" u="1"/>
        <s v="1103600051" u="1"/>
        <s v="191947038N0" u="1"/>
        <s v="ANU20970272" u="1"/>
        <s v="58920159B0" u="1"/>
        <s v="192933229R0" u="1"/>
        <s v="192933220N0" u="1"/>
        <s v="190933420N0" u="1"/>
        <s v="190104" u="1"/>
        <s v="65707510" u="1"/>
        <s v="192943282N0" u="1"/>
        <s v="20917117" u="1"/>
        <s v="58931280R0" u="1"/>
        <s v="58931314R0" u="1"/>
        <s v="190966335F0" u="1"/>
        <s v="ANU76P925006" u="1"/>
        <s v="76P926225" u="1"/>
        <s v="58901623E0" u="1"/>
        <s v="192001071BL" u="1"/>
        <s v="ANU76P925016" u="1"/>
        <s v="760038" u="1"/>
        <s v="H451C200" u="1"/>
        <s v="710012" u="1"/>
        <s v="930001" u="1"/>
        <s v="76P926525" u="1"/>
        <s v="65306161" u="1"/>
        <s v="312032" u="1"/>
        <s v="610110" u="1"/>
        <s v="190719" u="1"/>
        <s v="20932204" u="1"/>
        <s v="591003361" u="1"/>
        <s v="ANU490857" u="1"/>
        <s v="192933548N0" u="1"/>
        <s v="402149" u="1"/>
        <s v="403149" u="1"/>
        <s v="561127053" u="1"/>
        <s v="58912056A0" u="1"/>
        <s v="190905" u="1"/>
        <s v="T512B000" u="1"/>
        <s v="403335" u="1"/>
        <s v="30213710" u="1"/>
        <s v="9789631" u="1"/>
        <s v="T512B010" u="1"/>
        <s v="422082" u="1"/>
        <s v="C100A700" u="1"/>
        <s v="58931176Z1" u="1"/>
        <s v="190937481Q0" u="1"/>
        <s v="251743" u="1"/>
        <s v="58901232R0" u="1"/>
        <s v="58920750C0" u="1"/>
        <s v="20558698" u="1"/>
        <s v="65361300" u="1"/>
        <s v="58920770C0" u="1"/>
        <s v="252491" u="1"/>
        <s v="310581" u="1"/>
        <s v="190946597K0" u="1"/>
        <s v="58901362B0" u="1"/>
        <s v="191018" u="1"/>
        <s v="ANU30212613PS" u="1"/>
        <s v="190935303N0" u="1"/>
        <s v="65861300" u="1"/>
        <s v="251108" u="1"/>
        <s v="192000177" u="1"/>
        <s v="58901716D7" u="1"/>
        <s v="191966366V0" u="1"/>
        <s v="192001069MO" u="1"/>
        <s v="58920387E0" u="1"/>
        <s v="ANU569217" u="1"/>
        <s v="58901326R0" u="1"/>
        <s v="65717530" u="1"/>
        <s v="58901364J0" u="1"/>
        <s v="766773" u="1"/>
        <s v="58914495V0" u="1"/>
        <s v="080079" u="1"/>
        <s v="258108" u="1"/>
        <s v="76P924452" u="1"/>
        <s v="20559820" u="1"/>
        <s v="760138" u="1"/>
        <s v="76P900028" u="1"/>
        <s v="710112" u="1"/>
        <s v="192933198Z0" u="1"/>
        <s v="192933570Z0" u="1"/>
        <s v="ANU58920586C0" u="1"/>
        <s v="311132" u="1"/>
        <s v="20559830" u="1"/>
        <s v="400249" u="1"/>
        <s v="ANU58901823R0" u="1"/>
        <s v="76P924652" u="1"/>
        <s v="66916103" u="1"/>
        <s v="760324" u="1"/>
        <s v="192000777" u="1"/>
        <s v="314132" u="1"/>
        <s v="734111" u="1"/>
        <s v="65300008" u="1"/>
        <s v="191946967V0" u="1"/>
        <s v="30213908" u="1"/>
        <s v="76P924752" u="1"/>
        <s v="400435" u="1"/>
        <s v="65300018" u="1"/>
        <s v="191937064R0" u="1"/>
        <s v="9788772" u="1"/>
        <s v="192000977" u="1"/>
        <s v="760072" u="1"/>
        <s v="65300028" u="1"/>
        <s v="58931259G0" u="1"/>
        <s v="403435" u="1"/>
        <s v="65756203" u="1"/>
        <s v="76P924952" u="1"/>
        <s v="9788773" u="1"/>
        <s v="251657" u="1"/>
        <s v="567334" u="1"/>
        <s v="58901368Z0" u="1"/>
        <s v="192943835Z0" u="1"/>
        <s v="764072" u="1"/>
        <s v="58931221R0" u="1"/>
        <s v="191947020N0" u="1"/>
        <s v="490831" u="1"/>
        <s v="76P925492" u="1"/>
        <s v="191937216C0" u="1"/>
        <s v="766072" u="1"/>
        <s v="58931231R0" u="1"/>
        <s v="ANU191946246Q0" u="1"/>
        <s v="58920068J0" u="1"/>
        <s v="192933369G0" u="1"/>
        <s v="76P925592" u="1"/>
        <s v="T427B100" u="1"/>
        <s v="58901398Z0" u="1"/>
        <s v="191916944N0" u="1"/>
        <s v="190118" u="1"/>
        <s v="ANU192432" u="1"/>
        <s v="192933239R0" u="1"/>
        <s v="192933230N0" u="1"/>
        <s v="595002231" u="1"/>
        <s v="190937483N0" u="1"/>
        <s v="084002" u="1"/>
        <s v="583696" u="1"/>
        <s v="65871300" u="1"/>
        <s v="251208" u="1"/>
        <s v="191966145F0" u="1"/>
        <s v="76P926135" u="1"/>
        <s v="191001829AM" u="1"/>
        <s v="58901590E0" u="1"/>
        <s v="191966345F0" u="1"/>
        <s v="256208" u="1"/>
        <s v="58931263Z0" u="1"/>
        <s v="190052" u="1"/>
        <s v="710026" u="1"/>
        <s v="20917138" u="1"/>
        <s v="ANU567344" u="1"/>
        <s v="191052" u="1"/>
        <s v="132007PU" u="1"/>
        <s v="9786145" u="1"/>
        <s v="56259" u="1"/>
        <s v="192052" u="1"/>
        <s v="3330179882" u="1"/>
        <s v="251142" u="1"/>
        <s v="192933788C0" u="1"/>
        <s v="20562397" u="1"/>
        <s v="H453C200" u="1"/>
        <s v="T420B000" u="1"/>
        <s v="190919" u="1"/>
        <s v="192943367L0" u="1"/>
        <s v="557034" u="1"/>
        <s v="314232" u="1"/>
        <s v="403349" u="1"/>
        <s v="420096" u="1"/>
        <s v="20917188" u="1"/>
        <s v="76P927075" u="1"/>
        <s v="ANU251691" u="1"/>
        <s v="58931032G0" u="1"/>
        <s v="567248" u="1"/>
        <s v="190667" u="1"/>
        <s v="557220" u="1"/>
        <s v="760610" u="1"/>
        <s v="1100900057" u="1"/>
        <s v="58901684E0" u="1"/>
        <s v="20917198" u="1"/>
        <s v="490745" u="1"/>
        <s v="251757" u="1"/>
        <s v="58931429R0" u="1"/>
        <s v="191966057Z0" u="1"/>
        <s v="190966157Z0" u="1"/>
        <s v="766172" u="1"/>
        <s v="58901271J0" u="1"/>
        <s v="20558699" u="1"/>
        <s v="160005" u="1"/>
        <s v="569182" u="1"/>
        <s v="20969890" u="1"/>
        <s v="58920771C0" u="1"/>
        <s v="251691" u="1"/>
        <s v="65581300" u="1"/>
        <s v="ANU20929285" u="1"/>
        <s v="191218" u="1"/>
        <s v="H720C000" u="1"/>
        <s v="9787141" u="1"/>
        <s v="190935313N0" u="1"/>
        <s v="166005" u="1"/>
        <s v="58931489R0" u="1"/>
        <s v="167005" u="1"/>
        <s v="20947083" u="1"/>
        <s v="9787142" u="1"/>
        <s v="76P900010" u="1"/>
        <s v="192943552B0" u="1"/>
        <s v="192404" u="1"/>
        <s v="9787143" u="1"/>
        <s v="270055" u="1"/>
        <s v="400020" u="1"/>
        <s v="600010" u="1"/>
        <s v="30212382" u="1"/>
        <s v="192933996F0" u="1"/>
        <s v="58920007B0" u="1"/>
        <s v="191966328G0" u="1"/>
        <s v="401020" u="1"/>
        <s v="311146" u="1"/>
        <s v="58901275Z0" u="1"/>
        <s v="58901409J0" u="1"/>
        <s v="251242" u="1"/>
        <s v="9787146" u="1"/>
        <s v="192001002" u="1"/>
        <s v="734125" u="1"/>
        <s v="T411B000" u="1"/>
        <s v="65301384" u="1"/>
        <s v="T421B000" u="1"/>
        <s v="9787147" u="1"/>
        <s v="192001102" u="1"/>
        <s v="59071025" u="1"/>
        <s v="760524" u="1"/>
        <s v="192001202" u="1"/>
        <s v="760086" u="1"/>
        <s v="710060" u="1"/>
        <s v="65300019" u="1"/>
        <s v="567348" u="1"/>
        <s v="58901349Z0" u="1"/>
        <s v="402197" u="1"/>
        <s v="584095" u="1"/>
        <s v="760272" u="1"/>
        <s v="191001502" u="1"/>
        <s v="76P924962" u="1"/>
        <s v="76P964960" u="1"/>
        <s v="191966217N0" u="1"/>
        <s v="490845" u="1"/>
        <s v="586095" u="1"/>
        <s v="76P925105" u="1"/>
        <s v="58901511E0" u="1"/>
        <s v="95IB78017" u="1"/>
        <s v="58901379Z0" u="1"/>
        <s v="403383" u="1"/>
        <s v="191966361L1" u="1"/>
        <s v="58931232R0" u="1"/>
        <s v="ANU20559470" u="1"/>
        <s v="405383" u="1"/>
        <s v="76P963133RV" u="1"/>
        <s v="6921208" u="1"/>
        <s v="191001902" u="1"/>
        <s v="19943054G0" u="1"/>
        <s v="192933570C0" u="1"/>
        <s v="H511C100" u="1"/>
        <s v="731860" u="1"/>
        <s v="H721C000" u="1"/>
        <s v="I302B000" u="1"/>
        <s v="192933240N0" u="1"/>
        <s v="20923749" u="1"/>
        <s v="ANU76P926416" u="1"/>
        <s v="190943105N0" u="1"/>
        <s v="192943158P0" u="1"/>
        <s v="192933398C0" u="1"/>
        <s v="190066" u="1"/>
        <s v="700012" u="1"/>
        <s v="191937593N0" u="1"/>
        <s v="400120" u="1"/>
        <s v="ANU20976930" u="1"/>
        <s v="58901625E0" u="1"/>
        <s v="ANU405384" u="1"/>
        <s v="191947024H0" u="1"/>
        <s v="312246" u="1"/>
        <s v="192933215L0" u="1"/>
        <s v="20973603" u="1"/>
        <s v="65001201" u="1"/>
        <s v="76P926445" u="1"/>
        <s v="20558596" u="1"/>
        <s v="76P942019" u="1"/>
        <s v="T422B000" u="1"/>
        <s v="76P926545" u="1"/>
        <s v="312432" u="1"/>
        <s v="ANU37938013S0" u="1"/>
        <s v="610072" u="1"/>
        <s v="6942200" u="1"/>
        <s v="191966374B0" u="1"/>
        <s v="ANU20941613" u="1"/>
        <s v="760624" u="1"/>
        <s v="314432" u="1"/>
        <s v="760186" u="1"/>
        <s v="C600A400" u="1"/>
        <s v="58912058A0" u="1"/>
        <s v="312180" u="1"/>
        <s v="191946956F0" u="1"/>
        <s v="C600A410" u="1"/>
        <s v="65001251" u="1"/>
        <s v="191937053B0" u="1"/>
        <s v="766186" u="1"/>
        <s v="191937009D0" u="1"/>
        <s v="58931510E0" u="1"/>
        <s v="76P962618" u="1"/>
        <s v="403483" u="1"/>
        <s v="58920752C0" u="1"/>
        <s v="191947018B0" u="1"/>
        <s v="567382" u="1"/>
        <s v="165019" u="1"/>
        <s v="166019" u="1"/>
        <s v="76P962918" u="1"/>
        <s v="3330196094" u="1"/>
        <s v="H512C100" u="1"/>
        <s v="58914457V0" u="1"/>
        <s v="192418" u="1"/>
        <s v="270069" u="1"/>
        <s v="400034" u="1"/>
        <s v="460031" u="1"/>
        <s v="600024" u="1"/>
        <s v="252508" u="1"/>
        <s v="256891" u="1"/>
        <s v="401034" u="1"/>
        <s v="76P900020" u="1"/>
        <s v="422033" u="1"/>
        <s v="06.072.0013" u="1"/>
        <s v="251256" u="1"/>
        <s v="20138404" u="1"/>
        <s v="569997" u="1"/>
        <s v="402220" u="1"/>
        <s v="76P924372" u="1"/>
        <s v="ANU191012" u="1"/>
        <s v="407034" u="1"/>
        <s v="192352" u="1"/>
        <s v="191001851A8" u="1"/>
        <s v="192001012" u="1"/>
        <s v="59LIFA180" u="1"/>
        <s v="252442" u="1"/>
        <s v="710074" u="1"/>
        <s v="30193862" u="1"/>
        <s v="ANU191212" u="1"/>
        <s v="311094" u="1"/>
        <s v="192943355Z0" u="1"/>
        <s v="59071026" u="1"/>
        <s v="1106200068" u="1"/>
        <s v="58901368R0" u="1"/>
        <s v="251190" u="1"/>
        <s v="192000797" u="1"/>
        <s v="192001212" u="1"/>
        <s v="252190" u="1"/>
        <s v="734073" u="1"/>
        <s v="192933790Z0" u="1"/>
        <s v="490859" u="1"/>
        <s v="191916364N0" u="1"/>
        <s v="400397" u="1"/>
        <s v="58901788D7" u="1"/>
        <s v="316094" u="1"/>
        <s v="191946956F8" u="1"/>
        <s v="192000997" u="1"/>
        <s v="76P925015" u="1"/>
        <s v="BROCAS0108" u="1"/>
        <s v="ANU400001" u="1"/>
        <s v="58920920F0" u="1"/>
        <s v="192967" u="1"/>
        <s v="403397" u="1"/>
        <s v="58901398R0" u="1"/>
        <s v="090001" u="1"/>
        <s v="191966327N0" u="1"/>
        <s v="405397" u="1"/>
        <s v="567296" u="1"/>
        <s v="192933189G0" u="1"/>
        <s v="30212497" u="1"/>
        <s v="95IB78027" u="1"/>
        <s v="192933180C0" u="1"/>
        <s v="190966199L0" u="1"/>
        <s v="191947040N0" u="1"/>
        <s v="191001712" u="1"/>
        <s v="192904197Z0" u="1"/>
        <s v="192933231R0" u="1"/>
        <s v="490793" u="1"/>
        <s v="191937617G0" u="1"/>
        <s v="76P925315" u="1"/>
        <s v="58931233R0" u="1"/>
        <s v="589131255F0" u="1"/>
        <s v="567920" u="1"/>
        <s v="191001812" u="1"/>
        <s v="58920950F0" u="1"/>
        <s v="191946958C0" u="1"/>
        <s v="ANU400029" u="1"/>
        <s v="191001912" u="1"/>
        <s v="79401281" u="1"/>
        <s v="58931263R0" u="1"/>
        <s v="58901562E0" u="1"/>
        <s v="192518" u="1"/>
        <s v="761023" u="1"/>
        <s v="58931235Z0" u="1"/>
        <s v="562033" u="1"/>
        <s v="30219980" u="1"/>
        <s v="58931283R0" u="1"/>
        <s v="764023" u="1"/>
        <s v="65686100" u="1"/>
        <s v="58931255Z0" u="1"/>
        <s v="20559986" u="1"/>
        <s v="766023" u="1"/>
        <s v="192933550N0" u="1"/>
        <s v="58901626E0" u="1"/>
        <s v="568033" u="1"/>
        <s v="768023" u="1"/>
        <s v="403320" u="1"/>
        <s v="65122610" u="1"/>
        <s v="191966365F1" u="1"/>
        <s v="192933378N0" u="1"/>
        <s v="ANU20234791" u="1"/>
        <s v="314446" u="1"/>
        <s v="T424B000" u="1"/>
        <s v="191937044F0" u="1"/>
        <s v="65301202" u="1"/>
        <s v="312194" u="1"/>
        <s v="58901666E0" u="1"/>
        <s v="760386" u="1"/>
        <s v="252290" u="1"/>
        <s v="314194" u="1"/>
        <s v="76P926755" u="1"/>
        <s v="ANU20545156" u="1"/>
        <s v="192943815N0" u="1"/>
        <s v="ANU402181" u="1"/>
        <s v="58931501E0" u="1"/>
        <s v="192001054NE" u="1"/>
        <s v="132006" u="1"/>
        <s v="405497" u="1"/>
        <s v="567396" u="1"/>
        <s v="583581" u="1"/>
        <s v="191937544F0" u="1"/>
        <s v="20569916" u="1"/>
        <s v="65301252" u="1"/>
        <s v="191916317Z0" u="1"/>
        <s v="58920753C0" u="1"/>
        <s v="ANU564079" u="1"/>
        <s v="65301272" u="1"/>
        <s v="H450C100" u="1"/>
        <s v="58914438V0" u="1"/>
        <s v="192001071MO" u="1"/>
        <s v="58901217Z0" u="1"/>
        <s v="080064" u="1"/>
        <s v="58901712P0" u="1"/>
        <s v="65301292" u="1"/>
        <s v="422047" u="1"/>
        <s v="580132" u="1"/>
        <s v="760123" u="1"/>
        <s v="H450C120" u="1"/>
        <s v="58901275R0" u="1"/>
        <s v="400234" u="1"/>
        <s v="404048" u="1"/>
        <s v="420233" u="1"/>
        <s v="19943207Z0" u="1"/>
        <s v="405048" u="1"/>
        <s v="76P900030" u="1"/>
        <s v="402234" u="1"/>
        <s v="65696100" u="1"/>
        <s v="407048" u="1"/>
        <s v="372357" u="1"/>
        <s v="400420" u="1"/>
        <s v="710088" u="1"/>
        <s v="76P924382" u="1"/>
        <s v="20138415" u="1"/>
        <s v="192933203Z0" u="1"/>
        <s v="403420" u="1"/>
        <s v="569133" u="1"/>
        <s v="251642" u="1"/>
        <s v="58901349R0" u="1"/>
        <s v="192001022" u="1"/>
        <s v="554096" u="1"/>
        <s v="734087" u="1"/>
        <s v="30193863" u="1"/>
        <s v="20559833" u="1"/>
        <s v="65301386" u="1"/>
        <s v="192933403Z0" u="1"/>
        <s v="192001122" u="1"/>
        <s v="20PU701J" u="1"/>
        <s v="76P924682" u="1"/>
        <s v="59071027" u="1"/>
        <s v="557096" u="1"/>
        <s v="191001322" u="1"/>
        <s v="191966037N0" u="1"/>
        <s v="58901379R0" u="1"/>
        <s v="20PU392" u="1"/>
        <s v="76P924882" u="1"/>
        <s v="192933371G0" u="1"/>
        <s v="20PU393" u="1"/>
        <s v="190966337N0" u="1"/>
        <s v="191916574N0" u="1"/>
        <s v="191937046C0" u="1"/>
        <s v="20PU394" u="1"/>
        <s v="10SW5008N" u="1"/>
        <s v="192103" u="1"/>
        <s v="583681" u="1"/>
        <s v="20PU395" u="1"/>
        <s v="191946819R0" u="1"/>
        <s v="01824649" u="1"/>
        <s v="58914201V0" u="1"/>
        <s v="30212012S" u="1"/>
        <s v="76P925325" u="1"/>
        <s v="58931234R0" u="1"/>
        <s v="191001849AZ" u="1"/>
        <s v="95IB78237" u="1"/>
        <s v="ANU76P926373" u="1"/>
        <s v="20PU397" u="1"/>
        <s v="760037" u="1"/>
        <s v="H451C100" u="1"/>
        <s v="710011" u="1"/>
        <s v="79401282" u="1"/>
        <s v="19943056G0" u="1"/>
        <s v="20PU398" u="1"/>
        <s v="65306061" u="1"/>
        <s v="191001831AM" u="1"/>
        <s v="190718" u="1"/>
        <s v="564047" u="1"/>
        <s v="20212145" u="1"/>
        <s v="H451C120" u="1"/>
        <s v="403148" u="1"/>
        <s v="58931236Z0" u="1"/>
        <s v="400334" u="1"/>
        <s v="766037" u="1"/>
        <s v="20937086" u="1"/>
        <s v="76P926065" u="1"/>
        <s v="190904" u="1"/>
        <s v="567047" u="1"/>
        <s v="191937994R0" u="1"/>
        <s v="191937188L0" u="1"/>
        <s v="ANU20168030" u="1"/>
        <s v="9789621" u="1"/>
        <s v="20559987" u="1"/>
        <s v="600072" u="1"/>
        <s v="58931428B0" u="1"/>
        <s v="405334" u="1"/>
        <s v="58920007E1" u="1"/>
        <s v="58920207E0" u="1"/>
        <s v="76P942211" u="1"/>
        <s v="ANU567374" u="1"/>
        <s v="422081" u="1"/>
        <s v="76P926365" u="1"/>
        <s v="C100A600" u="1"/>
        <s v="9789623" u="1"/>
        <s v="191946246Q0" u="1"/>
        <s v="192933488N0" u="1"/>
        <s v="191001927C0" u="1"/>
        <s v="9789625" u="1"/>
        <s v="191937001D0" u="1"/>
        <s v="58901090Z0" u="1"/>
        <s v="760586" u="1"/>
        <s v="9789626" u="1"/>
        <s v="252490" u="1"/>
        <s v="310580" u="1"/>
        <s v="ANU567774" u="1"/>
        <s v="19943060Z0" u="1"/>
        <s v="191017" u="1"/>
        <s v="58901134Z0" u="1"/>
        <s v="58901244J0" u="1"/>
        <s v="58931502E0" u="1"/>
        <s v="56112424" u="1"/>
        <s v="192001064NE" u="1"/>
        <s v="191966087Z0" u="1"/>
        <s v="191946188Z0" u="1"/>
        <s v="192943784V7" u="1"/>
        <s v="080078" u="1"/>
        <s v="258107" u="1"/>
        <s v="ANU58901217Z0" u="1"/>
        <s v="58901208Z0" u="1"/>
        <s v="192933373D0" u="1"/>
        <s v="710111" u="1"/>
        <s v="ANU20168036" u="1"/>
        <s v="311131" u="1"/>
        <s v="58901713P0" u="1"/>
        <s v="190903484B0" u="1"/>
        <s v="191946960Z0" u="1"/>
        <s v="314131" u="1"/>
        <s v="734110" u="1"/>
        <s v="66916013" u="1"/>
        <s v="400434" u="1"/>
        <s v="191937066Z0" u="1"/>
        <s v="19943208Z0" u="1"/>
        <s v="58901248Z0" u="1"/>
        <s v="20559760" u="1"/>
        <s v="190966200R0" u="1"/>
        <s v="191937166Z0" u="1"/>
        <s v="191566" u="1"/>
        <s v="ANU58901165R0" u="1"/>
        <s v="251656" u="1"/>
        <s v="567333" u="1"/>
        <s v="66916043" u="1"/>
        <s v="402182" u="1"/>
        <s v="58931221B0" u="1"/>
        <s v="490830" u="1"/>
        <s v="192001059AZ" u="1"/>
        <s v="192001032" u="1"/>
        <s v="567081" u="1"/>
        <s v="191916317C0" u="1"/>
        <s v="20559834" u="1"/>
        <s v="T427B000" u="1"/>
        <s v="192001132" u="1"/>
        <s v="191966224A0" u="1"/>
        <s v="080001" u="1"/>
        <s v="58920788S0" u="1"/>
        <s v="192001232" u="1"/>
        <s v="190117" u="1"/>
        <s v="20932001" u="1"/>
        <s v="76P924792" u="1"/>
        <s v="20559854" u="1"/>
        <s v="58931261B0" u="1"/>
        <s v="493009" u="1"/>
        <s v="58901460E0" u="1"/>
        <s v="ANU20926305" u="1"/>
        <s v="084001" u="1"/>
        <s v="ANU404074" u="1"/>
        <s v="251207" u="1"/>
        <s v="65371230" u="1"/>
        <s v="191001532" u="1"/>
        <s v="19937610N0" u="1"/>
        <s v="256207" u="1"/>
        <s v="20932041" u="1"/>
        <s v="58920942F0" u="1"/>
        <s v="190051" u="1"/>
        <s v="530034" u="1"/>
        <s v="710025" u="1"/>
        <s v="30212013S" u="1"/>
        <s v="191051" u="1"/>
        <s v="791021" u="1"/>
        <s v="192943160P0" u="1"/>
        <s v="95IB78247" u="1"/>
        <s v="251141" u="1"/>
        <s v="20552080" u="1"/>
        <s v="H453C100" u="1"/>
        <s v="191001932" u="1"/>
        <s v="58901001Z0" u="1"/>
        <s v="76P925535" u="1"/>
        <s v="R230C000" u="1"/>
        <s v="190918" u="1"/>
        <s v="192933403C0" u="1"/>
        <s v="H453C120" u="1"/>
        <s v="314231" u="1"/>
        <s v="2085309" u="1"/>
        <s v="58931237Z0" u="1"/>
        <s v="66926013" u="1"/>
        <s v="400096" u="1"/>
        <s v="420095" u="1"/>
        <s v="567247" u="1"/>
        <s v="190666" u="1"/>
        <s v="20559978" u="1"/>
        <s v="76P925835" u="1"/>
        <s v="190935293Z0" u="1"/>
        <s v="58920974N0" u="1"/>
        <s v="58931429B0" u="1"/>
        <s v="58901051Z0" u="1"/>
        <s v="ANU567384" u="1"/>
        <s v="58901061Z0" u="1"/>
        <s v="58901105Z0" u="1"/>
        <s v="191966705E7" u="1"/>
        <s v="20562010" u="1"/>
        <s v="191937011D0" u="1"/>
        <s v="251690" u="1"/>
        <s v="191217" u="1"/>
        <s v="76P942349" u="1"/>
        <s v="191947020B0" u="1"/>
        <s v="166004" u="1"/>
        <s v="167004" u="1"/>
        <s v="58931503E0" u="1"/>
        <s v="56112425" u="1"/>
        <s v="37938118D0" u="1"/>
        <s v="58901217R0" u="1"/>
        <s v="192403" u="1"/>
        <s v="76P962920" u="1"/>
        <s v="270054" u="1"/>
        <s v="191937183B0" u="1"/>
        <s v="191916237Z0" u="1"/>
        <s v="191946198Z0" u="1"/>
        <s v="58901165Z0" u="1"/>
        <s v="58910943F0" u="1"/>
        <s v="191966707B0" u="1"/>
        <s v="H224C200" u="1"/>
        <s v="311145" u="1"/>
        <s v="191947048B0" u="1"/>
        <s v="20933688" u="1"/>
        <s v="19966210N0" u="1"/>
        <s v="192943420D0" u="1"/>
        <s v="251241" u="1"/>
        <s v="58901185Z0" u="1"/>
        <s v="314145" u="1"/>
        <s v="734124" u="1"/>
        <s v="T211B000" u="1"/>
        <s v="58931100J0" u="1"/>
        <s v="192943520D0" u="1"/>
        <s v="ANU76P926270" u="1"/>
        <s v="192000102" u="1"/>
        <s v="19943193R0" u="1"/>
        <s v="403448" u="1"/>
        <s v="ANU559105" u="1"/>
        <s v="19943209Z0" u="1"/>
        <s v="405448" u="1"/>
        <s v="567347" u="1"/>
        <s v="58931130J0" u="1"/>
        <s v="20559761" u="1"/>
        <s v="30212376" u="1"/>
        <s v="192944922L0" u="1"/>
        <s v="760271" u="1"/>
        <s v="490844" u="1"/>
        <s v="766085" u="1"/>
        <s v="20138407" u="1"/>
        <s v="191946998Z0" u="1"/>
        <s v="ANU191042" u="1"/>
        <s v="768085" u="1"/>
        <s v="76P924205" u="1"/>
        <s v="403382" u="1"/>
        <s v="260006" u="1"/>
        <s v="76P924305" u="1"/>
        <s v="192001042" u="1"/>
        <s v="58901431E0" u="1"/>
        <s v="567281" u="1"/>
        <s v="20559835" u="1"/>
        <s v="6919201" u="1"/>
        <s v="191966234A0" u="1"/>
        <s v="192933523Z0" u="1"/>
        <s v="192001242" u="1"/>
        <s v="191001342" u="1"/>
        <s v="191966057N0" u="1"/>
        <s v="H511C000" u="1"/>
        <s v="653047312" u="1"/>
        <s v="190966157N0" u="1"/>
        <s v="191946960C0" u="1"/>
        <s v="76P925045" u="1"/>
        <s v="58901505E0" u="1"/>
        <s v="190065" u="1"/>
        <s v="710039" u="1"/>
        <s v="653047512" u="1"/>
        <s v="192933823Z0" u="1"/>
        <s v="700011" u="1"/>
        <s v="900001" u="1"/>
        <s v="9788133" u="1"/>
        <s v="191001642" u="1"/>
        <s v="76P924905" u="1"/>
        <s v="19937611N0" u="1"/>
        <s v="58901868P0" u="1"/>
        <s v="65791230" u="1"/>
        <s v="9788134" u="1"/>
        <s v="191001742" u="1"/>
        <s v="58920943F0" u="1"/>
        <s v="554047" u="1"/>
        <s v="9788135" u="1"/>
        <s v="191001842" u="1"/>
        <s v="316059" u="1"/>
        <s v="11114500" u="1"/>
        <s v="653047812" u="1"/>
        <s v="76P950913" u="1"/>
        <s v="ANU58901506R0" u="1"/>
        <s v="65001101" u="1"/>
        <s v="9788136" u="1"/>
        <s v="ANU562029" u="1"/>
        <s v="58920963F0" u="1"/>
        <s v="79401284" u="1"/>
        <s v="191943226R0" u="1"/>
        <s v="ANU76P926408" u="1"/>
        <s v="20969711" u="1"/>
        <s v="9788137" u="1"/>
        <s v="20552091" u="1"/>
        <s v="192933466E0" u="1"/>
        <s v="312431" u="1"/>
        <s v="192933180N0" u="1"/>
        <s v="76P956021" u="1"/>
        <s v="314431" u="1"/>
        <s v="760185" u="1"/>
        <s v="65301111" u="1"/>
        <s v="191937617R0" u="1"/>
        <s v="58931238Z0" u="1"/>
        <s v="490758" u="1"/>
        <s v="C600A300" u="1"/>
        <s v="191946958N0" u="1"/>
        <s v="400296" u="1"/>
        <s v="65301121" u="1"/>
        <s v="76P926085" u="1"/>
        <s v="58901609E0" u="1"/>
        <s v="ANU76P926394" u="1"/>
        <s v="C600A310" u="1"/>
        <s v="76P925845" u="1"/>
        <s v="58920965N0" u="1"/>
        <s v="192943575C0" u="1"/>
        <s v="731839" u="1"/>
        <s v="65301131" u="1"/>
        <s v="76P926185" u="1"/>
        <s v="ANU58901511V0" u="1"/>
        <s v="19943040R0" u="1"/>
        <s v="65001151" u="1"/>
        <s v="65301141" u="1"/>
        <s v="76P926285" u="1"/>
        <s v="1100000229" u="1"/>
        <s v="58901090R0" u="1"/>
        <s v="65301151" u="1"/>
        <s v="76P926385" u="1"/>
        <s v="58920642C0" u="1"/>
        <s v="58901062Z0" u="1"/>
        <s v="58901639E0" u="1"/>
        <s v="58931278Z0" u="1"/>
        <s v="ANU76P925019" u="1"/>
        <s v="569195" u="1"/>
        <s v="162018" u="1"/>
        <s v="65301161" u="1"/>
        <s v="58901134R0" u="1"/>
        <s v="58931288Z0" u="1"/>
        <s v="405482" u="1"/>
        <s v="567381" u="1"/>
        <s v="192933355L0" u="1"/>
        <s v="165018" u="1"/>
        <s v="166018" u="1"/>
        <s v="191966217B0" u="1"/>
        <s v="H512C000" u="1"/>
        <s v="76P926785" u="1"/>
        <s v="19943062Z0" u="1"/>
        <s v="192417" u="1"/>
        <s v="270068" u="1"/>
        <s v="600023" u="1"/>
        <s v="58901208R0" u="1"/>
        <s v="58920726C0" u="1"/>
        <s v="252507" u="1"/>
        <s v="256890" u="1"/>
        <s v="401033" u="1"/>
        <s v="76P927028" u="1"/>
        <s v="58931504E0" u="1"/>
        <s v="191001855RS" u="1"/>
        <s v="422032" u="1"/>
        <s v="37938119D0" u="1"/>
        <s v="58931480E0" u="1"/>
        <s v="311159" u="1"/>
        <s v="20569909" u="1"/>
        <s v="403033" u="1"/>
        <s v="58901156Z0" u="1"/>
        <s v="58931514E0" u="1"/>
        <s v="20944880" u="1"/>
        <s v="314159" u="1"/>
        <s v="569996" u="1"/>
        <s v="30212293" u="1"/>
        <s v="192943330D0" u="1"/>
        <s v="ANU76P926478" u="1"/>
        <s v="192351" u="1"/>
        <s v="372342" u="1"/>
        <s v="ANU190112" u="1"/>
        <s v="255255" u="1"/>
        <s v="58901248R0" u="1"/>
        <s v="ANU58931261C0" u="1"/>
        <s v="252441" u="1"/>
        <s v="760099" u="1"/>
        <s v="710073" u="1"/>
        <s v="192943807V7" u="1"/>
        <s v="311093" u="1"/>
        <s v="19943194R0" u="1"/>
        <s v="58901715P0" u="1"/>
        <s v="ANU58901520Z0" u="1"/>
        <s v="191947023Z0" u="1"/>
        <s v="314093" u="1"/>
        <s v="734072" u="1"/>
        <s v="58920800F0" u="1"/>
        <s v="490858" u="1"/>
        <s v="400396" u="1"/>
        <s v="316093" u="1"/>
        <s v="192933793D0" u="1"/>
        <s v="577080" u="1"/>
        <s v="191916947Z0" u="1"/>
        <s v="733939" u="1"/>
        <s v="405396" u="1"/>
        <s v="567295" u="1"/>
        <s v="ANU403254" u="1"/>
        <s v="191947042V0" u="1"/>
        <s v="192000712" u="1"/>
        <s v="20559826" u="1"/>
        <s v="192000812" u="1"/>
        <s v="20559836" u="1"/>
        <s v="192001152" u="1"/>
        <s v="192001252" u="1"/>
        <s v="191001352" u="1"/>
        <s v="191966067N0" u="1"/>
        <s v="20577017" u="1"/>
        <s v="191946821R0" u="1"/>
        <s v="760022" u="1"/>
        <s v="791049" u="1"/>
        <s v="65751203" u="1"/>
        <s v="192517" u="1"/>
        <s v="761022" u="1"/>
        <s v="58931235J0" u="1"/>
        <s v="191001851AZ" u="1"/>
        <s v="192079" u="1"/>
        <s v="ANU20563943" u="1"/>
        <s v="562032" u="1"/>
        <s v="58920890F0" u="1"/>
        <s v="190703" u="1"/>
        <s v="763022" u="1"/>
        <s v="191001552" u="1"/>
        <s v="ANU30218328P" u="1"/>
        <s v="192001065RO" u="1"/>
        <s v="192943795Z0" u="1"/>
        <s v="76P925155" u="1"/>
        <s v="58901001R0" u="1"/>
        <s v="ANU30211810" u="1"/>
        <s v="20932033" u="1"/>
        <s v="766022" u="1"/>
        <s v="405133" u="1"/>
        <s v="191001752" u="1"/>
        <s v="58920006U0" u="1"/>
        <s v="191947036P0" u="1"/>
        <s v="191946993P0" u="1"/>
        <s v="569032" u="1"/>
        <s v="192451" u="1"/>
        <s v="30215199PU" u="1"/>
        <s v="ANU20563945" u="1"/>
        <s v="314445" u="1"/>
        <s v="191937046N0" u="1"/>
        <s v="20PU587MA15" u="1"/>
        <s v="58931257R0" u="1"/>
        <s v="191937190L0" u="1"/>
        <s v="58931229Z0" u="1"/>
        <s v="76P925655" u="1"/>
        <s v="58901051R0" u="1"/>
        <s v="760385" u="1"/>
        <s v="314193" u="1"/>
        <s v="58931239Z0" u="1"/>
        <s v="58901061R0" u="1"/>
        <s v="56113722" u="1"/>
        <s v="191946968N0" u="1"/>
        <s v="58901933S0" u="1"/>
        <s v="ANU20563947" u="1"/>
        <s v="557181" u="1"/>
        <s v="76P926195" u="1"/>
        <s v="58901105R0" u="1"/>
        <s v="192933490N0" u="1"/>
        <s v="191002" u="1"/>
        <s v="132005" u="1"/>
        <s v="567395" u="1"/>
        <s v="76P926395" u="1"/>
        <s v="ANU567207" u="1"/>
        <s v="H410C000" u="1"/>
        <s v="58901063Z0" u="1"/>
        <s v="58931279Z0" u="1"/>
        <s v="H410C010" u="1"/>
        <s v="76P926595" u="1"/>
        <s v="490509" u="1"/>
        <s v="H460C000" u="1"/>
        <s v="ANU20942897" u="1"/>
        <s v="080063" u="1"/>
        <s v="460044" u="1"/>
        <s v="191916945F0" u="1"/>
        <s v="192933565L0" u="1"/>
        <s v="58901165R0" u="1"/>
        <s v="422046" u="1"/>
        <s v="760122" u="1"/>
        <s v="76P942741" u="1"/>
        <s v="192904197N0" u="1"/>
        <s v="404047" u="1"/>
        <s v="420232" u="1"/>
        <s v="19966110V0" u="1"/>
        <s v="19966210F0" u="1"/>
        <s v="251269" u="1"/>
        <s v="58920727C0" u="1"/>
        <s v="76P927038" u="1"/>
        <s v="58931505E0" u="1"/>
        <s v="58901185R0" u="1"/>
        <s v="319994" u="1"/>
        <s v="402233" u="1"/>
        <s v="60000075" u="1"/>
        <s v="P111D000" u="1"/>
        <s v="T111B000" u="1"/>
        <s v="407047" u="1"/>
        <s v="R121C000" u="1"/>
        <s v="T121B000" u="1"/>
        <s v="766122" u="1"/>
        <s v="20944905" u="1"/>
        <s v="R131C000" u="1"/>
        <s v="10.001.0007" u="1"/>
        <s v="405233" u="1"/>
        <s v="R121C010" u="1"/>
        <s v="252455" u="1"/>
        <s v="ANU402224" u="1"/>
        <s v="192943493F0" u="1"/>
        <s v="791083" u="1"/>
        <s v="R171C000" u="1"/>
        <s v="251641" u="1"/>
        <s v="76P9000023" u="1"/>
        <s v="190935020L0" u="1"/>
        <s v="554095" u="1"/>
        <s v="734086" u="1"/>
        <s v="ANU76P926271" u="1"/>
        <s v="19943195R0" u="1"/>
        <s v="ANU252494" u="1"/>
        <s v="191946990Z0" u="1"/>
        <s v="760485" u="1"/>
        <s v="192933559F0" u="1"/>
        <s v="65507300" u="1"/>
        <s v="1103600050" u="1"/>
        <s v="ANU76P926281" u="1"/>
        <s v="65607300" u="1"/>
        <s v="192001061AZ" u="1"/>
        <s v="20PU383" u="1"/>
        <s v="20PU384" u="1"/>
        <s v="20138409" u="1"/>
        <s v="192102" u="1"/>
        <s v="I610C100" u="1"/>
        <s v="20PU385" u="1"/>
        <s v="58940002E0" u="1"/>
        <s v="ANU311156" u="1"/>
        <s v="20559827" u="1"/>
        <s v="192933343Z0" u="1"/>
        <s v="ANU20939303" u="1"/>
        <s v="192000822" u="1"/>
        <s v="191937596Z0" u="1"/>
        <s v="65712571" u="1"/>
        <s v="76P924425" u="1"/>
        <s v="ANU20235337" u="1"/>
        <s v="760036" u="1"/>
        <s v="192001162" u="1"/>
        <s v="710010" u="1"/>
        <s v="19966336N0" u="1"/>
        <s v="H461C000" u="1"/>
        <s v="191001814MO" u="1"/>
        <s v="192001262" u="1"/>
        <s v="191001362" u="1"/>
        <s v="551003361" u="1"/>
        <s v="20559857" u="1"/>
        <s v="564046" u="1"/>
        <s v="760222" u="1"/>
        <s v="58931236J0" u="1"/>
        <s v="20577028" u="1"/>
        <s v="400333" u="1"/>
        <s v="58920510C0" u="1"/>
        <s v="191916317N0" u="1"/>
        <s v="190903" u="1"/>
        <s v="191001562" u="1"/>
        <s v="58931146Z0" u="1"/>
        <s v="76P924825" u="1"/>
        <s v="768036" u="1"/>
        <s v="403333" u="1"/>
        <s v="T122B000" u="1"/>
        <s v="610099" u="1"/>
        <s v="R132C000" u="1"/>
        <s v="ANU76P926365" u="1"/>
        <s v="600071" u="1"/>
        <s v="314459" u="1"/>
        <s v="422080" u="1"/>
        <s v="76P925365" u="1"/>
        <s v="ANU132008" u="1"/>
        <s v="192943808Z0" u="1"/>
        <s v="569232" u="1"/>
        <s v="191001862" u="1"/>
        <s v="192933381R0" u="1"/>
        <s v="251741" u="1"/>
        <s v="76P925465" u="1"/>
        <s v="20552083" u="1"/>
        <s v="20969723" u="1"/>
        <s v="760585" u="1"/>
        <s v="190016" u="1"/>
        <s v="58901062R0" u="1"/>
        <s v="58931278R0" u="1"/>
        <s v="191916359W0" u="1"/>
        <s v="192943827V0" u="1"/>
        <s v="ANU30212813" u="1"/>
        <s v="191016" u="1"/>
        <s v="56113723" u="1"/>
        <s v="1140109248" u="1"/>
        <s v="191946978N0" u="1"/>
        <s v="132019" u="1"/>
        <s v="190935026Z0" u="1"/>
        <s v="58920590C0" u="1"/>
        <s v="58931288R0" u="1"/>
        <s v="19943042R0" u="1"/>
        <s v="9789619" u="1"/>
        <s v="76P926108" u="1"/>
        <s v="766771" u="1"/>
        <s v="ANU567317" u="1"/>
        <s v="080077" u="1"/>
        <s v="258106" u="1"/>
        <s v="H232C100" u="1"/>
        <s v="76P926308" u="1"/>
        <s v="58901208J0" u="1"/>
        <s v="65722571" u="1"/>
        <s v="76P926408" u="1"/>
        <s v="710110" u="1"/>
        <s v="H462C000" u="1"/>
        <s v="38T316A000" u="1"/>
        <s v="311130" u="1"/>
        <s v="58901156R0" u="1"/>
        <s v="58901994S0" u="1"/>
        <s v="084077" u="1"/>
        <s v="58901094Z0" u="1"/>
        <s v="192943765N0" u="1"/>
        <s v="20582022" u="1"/>
        <s v="760322" u="1"/>
        <s v="76P926608" u="1"/>
        <s v="192379" u="1"/>
        <s v="400433" u="1"/>
        <s v="766136" u="1"/>
        <s v="76P926708" u="1"/>
        <s v="19966111V0" u="1"/>
        <s v="2500068" u="1"/>
        <s v="58920728C0" u="1"/>
        <s v="58901248J0" u="1"/>
        <s v="252469" u="1"/>
        <s v="56112428" u="1"/>
        <s v="76P926808" u="1"/>
        <s v="760070" u="1"/>
        <s v="403433" u="1"/>
        <s v="ANU192933400C0" u="1"/>
        <s v="251655" u="1"/>
        <s v="567332" u="1"/>
        <s v="9786896" u="1"/>
        <s v="ANU76P926479" u="1"/>
        <s v="402181" u="1"/>
        <s v="58920315H0" u="1"/>
        <s v="191966179K0" u="1"/>
        <s v="ANU191946965V0" u="1"/>
        <s v="766070" u="1"/>
        <s v="58920325H0" u="1"/>
        <s v="19943196R0" u="1"/>
        <s v="191966179K1" u="1"/>
        <s v="192933469F0" u="1"/>
        <s v="190116" u="1"/>
        <s v="493008" u="1"/>
        <s v="191966149V0" u="1"/>
        <s v="192933516D0" u="1"/>
        <s v="58920712V0" u="1"/>
        <s v="251206" u="1"/>
        <s v="191000532" u="1"/>
        <s v="ANU190632" u="1"/>
        <s v="58931143J0" u="1"/>
        <s v="192000532" u="1"/>
        <s v="ANU58901819R0" u="1"/>
        <s v="190935258L0" u="1"/>
        <s v="192933539Q0" u="1"/>
        <s v="76P924235" u="1"/>
        <s v="256206" u="1"/>
        <s v="9786124" u="1"/>
        <s v="190050" u="1"/>
        <s v="710024" u="1"/>
        <s v="191050" u="1"/>
        <s v="20559828" u="1"/>
        <s v="191947014G0" u="1"/>
        <s v="H233C100" u="1"/>
        <s v="191001172" u="1"/>
        <s v="3330179881" u="1"/>
        <s v="191966698G0" u="1"/>
        <s v="760236" u="1"/>
        <s v="191000932" u="1"/>
        <s v="490809" u="1"/>
        <s v="192000932" u="1"/>
        <s v="58931217J0" u="1"/>
        <s v="192001272" u="1"/>
        <s v="190917" u="1"/>
        <s v="191001372" u="1"/>
        <s v="551003371" u="1"/>
        <s v="557032" u="1"/>
        <s v="20577019" u="1"/>
        <s v="58931165R0" u="1"/>
        <s v="191937609Z0" u="1"/>
        <s v="314230" u="1"/>
        <s v="191946188N0" u="1"/>
        <s v="420094" u="1"/>
        <s v="76P925075" u="1"/>
        <s v="567246" u="1"/>
        <s v="191001572" u="1"/>
        <s v="190665" u="1"/>
        <s v="ANU562031" u="1"/>
        <s v="760170" u="1"/>
        <s v="191001672" u="1"/>
        <s v="190966334L0" u="1"/>
        <s v="3330209655" u="1"/>
        <s v="1100000194" u="1"/>
        <s v="731824" u="1"/>
        <s v="76P925375" u="1"/>
        <s v="ANU132018" u="1"/>
        <s v="192943818Z0" u="1"/>
        <s v="20552074" u="1"/>
        <s v="191001872" u="1"/>
        <s v="ANU400361" u="1"/>
        <s v="58931177Z0" u="1"/>
        <s v="56112241" u="1"/>
        <s v="95IB84096" u="1"/>
        <s v="766170" u="1"/>
        <s v="760599" u="1"/>
        <s v="01.019.0085" u="1"/>
        <s v="58901005Z0" u="1"/>
        <s v="191966100F0" u="1"/>
        <s v="65237300" u="1"/>
        <s v="569180" u="1"/>
        <s v="19916236N0" u="1"/>
        <s v="191937166N0" u="1"/>
        <s v="65337300" u="1"/>
        <s v="162003" u="1"/>
        <s v="20969724" u="1"/>
        <s v="76P925675" u="1"/>
        <s v="58901053R0" u="1"/>
        <s v="192933824G0" u="1"/>
        <s v="163003" u="1"/>
        <s v="1106200070" u="1"/>
        <s v="164003" u="1"/>
        <s v="76P925775" u="1"/>
        <s v="ANU400389" u="1"/>
        <s v="58901063R0" u="1"/>
        <s v="58931279R0" u="1"/>
        <s v="191216" u="1"/>
        <s v="191946988N0" u="1"/>
        <s v="ANU20944894" u="1"/>
        <s v="084100" u="1"/>
        <s v="166003" u="1"/>
        <s v="58920591C0" u="1"/>
        <s v="190966128F0" u="1"/>
        <s v="2084151264" u="1"/>
        <s v="58920068U0" u="1"/>
        <s v="085100" u="1"/>
        <s v="191943275N0" u="1"/>
        <s v="76P6710" u="1"/>
        <s v="76P926018" u="1"/>
        <s v="192943275N0" u="1"/>
        <s v="192944377V0" u="1"/>
        <s v="192402" u="1"/>
        <s v="270053" u="1"/>
        <s v="251054" u="1"/>
        <s v="76P926218" u="1"/>
        <s v="58901065Z0" u="1"/>
        <s v="58920955E7" u="1"/>
        <s v="192944490D8" u="1"/>
        <s v="311144" u="1"/>
        <s v="ANU567327" u="1"/>
        <s v="58901075Z0" u="1"/>
        <s v="58901109Z0" u="1"/>
        <s v="251240" u="1"/>
        <s v="191966147B0" u="1"/>
        <s v="ANU58920896F0" u="1"/>
        <s v="76P926418" u="1"/>
        <s v="58901085Z0" u="1"/>
        <s v="734123" u="1"/>
        <s v="586159" u="1"/>
        <s v="20582023" u="1"/>
        <s v="0490024" u="1"/>
        <s v="760084" u="1"/>
        <s v="58931020J0" u="1"/>
        <s v="58901177R0" u="1"/>
        <s v="56112419" u="1"/>
        <s v="76P926718" u="1"/>
        <s v="19966112V0" u="1"/>
        <s v="191947016D0" u="1"/>
        <s v="405447" u="1"/>
        <s v="567346" u="1"/>
        <s v="56112429" u="1"/>
        <s v="192933351F0" u="1"/>
        <s v="564094" u="1"/>
        <s v="06.124.0008" u="1"/>
        <s v="490843" u="1"/>
        <s v="30217836PU" u="1"/>
        <s v="191937179D0" u="1"/>
        <s v="58901169Z0" u="1"/>
        <s v="3330193262" u="1"/>
        <s v="58901179Z0" u="1"/>
        <s v="403381" u="1"/>
        <s v="569094" u="1"/>
        <s v="58920769C0" u="1"/>
        <s v="405381" u="1"/>
        <s v="19943197R0" u="1"/>
        <s v="58914534I0" u="1"/>
        <s v="192000242" u="1"/>
        <s v="65691100" u="1"/>
        <s v="20234780" u="1"/>
        <s v="192000342" u="1"/>
        <s v="20559765" u="1"/>
        <s v="56117060" u="1"/>
        <s v="192000442" u="1"/>
        <s v="192944962L0" u="1"/>
        <s v="ANU190642" u="1"/>
        <s v="710038" u="1"/>
        <s v="192000542" u="1"/>
        <s v="191001817NE" u="1"/>
        <s v="190935268L0" u="1"/>
        <s v="554046" u="1"/>
        <s v="30202193" u="1"/>
        <s v="76P924345" u="1"/>
        <s v="58931108Z0" u="1"/>
        <s v="557046" u="1"/>
        <s v="577045" u="1"/>
        <s v="ANU20933091" u="1"/>
        <s v="192001182" u="1"/>
        <s v="314244" u="1"/>
        <s v="191001282" u="1"/>
        <s v="192000942" u="1"/>
        <s v="191937138V0" u="1"/>
        <s v="H455C010" u="1"/>
        <s v="192001282" u="1"/>
        <s v="58931094Z0" u="1"/>
        <s v="312430" u="1"/>
        <s v="610070" u="1"/>
        <s v="190679" u="1"/>
        <s v="76P924645" u="1"/>
        <s v="58931166R0" u="1"/>
        <s v="564446" u="1"/>
        <s v="190966197N0" u="1"/>
        <s v="314430" u="1"/>
        <s v="760184" u="1"/>
        <s v="191916237N0" u="1"/>
        <s v="65767403" u="1"/>
        <s v="192943800Z0" u="1"/>
        <s v="65201021" u="1"/>
        <s v="C600A200" u="1"/>
        <s v="251769" u="1"/>
        <s v="20932026" u="1"/>
        <s v="76P924845" u="1"/>
        <s v="58931186R0" u="1"/>
        <s v="731838" u="1"/>
        <s v="65001051" u="1"/>
        <s v="766184" u="1"/>
        <s v="58920947F0" u="1"/>
        <s v="58931310E0" u="1"/>
        <s v="65001061" u="1"/>
        <s v="ANU20956925" u="1"/>
        <s v="95IB65254B" u="1"/>
        <s v="360007" u="1"/>
        <s v="192943828Z0" u="1"/>
        <s v="191001882" u="1"/>
        <s v="58920957F0" u="1"/>
        <s v="58931178Z0" u="1"/>
        <s v="191947013N0" u="1"/>
        <s v="403481" u="1"/>
        <s v="65001071" u="1"/>
        <s v="191946970N0" u="1"/>
        <s v="162017" u="1"/>
        <s v="191966059V7" u="1"/>
        <s v="405481" u="1"/>
        <s v="567380" u="1"/>
        <s v="30219957" u="1"/>
        <s v="165017" u="1"/>
        <s v="65722503" u="1"/>
        <s v="19916237N0" u="1"/>
        <s v="65357300" u="1"/>
        <s v="166017" u="1"/>
        <s v="76P926100" u="1"/>
        <s v="58920482S0" u="1"/>
        <s v="190966038F0" u="1"/>
        <s v="19916257N0" u="1"/>
        <s v="191966038F0" u="1"/>
        <s v="192416" u="1"/>
        <s v="270067" u="1"/>
        <s v="56127060" u="1"/>
        <s v="76P925885" u="1"/>
        <s v="58920592C0" u="1"/>
        <s v="190937476N0" u="1"/>
        <s v="600022" u="1"/>
        <s v="252506" u="1"/>
        <s v="20133599" u="1"/>
        <s v="19943044R0" u="1"/>
        <s v="192943285N0" u="1"/>
        <s v="422031" u="1"/>
        <s v="311158" u="1"/>
        <s v="0492799" u="1"/>
        <s v="ANU567137" u="1"/>
        <s v="191946239F0" u="1"/>
        <s v="76P926128" u="1"/>
        <s v="56127080" u="1"/>
        <s v="58901094R0" u="1"/>
        <s v="404032" u="1"/>
        <s v="405032" u="1"/>
        <s v="569995" u="1"/>
        <s v="71302800" u="1"/>
        <s v="58920956E7" u="1"/>
        <s v="76P926328" u="1"/>
        <s v="58901076Z0" u="1"/>
        <s v="192350" u="1"/>
        <s v="372341" u="1"/>
        <s v="192001074BL" u="1"/>
        <s v="760536" u="1"/>
        <s v="252440" u="1"/>
        <s v="760098" u="1"/>
        <s v="710072" u="1"/>
        <s v="311092" u="1"/>
        <s v="9789127" u="1"/>
        <s v="314092" u="1"/>
        <s v="734071" u="1"/>
        <s v="ANU20969613" u="1"/>
        <s v="490857" u="1"/>
        <s v="19966113V0" u="1"/>
        <s v="58901635P0" u="1"/>
        <s v="400395" u="1"/>
        <s v="766098" u="1"/>
        <s v="316092" u="1"/>
        <s v="20234711" u="1"/>
        <s v="310959" u="1"/>
        <s v="ANU564024" u="1"/>
        <s v="192965" u="1"/>
        <s v="403395" u="1"/>
        <s v="733938" u="1"/>
        <s v="567294" u="1"/>
        <s v="192933561F0" u="1"/>
        <s v="191946245L9" u="1"/>
        <s v="20944894" u="1"/>
        <s v="ANU191946966V0" u="1"/>
        <s v="20558307" u="1"/>
        <s v="19943198R0" u="1"/>
        <s v="087028" u="1"/>
        <s v="66911013" u="1"/>
        <s v="58931091J0" u="1"/>
        <s v="58931510P0" u="1"/>
        <s v="190078" u="1"/>
        <s v="700024" u="1"/>
        <s v="760021" u="1"/>
        <s v="192000352" u="1"/>
        <s v="19100185MO" u="1"/>
        <s v="58901362E0" u="1"/>
        <s v="58920780F0" u="1"/>
        <s v="192516" u="1"/>
        <s v="761021" u="1"/>
        <s v="192078" u="1"/>
        <s v="20138368" u="1"/>
        <s v="190935306N0" u="1"/>
        <s v="562031" u="1"/>
        <s v="20234791" u="1"/>
        <s v="192000452" u="1"/>
        <s v="58920790F0" u="1"/>
        <s v="192933789F0" u="1"/>
        <s v="190702" u="1"/>
        <s v="402132" u="1"/>
        <s v="76P900003" u="1"/>
        <s v="372255" u="1"/>
        <s v="9787601" u="1"/>
        <s v="766021" u="1"/>
        <s v="192933559Q0" u="1"/>
        <s v="66911063" u="1"/>
        <s v="58901426E0" u="1"/>
        <s v="58920006E0" u="1"/>
        <s v="58931165J0" u="1"/>
        <s v="768021" u="1"/>
        <s v="192000752" u="1"/>
        <s v="190935378L0" u="1"/>
        <s v="58920397H0" u="1"/>
        <s v="58931237B0" u="1"/>
        <s v="192001092" u="1"/>
        <s v="58931147R0" u="1"/>
        <s v="192001192" u="1"/>
        <s v="760198" u="1"/>
        <s v="1100300006" u="1"/>
        <s v="191001292" u="1"/>
        <s v="192000952" u="1"/>
        <s v="192933573Z0" u="1"/>
        <s v="192001292" u="1"/>
        <s v="9787605" u="1"/>
        <s v="65301002" u="1"/>
        <s v="20554864" u="1"/>
        <s v="58931229J0" u="1"/>
        <s v="76P924655" u="1"/>
        <s v="190966054L0" u="1"/>
        <s v="314192" u="1"/>
        <s v="ANU132010" u="1"/>
        <s v="192943810Z0" u="1"/>
        <s v="ANU30213011" u="1"/>
        <s v="58931177R0" u="1"/>
        <s v="191001592" u="1"/>
        <s v="76P924855" u="1"/>
        <s v="19937606N0" u="1"/>
        <s v="191937067R0" u="1"/>
        <s v="ANU166027" u="1"/>
        <s v="58901005R0" u="1"/>
        <s v="191001692" u="1"/>
        <s v="132004" u="1"/>
        <s v="58901053J0" u="1"/>
        <s v="58920948F0" u="1"/>
        <s v="58931311E0" u="1"/>
        <s v="405495" u="1"/>
        <s v="567394" u="1"/>
        <s v="191001892" u="1"/>
        <s v="58920958F0" u="1"/>
        <s v="58931179Z0" u="1"/>
        <s v="191916361W0" u="1"/>
        <s v="191946980N0" u="1"/>
        <s v="76P925495" u="1"/>
        <s v="58931189Z0" u="1"/>
        <s v="192944936Q0" u="1"/>
        <s v="76P969821" u="1"/>
        <s v="SS1000P-B3" u="1"/>
        <s v="19916238N0" u="1"/>
        <s v="490508" u="1"/>
        <s v="191966220F0" u="1"/>
        <s v="20969726" u="1"/>
        <s v="76P926110" u="1"/>
        <s v="191916947N0" u="1"/>
        <s v="080062" u="1"/>
        <s v="400046" u="1"/>
        <s v="460043" u="1"/>
        <s v="191966701J0" u="1"/>
        <s v="56127051" u="1"/>
        <s v="ANU192435" u="1"/>
        <s v="58901065R0" u="1"/>
        <s v="422045" u="1"/>
        <s v="760121" u="1"/>
        <s v="19966100F0" u="1"/>
        <s v="192933233N0" u="1"/>
        <s v="595002234" u="1"/>
        <s v="76P926310" u="1"/>
        <s v="58901075R0" u="1"/>
        <s v="192943195N0" u="1"/>
        <s v="404046" u="1"/>
        <s v="420231" u="1"/>
        <s v="65877300" u="1"/>
        <s v="58920112P0" u="1"/>
        <s v="251268" u="1"/>
        <s v="58901109R0" u="1"/>
        <s v="76P926038" u="1"/>
        <s v="76P926410" u="1"/>
        <s v="58901085R0" u="1"/>
        <s v="405232" u="1"/>
        <s v="30213637" u="1"/>
        <s v="550094" u="1"/>
        <s v="710086" u="1"/>
        <s v="ANU405377" u="1"/>
        <s v="19966140F0" u="1"/>
        <s v="76P926710" u="1"/>
        <s v="58931330D7" u="1"/>
        <s v="19966050V0" u="1"/>
        <s v="192933208L0" u="1"/>
        <s v="554094" u="1"/>
        <s v="734085" u="1"/>
        <s v="19943057Z0" u="1"/>
        <s v="58901097Z0" u="1"/>
        <s v="20PU370" u="1"/>
        <s v="192943795N0" u="1"/>
        <s v="20582025" u="1"/>
        <s v="58901169R0" u="1"/>
        <s v="557094" u="1"/>
        <s v="76P926638" u="1"/>
        <s v="760484" u="1"/>
        <s v="20PU371" u="1"/>
        <s v="58920244H0" u="1"/>
        <s v="58901179R0" u="1"/>
        <s v="191966181K0" u="1"/>
        <s v="582493" u="1"/>
        <s v="76P927078" u="1"/>
        <s v="ANU251694" u="1"/>
        <s v="58931032J0" u="1"/>
        <s v="20559663" u="1"/>
        <s v="76P926938" u="1"/>
        <s v="191966181K1" u="1"/>
        <s v="192933471F0" u="1"/>
        <s v="20PU374" u="1"/>
        <s v="192101" u="1"/>
        <s v="I610C000" u="1"/>
        <s v="20PU375" u="1"/>
        <s v="20558308" u="1"/>
        <s v="192933246D0" u="1"/>
        <s v="760035" u="1"/>
        <s v="20PU378" u="1"/>
        <s v="65587300" u="1"/>
        <s v="H315C000" u="1"/>
        <s v="402146" u="1"/>
        <s v="564045" u="1"/>
        <s v="760221" u="1"/>
        <s v="58920781F0" u="1"/>
        <s v="565045" u="1"/>
        <s v="ANU76P926317" u="1"/>
        <s v="190935316N0" u="1"/>
        <s v="58920791F0" u="1"/>
        <s v="ANU20961741" u="1"/>
        <s v="76P938255" u="1"/>
        <s v="190902" u="1"/>
        <s v="H155C100" u="1"/>
        <s v="191946293D8" u="1"/>
        <s v="403332" u="1"/>
        <s v="ANU76P926327" u="1"/>
        <s v="ANU192933520Z0" u="1"/>
        <s v="192464" u="1"/>
        <s v="490542" u="1"/>
        <s v="58931094R0" u="1"/>
        <s v="191937999D0" u="1"/>
        <s v="610098" u="1"/>
        <s v="ANU311096" u="1"/>
        <s v="ANU20961742" u="1"/>
        <s v="192933999F0" u="1"/>
        <s v="190966198R0" u="1"/>
        <s v="191937611Z0" u="1"/>
        <s v="314458" u="1"/>
        <s v="191966322C0" u="1"/>
        <s v="402080" u="1"/>
        <s v="76P924365" u="1"/>
        <s v="191946190N0" u="1"/>
        <s v="192933383Z0" u="1"/>
        <s v="569231" u="1"/>
        <s v="C100A400" u="1"/>
        <s v="C500A200" u="1"/>
        <s v="ANU20961743" u="1"/>
        <s v="192001005" u="1"/>
        <s v="192000962" u="1"/>
        <s v="191001854MO" u="1"/>
        <s v="20969613" u="1"/>
        <s v="192001105" u="1"/>
        <s v="ANU20961744" u="1"/>
        <s v="191001205" u="1"/>
        <s v="760584" u="1"/>
        <s v="192001205" u="1"/>
        <s v="191937101C0" u="1"/>
        <s v="192943820Z0" u="1"/>
        <s v="58931178R0" u="1"/>
        <s v="192933783Z0" u="1"/>
        <s v="111019" u="1"/>
        <s v="191015" u="1"/>
        <s v="80000271" u="1"/>
        <s v="191916357N0" u="1"/>
        <s v="132018" u="1"/>
        <s v="76P924865" u="1"/>
        <s v="19937607N0" u="1"/>
        <s v="251105" u="1"/>
        <s v="79051060" u="1"/>
        <s v="191001505" u="1"/>
        <s v="5610341825" u="1"/>
        <s v="191946790N0" u="1"/>
        <s v="20932048" u="1"/>
        <s v="58920949F0" u="1"/>
        <s v="58920006D7" u="1"/>
        <s v="30209732" u="1"/>
        <s v="080076" u="1"/>
        <s v="258105" u="1"/>
        <s v="H232C000" u="1"/>
        <s v="610021" u="1"/>
        <s v="9786880" u="1"/>
        <s v="76P926020" u="1"/>
        <s v="422059" u="1"/>
        <s v="9786881" u="1"/>
        <s v="20969727" u="1"/>
        <s v="76P926120" u="1"/>
        <s v="65497300" u="1"/>
        <s v="191966330F0" u="1"/>
        <s v="9786882" u="1"/>
        <s v="56127052" u="1"/>
        <s v="192933573C0" u="1"/>
        <s v="760321" u="1"/>
        <s v="T711C000" u="1"/>
        <s v="76P925608" u="1"/>
        <s v="ANU20927895" u="1"/>
        <s v="58901138J0" u="1"/>
        <s v="192378" u="1"/>
        <s v="76P926320" u="1"/>
        <s v="58901076R0" u="1"/>
        <s v="192933396P0" u="1"/>
        <s v="400432" u="1"/>
        <s v="766135" u="1"/>
        <s v="76P925708" u="1"/>
        <s v="252468" u="1"/>
        <s v="9786884" u="1"/>
        <s v="9788742" u="1"/>
        <s v="76P925808" u="1"/>
        <s v="VEC255CA" u="1"/>
        <s v="251654" u="1"/>
        <s v="400180" u="1"/>
        <s v="ANU567257" u="1"/>
        <s v="567331" u="1"/>
        <s v="734099" u="1"/>
        <s v="19966141F0" u="1"/>
        <s v="118800017000" u="1"/>
        <s v="402180" u="1"/>
        <s v="58920658C0" u="1"/>
        <s v="20973589" u="1"/>
        <s v="191947027H0" u="1"/>
        <s v="ANU20168029" u="1"/>
        <s v="ANU58906177W0" u="1"/>
        <s v="19966051V0" u="1"/>
        <s v="20973599" u="1"/>
        <s v="70000032" u="1"/>
        <s v="76P926448" u="1"/>
        <s v="20939581" u="1"/>
        <s v="ANU406002" u="1"/>
        <s v="19943058Z0" u="1"/>
        <s v="191937181D0" u="1"/>
        <s v="190115" u="1"/>
        <s v="1100800005" u="1"/>
        <s v="493007" u="1"/>
        <s v="76P962890" u="1"/>
        <s v="251205" u="1"/>
        <s v="ANU564044" u="1"/>
        <s v="30207068" u="1"/>
        <s v="76P963133" u="1"/>
        <s v="760049" u="1"/>
        <s v="710023" u="1"/>
        <s v="20558309" u="1"/>
        <s v="H233C000" u="1"/>
        <s v="2501054" u="1"/>
        <s v="192943590D0" u="1"/>
        <s v="ANU132008PU" u="1"/>
        <s v="760235" u="1"/>
        <s v="191937121Z0" u="1"/>
        <s v="20969510" u="1"/>
        <s v="56117043" u="1"/>
        <s v="400346" u="1"/>
        <s v="ANU58906342W0" u="1"/>
        <s v="2501056" u="1"/>
        <s v="190935270L0" u="1"/>
        <s v="190916" u="1"/>
        <s v="557031" u="1"/>
        <s v="20559758" u="1"/>
        <s v="58901364E0" u="1"/>
        <s v="58920782F0" u="1"/>
        <s v="2501057" u="1"/>
        <s v="403346" u="1"/>
        <s v="567245" u="1"/>
        <s v="190664" u="1"/>
        <s v="401094" u="1"/>
        <s v="191937140V0" u="1"/>
        <s v="58931095R0" u="1"/>
        <s v="192000672" u="1"/>
        <s v="251754" u="1"/>
        <s v="58920746V0" u="1"/>
        <s v="58931167J0" u="1"/>
        <s v="9787886" u="1"/>
        <s v="192000772" u="1"/>
        <s v="76P924375" u="1"/>
        <s v="ANU191015" u="1"/>
        <s v="58931177J0" u="1"/>
        <s v="04TRA206T" u="1"/>
        <s v="192943158Z0" u="1"/>
        <s v="192000872" u="1"/>
        <s v="76P924475" u="1"/>
        <s v="760598" u="1"/>
        <s v="192001015" u="1"/>
        <s v="590009" u="1"/>
        <s v="192000972" u="1"/>
        <s v="190966202N0" u="1"/>
        <s v="160002" u="1"/>
        <s v="65201004" u="1"/>
        <s v="ANU191215" u="1"/>
        <s v="58931259B0" u="1"/>
        <s v="190966355P0" u="1"/>
        <s v="192001115" u="1"/>
        <s v="592001114" u="1"/>
        <s v="191966355P0" u="1"/>
        <s v="58901468E0" u="1"/>
        <s v="58931164A7" u="1"/>
        <s v="191966705D8" u="1"/>
        <s v="192943830Z0" u="1"/>
        <s v="164002" u="1"/>
        <s v="58931179R0" u="1"/>
        <s v="192933793Z0" u="1"/>
        <s v="191215" u="1"/>
        <s v="58920896F0" u="1"/>
        <s v="0492645" u="1"/>
        <s v="166002" u="1"/>
        <s v="191001415" u="1"/>
        <s v="76P924875" u="1"/>
        <s v="19937608N0" u="1"/>
        <s v="58920068E0" u="1"/>
        <s v="167002" u="1"/>
        <s v="314209" u="1"/>
        <s v="76P6700" u="1"/>
        <s v="20224724" u="1"/>
        <s v="58912051" u="1"/>
        <s v="76P925018" u="1"/>
        <s v="76P924975" u="1"/>
        <s v="192401" u="1"/>
        <s v="76P6701" u="1"/>
        <s v="76P925118" u="1"/>
        <s v="270052" u="1"/>
        <s v="251053" u="1"/>
        <s v="192933183C0" u="1"/>
        <s v="760149" u="1"/>
        <s v="191947043N0" u="1"/>
        <s v="06.121.0015" u="1"/>
        <s v="ANU58920505V0" u="1"/>
        <s v="H224C000" u="1"/>
        <s v="311143" u="1"/>
        <s v="20969708" u="1"/>
        <s v="192943196R0" u="1"/>
        <s v="76P925318" u="1"/>
        <s v="58901075J0" u="1"/>
        <s v="192001058GR" u="1"/>
        <s v="191966140F0" u="1"/>
        <s v="76P6704" u="1"/>
        <s v="734122" u="1"/>
        <s v="191001915" u="1"/>
        <s v="20969728" u="1"/>
        <s v="400446" u="1"/>
        <s v="56127053" u="1"/>
        <s v="56249914" u="1"/>
        <s v="76P926230" u="1"/>
        <s v="760521" u="1"/>
        <s v="76P925618" u="1"/>
        <s v="760083" u="1"/>
        <s v="569159" u="1"/>
        <s v="76P926330" u="1"/>
        <s v="76P925718" u="1"/>
        <s v="400194" u="1"/>
        <s v="405446" u="1"/>
        <s v="20939542" u="1"/>
        <s v="191937739C0" u="1"/>
        <s v="192933783C0" u="1"/>
        <s v="402194" u="1"/>
        <s v="490842" u="1"/>
        <s v="76P925918" u="1"/>
        <s v="400380" u="1"/>
        <s v="766083" u="1"/>
        <s v="19966070N0" u="1"/>
        <s v="ANU490862" u="1"/>
        <s v="58901169J0" u="1"/>
        <s v="58912270Z0" u="1"/>
        <s v="192933553N0" u="1"/>
        <s v="19966080N0" u="1"/>
        <s v="58901179J0" u="1"/>
        <s v="403380" u="1"/>
        <s v="569093" u="1"/>
        <s v="260004" u="1"/>
        <s v="653045012" u="1"/>
        <s v="190129" u="1"/>
        <s v="19943059Z0" u="1"/>
        <s v="ANU20956099" u="1"/>
        <s v="ANU58931177Z0" u="1"/>
        <s v="D111E000" u="1"/>
        <s v="H111C000" u="1"/>
        <s v="76P926758" u="1"/>
        <s v="191947056D0" u="1"/>
        <s v="192943818N0" u="1"/>
        <s v="ANU58931178Z0" u="1"/>
        <s v="20944877" u="1"/>
        <s v="190063" u="1"/>
        <s v="710037" u="1"/>
        <s v="ANU360011" u="1"/>
        <s v="311057" u="1"/>
        <s v="9786255" u="1"/>
        <s v="58920733F0" u="1"/>
        <s v="9786256" u="1"/>
        <s v="554045" u="1"/>
        <s v="11114300" u="1"/>
        <s v="58931108J0" u="1"/>
        <s v="192933791F0" u="1"/>
        <s v="ANU569022" u="1"/>
        <s v="314243" u="1"/>
        <s v="65502300" u="1"/>
        <s v="20969511" u="1"/>
        <s v="65602300" u="1"/>
        <s v="H275C000" u="1"/>
        <s v="20PU587JUCU" u="1"/>
        <s v="192933561Q0" u="1"/>
        <s v="567259" u="1"/>
        <s v="190678" u="1"/>
        <s v="564445" u="1"/>
        <s v="192000382" u="1"/>
        <s v="58920783F0" u="1"/>
        <s v="191946953Z0" u="1"/>
        <s v="C600A100" u="1"/>
        <s v="190903577B0" u="1"/>
        <s v="ANU190682" u="1"/>
        <s v="C600A110" u="1"/>
        <s v="191966142C0" u="1"/>
        <s v="192943803D0" u="1"/>
        <s v="ANU165017" u="1"/>
        <s v="ANU192933521Z0" u="1"/>
        <s v="30209610" u="1"/>
        <s v="192000682" u="1"/>
        <s v="766183" u="1"/>
        <s v="58931168J0" u="1"/>
        <s v="30208201" u="1"/>
        <s v="ANU30212293" u="1"/>
        <s v="76P924385" u="1"/>
        <s v="191000882" u="1"/>
        <s v="58931178J0" u="1"/>
        <s v="403480" u="1"/>
        <s v="162016" u="1"/>
        <s v="76P924485" u="1"/>
        <s v="ANU192933246D0" u="1"/>
        <s v="405480" u="1"/>
        <s v="192001025" u="1"/>
        <s v="192000982" u="1"/>
        <s v="ANU403427" u="1"/>
        <s v="ANU191225" u="1"/>
        <s v="192933406Z0" u="1"/>
        <s v="192001125" u="1"/>
        <s v="251319" u="1"/>
        <s v="H112C000" u="1"/>
        <s v="76P924785" u="1"/>
        <s v="192415" u="1"/>
        <s v="270066" u="1"/>
        <s v="19937609N0" u="1"/>
        <s v="600021" u="1"/>
        <s v="252505" u="1"/>
        <s v="590143" u="1"/>
        <s v="191001525" u="1"/>
        <s v="76P924985" u="1"/>
        <s v="76P925400" u="1"/>
        <s v="422030" u="1"/>
        <s v="58931280E0" u="1"/>
        <s v="311157" u="1"/>
        <s v="191937049C0" u="1"/>
        <s v="20552069" u="1"/>
        <s v="76P925128" u="1"/>
        <s v="251253" u="1"/>
        <s v="760349" u="1"/>
        <s v="569994" u="1"/>
        <s v="191001725" u="1"/>
        <s v="58920899N0" u="1"/>
        <s v="ANU192933571Z0" u="1"/>
        <s v="20969709" u="1"/>
        <s v="76P925328" u="1"/>
        <s v="65312300" u="1"/>
        <s v="190943100N0" u="1"/>
        <s v="76P926040" u="1"/>
        <s v="760535" u="1"/>
        <s v="760097" u="1"/>
        <s v="191001925" u="1"/>
        <s v="710071" u="1"/>
        <s v="311091" u="1"/>
        <s v="76P925528" u="1"/>
        <s v="20PU473JUL" u="1"/>
        <s v="190778" u="1"/>
        <s v="56127054" u="1"/>
        <s v="58920586C0" u="1"/>
        <s v="31305" u="1"/>
        <s v="760283" u="1"/>
        <s v="764097" u="1"/>
        <s v="734070" u="1"/>
        <s v="490856" u="1"/>
        <s v="76P925728" u="1"/>
        <s v="400394" u="1"/>
        <s v="192933210L0" u="1"/>
        <s v="316091" u="1"/>
        <s v="76P926068" u="1"/>
        <s v="58912251Z0" u="1"/>
        <s v="310958" u="1"/>
        <s v="ANU76P925850" u="1"/>
        <s v="313958" u="1"/>
        <s v="733937" u="1"/>
        <s v="19966071N0" u="1"/>
        <s v="58920207H0" u="1"/>
        <s v="9786390" u="1"/>
        <s v="191966695E7" u="1"/>
        <s v="ANU567377" u="1"/>
        <s v="19966081N0" u="1"/>
        <s v="76P926368" u="1"/>
        <s v="283017" u="1"/>
        <s v="490790" u="1"/>
        <s v="ANU20204328" u="1"/>
        <s v="76P926940" u="1"/>
        <s v="58920632N0" u="1"/>
        <s v="191937004D0" u="1"/>
        <s v="252419" u="1"/>
        <s v="H113C000" u="1"/>
        <s v="ANU567777" u="1"/>
        <s v="760020" u="1"/>
        <s v="118708114601" u="1"/>
        <s v="192515" u="1"/>
        <s v="490155" u="1"/>
        <s v="562030" u="1"/>
        <s v="BR10C000" u="1"/>
        <s v="58920690F0" u="1"/>
        <s v="190701" u="1"/>
        <s v="763020" u="1"/>
        <s v="20944878" u="1"/>
        <s v="20954660" u="1"/>
        <s v="191001829VE" u="1"/>
        <s v="192001067NE" u="1"/>
        <s v="58920734F0" u="1"/>
        <s v="766020" u="1"/>
        <s v="118808026300" u="1"/>
        <s v="405131" u="1"/>
        <s v="768020" u="1"/>
        <s v="ANU58931261G0" u="1"/>
        <s v="ANU58931259C0" u="1"/>
        <s v="314443" u="1"/>
        <s v="760197" u="1"/>
        <s v="37938119O0" u="1"/>
        <s v="38T615A100" u="1"/>
        <s v="20969512" u="1"/>
        <s v="192933476D0" u="1"/>
        <s v="ANU256892" u="1"/>
        <s v="20234785" u="1"/>
        <s v="06.149.0011" u="1"/>
        <s v="190966052C0" u="1"/>
        <s v="314191" u="1"/>
        <s v="766197" u="1"/>
        <s v="190966203R0" u="1"/>
        <s v="132003" u="1"/>
        <s v="405494" u="1"/>
        <s v="567393" u="1"/>
        <s v="30208202" u="1"/>
        <s v="79401169" u="1"/>
        <s v="192000792" u="1"/>
        <s v="ANU310986" u="1"/>
        <s v="58931179J0" u="1"/>
        <s v="58931221E0" u="1"/>
        <s v="30214862" u="1"/>
        <s v="58920768V0" u="1"/>
        <s v="191946951F8" u="1"/>
        <s v="085127" u="1"/>
        <s v="192001035" u="1"/>
        <s v="192000992" u="1"/>
        <s v="191001135" u="1"/>
        <s v="76P925010" u="1"/>
        <s v="192001135" u="1"/>
        <s v="192429" u="1"/>
        <s v="490507" u="1"/>
        <s v="192943750Z0" u="1"/>
        <s v="460042" u="1"/>
        <s v="192933401" u="1"/>
        <s v="192001235" u="1"/>
        <s v="252519" u="1"/>
        <s v="401045" u="1"/>
        <s v="ANU30216627P" u="1"/>
        <s v="422044" u="1"/>
        <s v="760120" u="1"/>
        <s v="192904192Z0" u="1"/>
        <s v="76P924895" u="1"/>
        <s v="085061" u="1"/>
        <s v="20543262" u="1"/>
        <s v="191001535" u="1"/>
        <s v="402231" u="1"/>
        <s v="764120" u="1"/>
        <s v="191937059C0" u="1"/>
        <s v="58931315E0" u="1"/>
        <s v="250453" u="1"/>
        <s v="766120" u="1"/>
        <s v="557159" u="1"/>
        <s v="567130" u="1"/>
        <s v="252453" u="1"/>
        <s v="710085" u="1"/>
        <s v="3330209285" u="1"/>
        <s v="191966060F0" u="1"/>
        <s v="ANU090005" u="1"/>
        <s v="58920557C0" u="1"/>
        <s v="191937201N0" u="1"/>
        <s v="65332300" u="1"/>
        <s v="191001835" u="1"/>
        <s v="19966050F0" u="1"/>
        <s v="192943163P0" u="1"/>
        <s v="76P9000022" u="1"/>
        <s v="192933206C0" u="1"/>
        <s v="192933376D8" u="1"/>
        <s v="191001935" u="1"/>
        <s v="554093" u="1"/>
        <s v="734084" u="1"/>
        <s v="76P926150" u="1"/>
        <s v="76P925538" u="1"/>
        <s v="56127055" u="1"/>
        <s v="58920587C0" u="1"/>
        <s v="557093" u="1"/>
        <s v="760483" u="1"/>
        <s v="190933420L0" u="1"/>
        <s v="58901941V0" u="1"/>
        <s v="582109" u="1"/>
        <s v="192100" u="1"/>
        <s v="58912272Z0" u="1"/>
        <s v="58920631F0" u="1"/>
        <s v="58931429E0" u="1"/>
        <s v="192935296Z0" u="1"/>
        <s v="ANU567387" u="1"/>
        <s v="58901223E0" u="1"/>
        <s v="0460720B" u="1"/>
        <s v="586109" u="1"/>
        <s v="20PU366" u="1"/>
        <s v="20559627" u="1"/>
        <s v="76P927090" u="1"/>
        <s v="76P926478" u="1"/>
        <s v="20PU367" u="1"/>
        <s v="760034" u="1"/>
        <s v="490607" u="1"/>
        <s v="20PU368" u="1"/>
        <s v="20168030" u="1"/>
        <s v="191946789F0" u="1"/>
        <s v="400145" u="1"/>
        <s v="ANU30213793PU" u="1"/>
        <s v="402145" u="1"/>
        <s v="564044" u="1"/>
        <s v="565044" u="1"/>
        <s v="ANU58914457M0" u="1"/>
        <s v="586043" u="1"/>
        <s v="0421295" u="1"/>
        <s v="250103652" u="1"/>
        <s v="58920691F0" u="1"/>
        <s v="190901" u="1"/>
        <s v="ANU30213464" u="1"/>
        <s v="0421296" u="1"/>
        <s v="58920278H0" u="1"/>
        <s v="403331" u="1"/>
        <s v="76P962923" u="1"/>
        <s v="610097" u="1"/>
        <s v="191937186B0" u="1"/>
        <s v="405331" u="1"/>
        <s v="314457" u="1"/>
        <s v="ANU30213465" u="1"/>
        <s v="569230" u="1"/>
        <s v="20553292" u="1"/>
        <s v="C300A200" u="1"/>
        <s v="C500A100" u="1"/>
        <s v="65342300" u="1"/>
        <s v="65442300" u="1"/>
        <s v="ANU190105" u="1"/>
        <s v="192943804H0" u="1"/>
        <s v="760397" u="1"/>
        <s v="20969513" u="1"/>
        <s v="192943523D0" u="1"/>
        <s v="0433158" u="1"/>
        <s v="191947016Z0" u="1"/>
        <s v="ANU76P942741" u="1"/>
        <s v="760583" u="1"/>
        <s v="191946973Z0" u="1"/>
        <s v="111018" u="1"/>
        <s v="191014" u="1"/>
        <s v="58931535P0" u="1"/>
        <s v="192943160Z0" u="1"/>
        <s v="132017" u="1"/>
        <s v="30214823" u="1"/>
        <s v="2500040" u="1"/>
        <s v="191946792V0" u="1"/>
        <s v="ANU76P926329" u="1"/>
        <s v="20PU700" u="1"/>
        <s v="ANU191045" u="1"/>
        <s v="20PU701" u="1"/>
        <s v="76P924208" u="1"/>
        <s v="58931222E0" u="1"/>
        <s v="080075" u="1"/>
        <s v="258104" u="1"/>
        <s v="20PU702" u="1"/>
        <s v="76P924308" u="1"/>
        <s v="192001045" u="1"/>
        <s v="190629" u="1"/>
        <s v="65201007" u="1"/>
        <s v="192000805" u="1"/>
        <s v="76P925020" u="1"/>
        <s v="1100100078" u="1"/>
        <s v="422058" u="1"/>
        <s v="20PU703" u="1"/>
        <s v="65762403" u="1"/>
        <s v="192001145" u="1"/>
        <s v="38T314A000" u="1"/>
        <s v="76P925120" u="1"/>
        <s v="404059" u="1"/>
        <s v="20PU704" u="1"/>
        <s v="30213464" u="1"/>
        <s v="192933526Z0" u="1"/>
        <s v="30209662" u="1"/>
        <s v="192001245" u="1"/>
        <s v="192933194G0" u="1"/>
        <s v="191966007L0" u="1"/>
        <s v="ANU30208452P" u="1"/>
        <s v="192377" u="1"/>
        <s v="191001445" u="1"/>
        <s v="58920494C0" u="1"/>
        <s v="400431" u="1"/>
        <s v="567144" u="1"/>
        <s v="30173491" u="1"/>
        <s v="95IB78232" u="1"/>
        <s v="252467" u="1"/>
        <s v="76P925420" u="1"/>
        <s v="I609C000" u="1"/>
        <s v="192943788Z0" u="1"/>
        <s v="192944919F0" u="1"/>
        <s v="403431" u="1"/>
        <s v="20559470" u="1"/>
        <s v="191001645" u="1"/>
        <s v="76P925520" u="1"/>
        <s v="76P924908" u="1"/>
        <s v="251653" u="1"/>
        <s v="37908910S0" u="1"/>
        <s v="567330" u="1"/>
        <s v="191001745" u="1"/>
        <s v="76P925620" u="1"/>
        <s v="734098" u="1"/>
        <s v="76P925348" u="1"/>
        <s v="65352300" u="1"/>
        <s v="191001845" u="1"/>
        <s v="76P926060" u="1"/>
        <s v="37908930S0" u="1"/>
        <s v="192933216C0" u="1"/>
        <s v="760497" u="1"/>
        <s v="79051138" u="1"/>
        <s v="191966370F0" u="1"/>
        <s v="192933183N0" u="1"/>
        <s v="2516198" u="1"/>
        <s v="20918107" u="1"/>
        <s v="56127056" u="1"/>
        <s v="79051148" u="1"/>
        <s v="ANU192485" u="1"/>
        <s v="58920588C0" u="1"/>
        <s v="58931261D7" u="1"/>
        <s v="190114" u="1"/>
        <s v="2516199" u="1"/>
        <s v="79252567" u="1"/>
        <s v="493006" u="1"/>
        <s v="251204" u="1"/>
        <s v="76P925848" u="1"/>
        <s v="ANU567197" u="1"/>
        <s v="191946241Q0" u="1"/>
        <s v="192943578C0" u="1"/>
        <s v="76P926188" u="1"/>
        <s v="76P926560" u="1"/>
        <s v="06.020.0014" u="1"/>
        <s v="191937539N0" u="1"/>
        <s v="20939565" u="1"/>
        <s v="58920570N0" u="1"/>
        <s v="ANU567397" u="1"/>
        <s v="760048" u="1"/>
        <s v="58912188" u="1"/>
        <s v="76P926388" u="1"/>
        <s v="ANU30213637" u="1"/>
        <s v="710022" u="1"/>
        <s v="76P926760" u="1"/>
        <s v="192943820N0" u="1"/>
        <s v="760234" u="1"/>
        <s v="58901244E0" u="1"/>
        <s v="58920562V0" u="1"/>
        <s v="734021" u="1"/>
        <s v="58920572V0" u="1"/>
        <s v="190915" u="1"/>
        <s v="76P926788" u="1"/>
        <s v="ANU192944491P0" u="1"/>
        <s v="403345" u="1"/>
        <s v="20234693" u="1"/>
        <s v="58920692F0" u="1"/>
        <s v="405345" u="1"/>
        <s v="567244" u="1"/>
        <s v="190937477F0" u="1"/>
        <s v="190663" u="1"/>
        <s v="401093" u="1"/>
        <s v="251753" u="1"/>
        <s v="567430" u="1"/>
        <s v="3330209654" u="1"/>
        <s v="65362300" u="1"/>
        <s v="20969504" u="1"/>
        <s v="ANU190115" u="1"/>
        <s v="58931506P0" u="1"/>
        <s v="760597" u="1"/>
        <s v="ANU191001510" u="1"/>
        <s v="590008" u="1"/>
        <s v="20969514" u="1"/>
        <s v="65862300" u="1"/>
        <s v="79252340" u="1"/>
        <s v="191947026Z0" u="1"/>
        <s v="192000215" u="1"/>
        <s v="65718510" u="1"/>
        <s v="191966072C0" u="1"/>
        <s v="191214" u="1"/>
        <s v="166001" u="1"/>
        <s v="2084151263" u="1"/>
        <s v="167001" u="1"/>
        <s v="314208" u="1"/>
        <s v="080089" u="1"/>
        <s v="192400" u="1"/>
        <s v="191937996B0" u="1"/>
        <s v="191966323R0" u="1"/>
        <s v="270051" u="1"/>
        <s v="610034" u="1"/>
        <s v="191000615" u="1"/>
        <s v="251052" u="1"/>
        <s v="20PU674JU" u="1"/>
        <s v="550130" u="1"/>
        <s v="311142" u="1"/>
        <s v="192000715" u="1"/>
        <s v="76P938508" u="1"/>
        <s v="58901809S0" u="1"/>
        <s v="190829" u="1"/>
        <s v="313142" u="1"/>
        <s v="20969618" u="1"/>
        <s v="192000815" u="1"/>
        <s v="760334" u="1"/>
        <s v="30214874" u="1"/>
        <s v="734121" u="1"/>
        <s v="192001155" u="1"/>
        <s v="403259" u="1"/>
        <s v="191937051C0" u="1"/>
        <s v="400445" u="1"/>
        <s v="30213465" u="1"/>
        <s v="76P924518" u="1"/>
        <s v="192933536Z0" u="1"/>
        <s v="192001255" u="1"/>
        <s v="58920409S0" u="1"/>
        <s v="76P924618" u="1"/>
        <s v="190935251D0" u="1"/>
        <s v="760082" u="1"/>
        <s v="3330216419" u="1"/>
        <s v="58920495C0" u="1"/>
        <s v="76P924718" u="1"/>
        <s v="191946820A0" u="1"/>
        <s v="405445" u="1"/>
        <s v="567344" u="1"/>
        <s v="310757" u="1"/>
        <s v="76P924818" u="1"/>
        <s v="58931283E0" u="1"/>
        <s v="402193" u="1"/>
        <s v="584091" u="1"/>
        <s v="192001068RO" u="1"/>
        <s v="192943798Z0" u="1"/>
        <s v="76P925158" u="1"/>
        <s v="403193" u="1"/>
        <s v="490841" u="1"/>
        <s v="76P925530" u="1"/>
        <s v="76P924918" u="1"/>
        <s v="255667" u="1"/>
        <s v="ANU58920006R0" u="1"/>
        <s v="58912270J0" u="1"/>
        <s v="191001755" u="1"/>
        <s v="76P925630" u="1"/>
        <s v="56112249" u="1"/>
        <s v="768082" u="1"/>
        <s v="3330193261" u="1"/>
        <s v="30209757" u="1"/>
        <s v="75CL1620L07" u="1"/>
        <s v="190128" u="1"/>
        <s v="19966062F0" u="1"/>
        <s v="191937049N0" u="1"/>
        <s v="1100900072" u="1"/>
        <s v="76P925558" u="1"/>
        <s v="76P926270" u="1"/>
        <s v="58920489S0" u="1"/>
        <s v="58920589C0" u="1"/>
        <s v="251218" u="1"/>
        <s v="583608RO" u="1"/>
        <s v="76P925858" u="1"/>
        <s v="192943158N0" u="1"/>
        <s v="192933493N0" u="1"/>
        <s v="190062" u="1"/>
        <s v="710036" u="1"/>
        <s v="76P926398" u="1"/>
        <s v="400359" u="1"/>
        <s v="11114200" u="1"/>
        <s v="2500522" u="1"/>
        <s v="557044" u="1"/>
        <s v="ANU251257" u="1"/>
        <s v="191001831VE" u="1"/>
        <s v="314242" u="1"/>
        <s v="192929" u="1"/>
        <s v="403359" u="1"/>
        <s v="191966092Z0" u="1"/>
        <s v="9786249" u="1"/>
        <s v="567258" u="1"/>
        <s v="190677" u="1"/>
        <s v="564444" u="1"/>
        <s v="760620" u="1"/>
        <s v="490755" u="1"/>
        <s v="C400A100" u="1"/>
        <s v="C600A000" u="1"/>
        <s v="58920693F0" u="1"/>
        <s v="251767" u="1"/>
        <s v="2516670" u="1"/>
        <s v="58920627V0" u="1"/>
        <s v="731836" u="1"/>
        <s v="2516671" u="1"/>
        <s v="58931100E0" u="1"/>
        <s v="C600A020" u="1"/>
        <s v="766182" u="1"/>
        <s v="2516672" u="1"/>
        <s v="58901329E0" u="1"/>
        <s v="2516673" u="1"/>
        <s v="30218328" u="1"/>
        <s v="2516674" u="1"/>
        <s v="58931130E0" u="1"/>
        <s v="79401088" u="1"/>
        <s v="191937171Z0" u="1"/>
        <s v="20969515" u="1"/>
        <s v="2516675" u="1"/>
        <s v="165015" u="1"/>
        <s v="20969491" u="1"/>
        <s v="H720D000" u="1"/>
        <s v="166015" u="1"/>
        <s v="65882300" u="1"/>
        <s v="ANU252497" u="1"/>
        <s v="251318" u="1"/>
        <s v="2516676" u="1"/>
        <s v="3330196092" u="1"/>
        <s v="58901311P0" u="1"/>
        <s v="191946993Z0" u="1"/>
        <s v="2516677" u="1"/>
        <s v="191937099Z0" u="1"/>
        <s v="192414" u="1"/>
        <s v="312408" u="1"/>
        <s v="270065" u="1"/>
        <s v="600020" u="1"/>
        <s v="491054" u="1"/>
        <s v="252504" u="1"/>
        <s v="311156" u="1"/>
        <s v="251252" u="1"/>
        <s v="760348" u="1"/>
        <s v="569993" u="1"/>
        <s v="T421C000" u="1"/>
        <s v="ANU311159" u="1"/>
        <s v="80000247" u="1"/>
        <s v="192933346Z0" u="1"/>
        <s v="01826982" u="1"/>
        <s v="557144" u="1"/>
        <s v="20969619" u="1"/>
        <s v="65201009" u="1"/>
        <s v="760534" u="1"/>
        <s v="403459" u="1"/>
        <s v="710070" u="1"/>
        <s v="191937061C0" u="1"/>
        <s v="490669" u="1"/>
        <s v="192000925" u="1"/>
        <s v="311090" u="1"/>
        <s v="80000267" u="1"/>
        <s v="192933546Z0" u="1"/>
        <s v="192001265" u="1"/>
        <s v="567358" u="1"/>
        <s v="58931264E0" u="1"/>
        <s v="764096" u="1"/>
        <s v="58920400V0" u="1"/>
        <s v="490855" u="1"/>
        <s v="400393" u="1"/>
        <s v="316090" u="1"/>
        <s v="58931308E0" u="1"/>
        <s v="310957" u="1"/>
        <s v="ANU562024" u="1"/>
        <s v="403393" u="1"/>
        <s v="76P925540" u="1"/>
        <s v="733936" u="1"/>
        <s v="9786380" u="1"/>
        <s v="58912181Z0" u="1"/>
        <s v="30219530" u="1"/>
        <s v="192943421R0" u="1"/>
        <s v="192933384R0" u="1"/>
        <s v="76P925468" u="1"/>
        <s v="65267100" u="1"/>
        <s v="H521D100" u="1"/>
        <s v="H721D000" u="1"/>
        <s v="191966038E7" u="1"/>
        <s v="76P925668" u="1"/>
        <s v="252418" u="1"/>
        <s v="720021" u="1"/>
        <s v="900012" u="1"/>
        <s v="ANU30212613P" u="1"/>
        <s v="192514" u="1"/>
        <s v="76P926480" u="1"/>
        <s v="37908972S0" u="1"/>
        <s v="190935029Z0" u="1"/>
        <s v="ID32I120" u="1"/>
        <s v="190700" u="1"/>
        <s v="601120" u="1"/>
        <s v="734049" u="1"/>
        <s v="76P925968" u="1"/>
        <s v="191946791F0" u="1"/>
        <s v="583709" u="1"/>
        <s v="20939567" u="1"/>
        <s v="191001812CA" u="1"/>
        <s v="575243" u="1"/>
        <s v="58920654F0" u="1"/>
        <s v="760634" u="1"/>
        <s v="314442" u="1"/>
        <s v="760196" u="1"/>
        <s v="1100300005" u="1"/>
        <s v="58920708F0" u="1"/>
        <s v="58931029J0" u="1"/>
        <s v="760382" u="1"/>
        <s v="65787203" u="1"/>
        <s v="58920718F0" u="1"/>
        <s v="01.024.0009" u="1"/>
        <s v="192943009F0" u="1"/>
        <s v="ANU192001060AZ" u="1"/>
        <s v="560009" u="1"/>
        <s v="403493" u="1"/>
        <s v="5511448" u="1"/>
        <s v="ID203002" u="1"/>
        <s v="132002" u="1"/>
        <s v="405493" u="1"/>
        <s v="191001857BL" u="1"/>
        <s v="166029" u="1"/>
        <s v="20969506" u="1"/>
        <s v="58931089J0" u="1"/>
        <s v="79401089" u="1"/>
        <s v="ANU191001511" u="1"/>
        <s v="568009" u="1"/>
        <s v="191916942Z0" u="1"/>
        <s v="H522D100" u="1"/>
        <s v="H722D000" u="1"/>
        <s v="192428" u="1"/>
        <s v="490506" u="1"/>
        <s v="20953329" u="1"/>
        <s v="191966705Z0" u="1"/>
        <s v="270079" u="1"/>
        <s v="400044" u="1"/>
        <s v="420043" u="1"/>
        <s v="460041" u="1"/>
        <s v="20234789" u="1"/>
        <s v="3330196192" u="1"/>
        <s v="422043" u="1"/>
        <s v="30213407" u="1"/>
        <s v="76P924410" u="1"/>
        <s v="ANU190635" u="1"/>
        <s v="19100185RMO" u="1"/>
        <s v="402230" u="1"/>
        <s v="192000535" u="1"/>
        <s v="76P924510" u="1"/>
        <s v="557158" u="1"/>
        <s v="760548" u="1"/>
        <s v="76P924238" u="1"/>
        <s v="252452" u="1"/>
        <s v="550092" u="1"/>
        <s v="58901362P0" u="1"/>
        <s v="191916355P0" u="1"/>
        <s v="192001075" u="1"/>
        <s v="191916302N0" u="1"/>
        <s v="ANU30218328" u="1"/>
        <s v="0428292" u="1"/>
        <s v="192001175" u="1"/>
        <s v="554092" u="1"/>
        <s v="734083" u="1"/>
        <s v="192943790Z0" u="1"/>
        <s v="192944921F0" u="1"/>
        <s v="490869" u="1"/>
        <s v="192000935" u="1"/>
        <s v="766548" u="1"/>
        <s v="58931255E0" u="1"/>
        <s v="192001275" u="1"/>
        <s v="557092" u="1"/>
        <s v="6115202" u="1"/>
        <s v="76P924638" u="1"/>
        <s v="191966037L0" u="1"/>
        <s v="ANU58901426E0" u="1"/>
        <s v="76P925350" u="1"/>
        <s v="20544709" u="1"/>
        <s v="76P924738" u="1"/>
        <s v="191947036C0" u="1"/>
        <s v="76P925078" u="1"/>
        <s v="58931309E0" u="1"/>
        <s v="58920064H0" u="1"/>
        <s v="191937041N0" u="1"/>
        <s v="191001675" u="1"/>
        <s v="190966337L0" u="1"/>
        <s v="ANU20561588" u="1"/>
        <s v="76P959467" u="1"/>
        <s v="58920531F0" u="1"/>
        <s v="76P925650" u="1"/>
        <s v="ANU30214775" u="1"/>
        <s v="564109" u="1"/>
        <s v="76P925378" u="1"/>
        <s v="ANU20212145" u="1"/>
        <s v="191001875" u="1"/>
        <s v="76P926090" u="1"/>
        <s v="ANU191937090F0" u="1"/>
        <s v="76P925478" u="1"/>
        <s v="567109" u="1"/>
        <s v="30209759" u="1"/>
        <s v="76P925850" u="1"/>
        <s v="ANU30214776" u="1"/>
        <s v="191966103F0" u="1"/>
        <s v="760033" u="1"/>
        <s v="76P925578" u="1"/>
        <s v="76P959767" u="1"/>
        <s v="192933346C0" u="1"/>
        <s v="191937541N0" u="1"/>
        <s v="400144" u="1"/>
        <s v="562043" u="1"/>
        <s v="58920505V0" u="1"/>
        <s v="76P926390" u="1"/>
        <s v="ANU567202" u="1"/>
        <s v="564043" u="1"/>
        <s v="65687100" u="1"/>
        <s v="ANU192418" u="1"/>
        <s v="58931279U0" u="1"/>
        <s v="30219571" u="1"/>
        <s v="ANU76P926217" u="1"/>
        <s v="ANU567302" u="1"/>
        <s v="191937741N0" u="1"/>
        <s v="192933216N0" u="1"/>
        <s v="400330" u="1"/>
        <s v="586042" u="1"/>
        <s v="766033" u="1"/>
        <s v="768033" u="1"/>
        <s v="192943278N0" u="1"/>
        <s v="403330" u="1"/>
        <s v="569043" u="1"/>
        <s v="192462" u="1"/>
        <s v="37908993S0" u="1"/>
        <s v="610096" u="1"/>
        <s v="19966048V0" u="1"/>
        <s v="191916940F0" u="1"/>
        <s v="314456" u="1"/>
        <s v="20939578" u="1"/>
        <s v="C100A200" u="1"/>
        <s v="192904192N0" u="1"/>
        <s v="760396" u="1"/>
        <s v="9787727" u="1"/>
        <s v="ANU20961734" u="1"/>
        <s v="583719CE" u="1"/>
        <s v="190966115Z0" u="1"/>
        <s v="302126131" u="1"/>
        <s v="111017" u="1"/>
        <s v="250103692" u="1"/>
        <s v="191947019D0" u="1"/>
        <s v="132016" u="1"/>
        <s v="192943019F0" u="1"/>
        <s v="192933354F0" u="1"/>
        <s v="2500031" u="1"/>
        <s v="ID203003" u="1"/>
        <s v="20553296" u="1"/>
        <s v="H450D100" u="1"/>
        <s v="H460D100" u="1"/>
        <s v="20969507" u="1"/>
        <s v="080074" u="1"/>
        <s v="258103" u="1"/>
        <s v="567209" u="1"/>
        <s v="192000045" u="1"/>
        <s v="37938070R0" u="1"/>
        <s v="190628" u="1"/>
        <s v="20939301" u="1"/>
        <s v="422057" u="1"/>
        <s v="760133" u="1"/>
        <s v="30213354" u="1"/>
        <s v="38T313A000" u="1"/>
        <s v="ANU20944421" u="1"/>
        <s v="251718" u="1"/>
        <s v="420243" u="1"/>
        <s v="191947056Z0" u="1"/>
        <s v="192000245" u="1"/>
        <s v="405058" u="1"/>
        <s v="192000345" u="1"/>
        <s v="192376" u="1"/>
        <s v="ANU20944422" u="1"/>
        <s v="400430" u="1"/>
        <s v="766133" u="1"/>
        <s v="ANU20961739" u="1"/>
        <s v="ANU190645" u="1"/>
        <s v="710098" u="1"/>
        <s v="76P940191" u="1"/>
        <s v="403430" u="1"/>
        <s v="76P924520" u="1"/>
        <s v="251652" u="1"/>
        <s v="405430" u="1"/>
        <s v="191966072N0" u="1"/>
        <s v="734097" u="1"/>
        <s v="192000745" u="1"/>
        <s v="58912241B0" u="1"/>
        <s v="20PU490" u="1"/>
        <s v="192001085" u="1"/>
        <s v="ANU258100" u="1"/>
        <s v="58912151R0" u="1"/>
        <s v="76P924448" u="1"/>
        <s v="192001185" u="1"/>
        <s v="30173465" u="1"/>
        <s v="192000945" u="1"/>
        <s v="192001285" u="1"/>
        <s v="ANU58906168W0" u="1"/>
        <s v="30212613PU" u="1"/>
        <s v="190113" u="1"/>
        <s v="ANU132003" u="1"/>
        <s v="253017" u="1"/>
        <s v="493005" u="1"/>
        <s v="76P925088" u="1"/>
        <s v="251203" u="1"/>
        <s v="76P924848" u="1"/>
        <s v="191937051N0" u="1"/>
        <s v="ANU58920326V0" u="1"/>
        <s v="191937007P0" u="1"/>
        <s v="583719VE" u="1"/>
        <s v="ANU20545271" u="1"/>
        <s v="191001785" u="1"/>
        <s v="76P925660" u="1"/>
        <s v="256203" u="1"/>
        <s v="760047" u="1"/>
        <s v="H451D100" u="1"/>
        <s v="76P925388" u="1"/>
        <s v="710021" u="1"/>
        <s v="ANU192400" u="1"/>
        <s v="191947016N0" u="1"/>
        <s v="192933251P0" u="1"/>
        <s v="H461D100" u="1"/>
        <s v="20PU498" u="1"/>
        <s v="37908934S0" u="1"/>
        <s v="400158" u="1"/>
        <s v="562057" u="1"/>
        <s v="567309" u="1"/>
        <s v="76P925860" u="1"/>
        <s v="192943160N0" u="1"/>
        <s v="58901906V0" u="1"/>
        <s v="313041" u="1"/>
        <s v="20PU499" u="1"/>
        <s v="402158" u="1"/>
        <s v="76P925588" u="1"/>
        <s v="490806" u="1"/>
        <s v="76P926103" u="1"/>
        <s v="9789720" u="1"/>
        <s v="768047" u="1"/>
        <s v="ANU192428" u="1"/>
        <s v="30219572" u="1"/>
        <s v="403344" u="1"/>
        <s v="19966095F0" u="1"/>
        <s v="38T121A020" u="1"/>
        <s v="190937479N0" u="1"/>
        <s v="567243" u="1"/>
        <s v="ANU405442" u="1"/>
        <s v="190662" u="1"/>
        <s v="20969340" u="1"/>
        <s v="76P926403" u="1"/>
        <s v="19966139F0" u="1"/>
        <s v="37908994S0" u="1"/>
        <s v="19966049V0" u="1"/>
        <s v="ANU58906334W0" u="1"/>
        <s v="192943760N0" u="1"/>
        <s v="20939579" u="1"/>
        <s v="192933526N0" u="1"/>
        <s v="731821" u="1"/>
        <s v="190903967A0" u="1"/>
        <s v="192943001F0" u="1"/>
        <s v="590007" u="1"/>
        <s v="76P926803" u="1"/>
        <s v="191027" u="1"/>
        <s v="30213251" u="1"/>
        <s v="192943788N0" u="1"/>
        <s v="191966025Z0" u="1"/>
        <s v="58920658N0" u="1"/>
        <s v="191213" u="1"/>
        <s v="ANU251687" u="1"/>
        <s v="30208060" u="1"/>
        <s v="ANU30217800" u="1"/>
        <s v="ANU76P939252" u="1"/>
        <s v="314207" u="1"/>
        <s v="558009" u="1"/>
        <s v="191966325Z0" u="1"/>
        <s v="080088" u="1"/>
        <s v="270050" u="1"/>
        <s v="ANU314474" u="1"/>
        <s v="20930220PRM" u="1"/>
        <s v="37938923S0" u="1"/>
        <s v="192933564F0" u="1"/>
        <s v="760147" u="1"/>
        <s v="191946248L9" u="1"/>
        <s v="ANU76P924518" u="1"/>
        <s v="H462D100" u="1"/>
        <s v="311141" u="1"/>
        <s v="190828" u="1"/>
        <s v="30210721P" u="1"/>
        <s v="192943801F0" u="1"/>
        <s v="ANU58920084G0" u="1"/>
        <s v="20939302" u="1"/>
        <s v="734120" u="1"/>
        <s v="400444" u="1"/>
        <s v="766147" u="1"/>
        <s v="20203156" u="1"/>
        <s v="192943773D0" u="1"/>
        <s v="760081" u="1"/>
        <s v="192000355" u="1"/>
        <s v="190935309N0" u="1"/>
        <s v="251666" u="1"/>
        <s v="58920429C0" u="1"/>
        <s v="191936989Z0" u="1"/>
        <s v="402192" u="1"/>
        <s v="76P900006" u="1"/>
        <s v="58920339S0" u="1"/>
        <s v="37938117Z0" u="1"/>
        <s v="58931217E0" u="1"/>
        <s v="192933176Z0" u="1"/>
        <s v="490840" u="1"/>
        <s v="191947085V0" u="1"/>
        <s v="766081" u="1"/>
        <s v="191966082N0" u="1"/>
        <s v="257666" u="1"/>
        <s v="192000755" u="1"/>
        <s v="191000855" u="1"/>
        <s v="192001095" u="1"/>
        <s v="76P924730" u="1"/>
        <s v="080011" u="1"/>
        <s v="76P925070" u="1"/>
        <s v="58920411N0" u="1"/>
        <s v="76P924458" u="1"/>
        <s v="192001195" u="1"/>
        <s v="190127" u="1"/>
        <s v="9786230" u="1"/>
        <s v="191001295" u="1"/>
        <s v="192000955" u="1"/>
        <s v="ANU166002" u="1"/>
        <s v="493019" u="1"/>
        <s v="192001295" u="1"/>
        <s v="372118" u="1"/>
        <s v="251217" u="1"/>
        <s v="ANU37908271S0" u="1"/>
        <s v="58912049" u="1"/>
        <s v="58901823V0" u="1"/>
        <s v="76P925370" u="1"/>
        <s v="192943813Z0" u="1"/>
        <s v="58901833V0" u="1"/>
        <s v="11870003500396" u="1"/>
        <s v="557109" u="1"/>
        <s v="11220700" u="1"/>
        <s v="191001695" u="1"/>
        <s v="76P924958" u="1"/>
        <s v="58920533F0" u="1"/>
        <s v="76P925670" u="1"/>
        <s v="25011" u="1"/>
        <s v="H453D100" u="1"/>
        <s v="R210D000" u="1"/>
        <s v="191001895" u="1"/>
        <s v="76P925770" u="1"/>
        <s v="192943832V0" u="1"/>
        <s v="R220D000" u="1"/>
        <s v="37908935S0" u="1"/>
        <s v="400358" u="1"/>
        <s v="76P925498" u="1"/>
        <s v="190935031Z0" u="1"/>
        <s v="R230D000" u="1"/>
        <s v="38T427B000" u="1"/>
        <s v="58912228Z0" u="1"/>
        <s v="58928010W0" u="1"/>
        <s v="ANU191937006Z0" u="1"/>
        <s v="557043" u="1"/>
        <s v="37908945S0" u="1"/>
        <s v="191966123F0" u="1"/>
        <s v="314241" u="1"/>
        <s v="76P925970" u="1"/>
        <s v="65027091" u="1"/>
        <s v="191966223F0" u="1"/>
        <s v="192944372V0" u="1"/>
        <s v="20933091" u="1"/>
        <s v="190943098N0" u="1"/>
        <s v="567257" u="1"/>
        <s v="190676" u="1"/>
        <s v="ANU192438" u="1"/>
        <s v="569257" u="1"/>
        <s v="19966096F0" u="1"/>
        <s v="ANU76P926218" u="1"/>
        <s v="490754" u="1"/>
        <s v="C400A000" u="1"/>
        <s v="595002237" u="1"/>
        <s v="76P925898" u="1"/>
        <s v="76P926313" u="1"/>
        <s v="251766" u="1"/>
        <s v="400292" u="1"/>
        <s v="19966068N0" u="1"/>
        <s v="37908985S0" u="1"/>
        <s v="19966078N0" u="1"/>
        <s v="ANU490745" u="1"/>
        <s v="37908995S0" u="1"/>
        <s v="733835" u="1"/>
        <s v="567191" u="1"/>
        <s v="58920585N0" u="1"/>
        <s v="192933536N0" u="1"/>
        <s v="192944491R0" u="1"/>
        <s v="360004" u="1"/>
        <s v="58931020E0" u="1"/>
        <s v="76P926713" u="1"/>
        <s v="191947011D0" u="1"/>
        <s v="30213242" u="1"/>
        <s v="58901987V0" u="1"/>
        <s v="76P952249" u="1"/>
        <s v="20168036" u="1"/>
        <s v="191227" u="1"/>
        <s v="ANU192933560F0" u="1"/>
        <s v="192227" u="1"/>
        <s v="192943798N0" u="1"/>
        <s v="251317" u="1"/>
        <s v="192943745L0" u="1"/>
        <s v="2516667" u="1"/>
        <s v="192413" u="1"/>
        <s v="312407" u="1"/>
        <s v="270064" u="1"/>
        <s v="20969445" u="1"/>
        <s v="ANU251697" u="1"/>
        <s v="2516668" u="1"/>
        <s v="491053" u="1"/>
        <s v="252503" u="1"/>
        <s v="550143" u="1"/>
        <s v="590141" u="1"/>
        <s v="ANU20947083" u="1"/>
        <s v="2516669" u="1"/>
        <s v="311155" u="1"/>
        <s v="569992" u="1"/>
        <s v="557143" u="1"/>
        <s v="20939303" u="1"/>
        <s v="760533" u="1"/>
        <s v="30214775" u="1"/>
        <s v="403458" u="1"/>
        <s v="20165992" u="1"/>
        <s v="20969529" u="1"/>
        <s v="ANU569105" u="1"/>
        <s v="192933544Q0" u="1"/>
        <s v="58931164E0" u="1"/>
        <s v="764095" u="1"/>
        <s v="490854" u="1"/>
        <s v="400392" u="1"/>
        <s v="310956" u="1"/>
        <s v="768095" u="1"/>
        <s v="403392" u="1"/>
        <s v="76P964266" u="1"/>
        <s v="58912071Z0" u="1"/>
        <s v="191966092N0" u="1"/>
        <s v="405392" u="1"/>
        <s v="567291" u="1"/>
        <s v="402009" u="1"/>
        <s v="192000765" u="1"/>
        <s v="30214869" u="1"/>
        <s v="58920412N0" u="1"/>
        <s v="191937052R0" u="1"/>
        <s v="192001008" u="1"/>
        <s v="191966695D8" u="1"/>
        <s v="192000965" u="1"/>
        <s v="191001857MO" u="1"/>
        <s v="76P924568" u="1"/>
        <s v="191001208" u="1"/>
        <s v="76P924668" u="1"/>
        <s v="252417" u="1"/>
        <s v="192001208" u="1"/>
        <s v="550057" u="1"/>
        <s v="710049" u="1"/>
        <s v="191937104C0" u="1"/>
        <s v="192933786Z0" u="1"/>
        <s v="76P925480" u="1"/>
        <s v="37908872S0" u="1"/>
        <s v="58920452N0" u="1"/>
        <s v="191001408" u="1"/>
        <s v="58931288E0" u="1"/>
        <s v="734048" u="1"/>
        <s v="191001508" u="1"/>
        <s v="ANU191608" u="1"/>
        <s v="19966037F0" u="1"/>
        <s v="37908892S0" u="1"/>
        <s v="ANU58901506Z0" u="1"/>
        <s v="ANU20917253" u="1"/>
        <s v="118808026200" u="1"/>
        <s v="192933176C0" u="1"/>
        <s v="191947036N0" u="1"/>
        <s v="38T427A100" u="1"/>
        <s v="ANU58901507Z0" u="1"/>
        <s v="38T427B100" u="1"/>
        <s v="760633" u="1"/>
        <s v="76P926023" u="1"/>
        <s v="ANU58920428G0" u="1"/>
        <s v="314441" u="1"/>
        <s v="20929280" u="1"/>
        <s v="192943280N0" u="1"/>
        <s v="191937199N0" u="1"/>
        <s v="58931267D7" u="1"/>
        <s v="ANU76P925844" u="1"/>
        <s v="58912249Z0" u="1"/>
        <s v="191966333F0" u="1"/>
        <s v="731849" u="1"/>
        <s v="760381" u="1"/>
        <s v="65703530" u="1"/>
        <s v="190966052B0" u="1"/>
        <s v="20555993" u="1"/>
        <s v="19966097F0" u="1"/>
        <s v="250966" u="1"/>
        <s v="ANU567332" u="1"/>
        <s v="190966008D0" u="1"/>
        <s v="76P926323" u="1"/>
        <s v="191001823GR" u="1"/>
        <s v="192933399P0" u="1"/>
        <s v="19966069N0" u="1"/>
        <s v="ANU58901609J0" u="1"/>
        <s v="20933146" u="1"/>
        <s v="37908986S0" u="1"/>
        <s v="360018" u="1"/>
        <s v="19966079N0" u="1"/>
        <s v="192944153C0" u="1"/>
        <s v="20955993" u="1"/>
        <s v="06.081.0010" u="1"/>
        <s v="191946955V7" u="1"/>
        <s v="403492" u="1"/>
        <s v="132001" u="1"/>
        <s v="405492" u="1"/>
        <s v="567391" u="1"/>
        <s v="192933546N0" u="1"/>
        <s v="ANU20558309" u="1"/>
        <s v="564008" u="1"/>
        <s v="20569392" u="1"/>
        <s v="20954628" u="1"/>
        <s v="191947021D0" u="1"/>
        <s v="58920568V0" u="1"/>
        <s v="310990" u="1"/>
        <s v="20168037" u="1"/>
        <s v="192427" u="1"/>
        <s v="9789231" u="1"/>
        <s v="76P926923" u="1"/>
        <s v="270078" u="1"/>
        <s v="191937184D0" u="1"/>
        <s v="600033" u="1"/>
        <s v="58931428P0" u="1"/>
        <s v="252517" u="1"/>
        <s v="20954658" u="1"/>
        <s v="422042" u="1"/>
        <s v="20234699" u="1"/>
        <s v="404043" u="1"/>
        <s v="ANU191001503" u="1"/>
        <s v="252451" u="1"/>
        <s v="190946595K0" u="1"/>
        <s v="710083" u="1"/>
        <s v="ANU58931259G0" u="1"/>
        <s v="190935301N0" u="1"/>
        <s v="30214776" u="1"/>
        <s v="760295" u="1"/>
        <s v="20939280" u="1"/>
        <s v="65713510" u="1"/>
        <s v="554091" u="1"/>
        <s v="734082" u="1"/>
        <s v="490868" u="1"/>
        <s v="20PU595JUL" u="1"/>
        <s v="58901316P0" u="1"/>
        <s v="190935273L0" u="1"/>
        <s v="557091" u="1"/>
        <s v="58931165E0" u="1"/>
        <s v="760481" u="1"/>
        <s v="ANU20970242" u="1"/>
        <s v="080039" u="1"/>
        <s v="76P924450" u="1"/>
        <s v="20PU598JUL" u="1"/>
        <s v="191937092G0" u="1"/>
        <s v="76P900026" u="1"/>
        <s v="192933196Z0" u="1"/>
        <s v="191937524Z0" u="1"/>
        <s v="400209" u="1"/>
        <s v="58931229E0" u="1"/>
        <s v="58912106Z0" u="1"/>
        <s v="402209" u="1"/>
        <s v="ANU20235316" u="1"/>
        <s v="ANU191018" u="1"/>
        <s v="191946965V0" u="1"/>
        <s v="ANU191001553" u="1"/>
        <s v="19933987N0" u="1"/>
        <s v="192001018" u="1"/>
        <s v="ANU404032" u="1"/>
        <s v="192000975" u="1"/>
        <s v="760032" u="1"/>
        <s v="ANU191218" u="1"/>
        <s v="191089" u="1"/>
        <s v="65752203" u="1"/>
        <s v="192001118" u="1"/>
        <s v="38T212a000" u="1"/>
        <s v="192089" u="1"/>
        <s v="2500790" u="1"/>
        <s v="190713" u="1"/>
        <s v="192001218" u="1"/>
        <s v="76P925390" u="1"/>
        <s v="95IB78005" u="1"/>
        <s v="192943833Z0" u="1"/>
        <s v="R110D000" u="1"/>
        <s v="58920481F0" u="1"/>
        <s v="R120D000" u="1"/>
        <s v="312269" u="1"/>
        <s v="766032" u="1"/>
        <s v="191001418" u="1"/>
        <s v="76P924878" u="1"/>
        <s v="R140D000" u="1"/>
        <s v="256179" u="1"/>
        <s v="76P925590" u="1"/>
        <s v="768032" u="1"/>
        <s v="191001518" u="1"/>
        <s v="76P924978" u="1"/>
        <s v="19966038F0" u="1"/>
        <s v="ANU20970247" u="1"/>
        <s v="ANU58920006U0" u="1"/>
        <s v="569042" u="1"/>
        <s v="R160D000" u="1"/>
        <s v="191916942N0" u="1"/>
        <s v="ANU20944905" u="1"/>
        <s v="CAT-TOOLS09" u="1"/>
        <s v="610095" u="1"/>
        <s v="191001618" u="1"/>
        <s v="19966048F0" u="1"/>
        <s v="760647" u="1"/>
        <s v="314455" u="1"/>
        <s v="10080801" u="1"/>
        <s v="ANU192430" u="1"/>
        <s v="192933237R0" u="1"/>
        <s v="C300A000" u="1"/>
        <s v="190937481N0" u="1"/>
        <s v="191001818" u="1"/>
        <s v="38T427B200" u="1"/>
        <s v="ANU551006611" u="1"/>
        <s v="191966143F0" u="1"/>
        <s v="ANU20218944" u="1"/>
        <s v="76P926033" u="1"/>
        <s v="760395" u="1"/>
        <s v="191001918" u="1"/>
        <s v="76P926133" u="1"/>
        <s v="191001827AM" u="1"/>
        <s v="ANU567242" u="1"/>
        <s v="190012" u="1"/>
        <s v="350004" u="1"/>
        <s v="19966098F0" u="1"/>
        <s v="ANU567342" u="1"/>
        <s v="111016" u="1"/>
        <s v="191012" u="1"/>
        <s v="562591" u="1"/>
        <s v="132015" u="1"/>
        <s v="312006" u="1"/>
        <s v="192933786C0" u="1"/>
        <s v="731797" u="1"/>
        <s v="58931002E0" u="1"/>
        <s v="ANU490865" u="1"/>
        <s v="192933556N0" u="1"/>
        <s v="H450D000" u="1"/>
        <s v="H460D000" u="1"/>
        <s v="080073" u="1"/>
        <s v="258102" u="1"/>
        <s v="30213244" u="1"/>
        <s v="ANU551006651" u="1"/>
        <s v="567208" u="1"/>
        <s v="20944422" u="1"/>
        <s v="76P926833" u="1"/>
        <s v="20168038" u="1"/>
        <s v="422056" u="1"/>
        <s v="H450D020" u="1"/>
        <s v="2084136163" u="1"/>
        <s v="38T312A000" u="1"/>
        <s v="ANU554092" u="1"/>
        <s v="404057" u="1"/>
        <s v="420242" u="1"/>
        <s v="H450D030" u="1"/>
        <s v="58931429P0" u="1"/>
        <s v="ANU551006661" u="1"/>
        <s v="T111C000" u="1"/>
        <s v="58931062E0" u="1"/>
        <s v="192375" u="1"/>
        <s v="372366" u="1"/>
        <s v="405243" u="1"/>
        <s v="190966355Z0" u="1"/>
        <s v="252465" u="1"/>
        <s v="710097" u="1"/>
        <s v="ANU402187" u="1"/>
        <s v="191966355Z0" u="1"/>
        <s v="251651" u="1"/>
        <s v="1106000061" u="1"/>
        <s v="20969487" u="1"/>
        <s v="190935311N0" u="1"/>
        <s v="65308300" u="1"/>
        <s v="192933794F0" u="1"/>
        <s v="760495" u="1"/>
        <s v="192000185" u="1"/>
        <s v="192933369D0" u="1"/>
        <s v="490004" u="1"/>
        <s v="58901712V0" u="1"/>
        <s v="58920330N0" u="1"/>
        <s v="192933994F0" u="1"/>
        <s v="20PU483" u="1"/>
        <s v="192000385" u="1"/>
        <s v="190112" u="1"/>
        <s v="58912043Z0" u="1"/>
        <s v="30204114P" u="1"/>
        <s v="253016" u="1"/>
        <s v="191966140P0" u="1"/>
        <s v="I610D100" u="1"/>
        <s v="191966145C0" u="1"/>
        <s v="192943806D0" u="1"/>
        <s v="20PU485" u="1"/>
        <s v="192000585" u="1"/>
        <s v="192001000" u="1"/>
        <s v="76P938378" u="1"/>
        <s v="19933996F0" u="1"/>
        <s v="400409" u="1"/>
        <s v="192000685" u="1"/>
        <s v="192001100" u="1"/>
        <s v="58901852F0" u="1"/>
        <s v="191000785" u="1"/>
        <s v="192001200" u="1"/>
        <s v="760046" u="1"/>
        <s v="20543197" u="1"/>
        <s v="76P924388" u="1"/>
        <s v="710020" u="1"/>
        <s v="400157" u="1"/>
        <s v="405409" u="1"/>
        <s v="190727" u="1"/>
        <s v="192001028" u="1"/>
        <s v="58901906F0" u="1"/>
        <s v="ANU166032" u="1"/>
        <s v="402157" u="1"/>
        <s v="760232" u="1"/>
        <s v="H451D020" u="1"/>
        <s v="191001500" u="1"/>
        <s v="191937172R0" u="1"/>
        <s v="403157" u="1"/>
        <s v="490805" u="1"/>
        <s v="192001128" u="1"/>
        <s v="58901716F1" u="1"/>
        <s v="191966368P0" u="1"/>
        <s v="ANU559888" u="1"/>
        <s v="766046" u="1"/>
        <s v="H451D030" u="1"/>
        <s v="191001600" u="1"/>
        <s v="190913" u="1"/>
        <s v="192001228" u="1"/>
        <s v="37908864S0" u="1"/>
        <s v="520430" u="1"/>
        <s v="58901064E0" u="1"/>
        <s v="191001700" u="1"/>
        <s v="191001815Z0" u="1"/>
        <s v="191001800" u="1"/>
        <s v="567242" u="1"/>
        <s v="190661" u="1"/>
        <s v="401091" u="1"/>
        <s v="9785996" u="1"/>
        <s v="19966039F0" u="1"/>
        <s v="191001900" u="1"/>
        <s v="9785997" u="1"/>
        <s v="37908894S0" u="1"/>
        <s v="38R160D000" u="1"/>
        <s v="259817" u="1"/>
        <s v="19966049F0" u="1"/>
        <s v="251751" u="1"/>
        <s v="20973062" u="1"/>
        <s v="405091" u="1"/>
        <s v="191001728" u="1"/>
        <s v="38T427A300" u="1"/>
        <s v="58928003W0" u="1"/>
        <s v="9793360" u="1"/>
        <s v="58901138E0" u="1"/>
        <s v="65304941" u="1"/>
        <s v="38T427B300" u="1"/>
        <s v="190943103N0" u="1"/>
        <s v="9793361" u="1"/>
        <s v="76P926043" u="1"/>
        <s v="192933396C0" u="1"/>
        <s v="9787858" u="1"/>
        <s v="9789716" u="1"/>
        <s v="65304951" u="1"/>
        <s v="38R160G000" u="1"/>
        <s v="58931259D7" u="1"/>
        <s v="590006" u="1"/>
        <s v="76P926143" u="1"/>
        <s v="65304961" u="1"/>
        <s v="132029" u="1"/>
        <s v="9793363" u="1"/>
        <s v="19966099F0" u="1"/>
        <s v="191212" u="1"/>
        <s v="191947022H0" u="1"/>
        <s v="9789719" u="1"/>
        <s v="192933213L0" u="1"/>
        <s v="190966128D0" u="1"/>
        <s v="9793365" u="1"/>
        <s v="76P926443" u="1"/>
        <s v="2084151262" u="1"/>
        <s v="65304991" u="1"/>
        <s v="314206" u="1"/>
        <s v="558008" u="1"/>
        <s v="58931003E0" u="1"/>
        <s v="ANU30212760" u="1"/>
        <s v="190935289Z0" u="1"/>
        <s v="559008" u="1"/>
        <s v="080087" u="1"/>
        <s v="583407" u="1"/>
        <s v="76P926643" u="1"/>
        <s v="H462D000" u="1"/>
        <s v="311140" u="1"/>
        <s v="20168029" u="1"/>
        <s v="400257" u="1"/>
        <s v="567408" u="1"/>
        <s v="191946954F0" u="1"/>
        <s v="190827" u="1"/>
        <s v="76P967181" u="1"/>
        <s v="ANU76P926032" u="1"/>
        <s v="76P926943" u="1"/>
        <s v="766146" u="1"/>
        <s v="38T512B000" u="1"/>
        <s v="252479" u="1"/>
        <s v="760080" u="1"/>
        <s v="403443" u="1"/>
        <s v="191947016B0" u="1"/>
        <s v="251665" u="1"/>
        <s v="400191" u="1"/>
        <s v="405443" u="1"/>
        <s v="567342" u="1"/>
        <s v="58931107E0" u="1"/>
        <s v="ANU314217" u="1"/>
        <s v="ANU402197" u="1"/>
        <s v="402191" u="1"/>
        <s v="ANU191001504" u="1"/>
        <s v="766080" u="1"/>
        <s v="191937179B0" u="1"/>
        <s v="37938065R0" u="1"/>
        <s v="58912004Z0" u="1"/>
        <s v="3330193260" u="1"/>
        <s v="080010" u="1"/>
        <s v="260001" u="1"/>
        <s v="79252338" u="1"/>
        <s v="76P938260" u="1"/>
        <s v="190126" u="1"/>
        <s v="550108" u="1"/>
        <s v="58901713V0" u="1"/>
        <s v="251216" u="1"/>
        <s v="58931167E0" u="1"/>
        <s v="58912106R0" u="1"/>
        <s v="58901823F0" u="1"/>
        <s v="191966055C0" u="1"/>
        <s v="20970282PRM" u="1"/>
        <s v="76P924470" u="1"/>
        <s v="557108" u="1"/>
        <s v="192001010" u="1"/>
        <s v="58901005E0" u="1"/>
        <s v="58920423F0" u="1"/>
        <s v="ANU191210" u="1"/>
        <s v="559108" u="1"/>
        <s v="192001110" u="1"/>
        <s v="11220620" u="1"/>
        <s v="192000795" u="1"/>
        <s v="192001210" u="1"/>
        <s v="H453D000" u="1"/>
        <s v="ANU310989" u="1"/>
        <s v="490819" u="1"/>
        <s v="191916362N0" u="1"/>
        <s v="400357" u="1"/>
        <s v="CD450-B3" u="1"/>
        <s v="192001038" u="1"/>
        <s v="557042" u="1"/>
        <s v="192000995" u="1"/>
        <s v="H453D020" u="1"/>
        <s v="314240" u="1"/>
        <s v="191001510" u="1"/>
        <s v="403357" u="1"/>
        <s v="192001138" u="1"/>
        <s v="20PU1063" u="1"/>
        <s v="H453D030" u="1"/>
        <s v="76P925113" u="1"/>
        <s v="58901793V0" u="1"/>
        <s v="191001610" u="1"/>
        <s v="192933519Z0" u="1"/>
        <s v="405357" u="1"/>
        <s v="567256" u="1"/>
        <s v="192001238" u="1"/>
        <s v="191966097L0" u="1"/>
        <s v="192933187G0" u="1"/>
        <s v="190675" u="1"/>
        <s v="191001338" u="1"/>
        <s v="190966197L0" u="1"/>
        <s v="191001710" u="1"/>
        <s v="192904195Z0" u="1"/>
        <s v="569256" u="1"/>
        <s v="20559469" u="1"/>
        <s v="191937615G0" u="1"/>
        <s v="76P944897" u="1"/>
        <s v="251765" u="1"/>
        <s v="400291" u="1"/>
        <s v="191001810" u="1"/>
        <s v="76P924998" u="1"/>
        <s v="ANU162017" u="1"/>
        <s v="2500507" u="1"/>
        <s v="ANU192350" u="1"/>
        <s v="191001638" u="1"/>
        <s v="766180" u="1"/>
        <s v="58920509N0" u="1"/>
        <s v="191001738" u="1"/>
        <s v="58928004W0" u="1"/>
        <s v="191966063F0" u="1"/>
        <s v="191937204N0" u="1"/>
        <s v="191946979P0" u="1"/>
        <s v="191001838" u="1"/>
        <s v="191966010D0" u="1"/>
        <s v="76P950909" u="1"/>
        <s v="192933209C0" u="1"/>
        <s v="192933379D8" u="1"/>
        <s v="191001938" u="1"/>
        <s v="37908959S0" u="1"/>
        <s v="191226" u="1"/>
        <s v="ANU192378" u="1"/>
        <s v="76P926253" u="1"/>
        <s v="192412" u="1"/>
        <s v="312406" u="1"/>
        <s v="270063" u="1"/>
        <s v="191966363F1" u="1"/>
        <s v="192933376N0" u="1"/>
        <s v="557208" u="1"/>
        <s v="252502" u="1"/>
        <s v="20955996" u="1"/>
        <s v="550142" u="1"/>
        <s v="191937042F0" u="1"/>
        <s v="311154" u="1"/>
        <s v="20563004" u="1"/>
        <s v="251250" u="1"/>
        <s v="760346" u="1"/>
        <s v="314154" u="1"/>
        <s v="30213246" u="1"/>
        <s v="H274D100" u="1"/>
        <s v="192943813N0" u="1"/>
        <s v="192944153N0" u="1"/>
        <s v="760532" u="1"/>
        <s v="760094" u="1"/>
        <s v="ANU192933562F0" u="1"/>
        <s v="403457" u="1"/>
        <s v="192001052NE" u="1"/>
        <s v="191966075Z0" u="1"/>
        <s v="251679" u="1"/>
        <s v="191937542F0" u="1"/>
        <s v="58931064E0" u="1"/>
        <s v="58901620V0" u="1"/>
        <s v="490853" u="1"/>
        <s v="400391" u="1"/>
        <s v="310955" u="1"/>
        <s v="420007" u="1"/>
        <s v="191937189B0" u="1"/>
        <s v="58920330F0" u="1"/>
        <s v="567290" u="1"/>
        <s v="ANU76P924303" u="1"/>
        <s v="ANU192933554N0" u="1"/>
        <s v="20543119" u="1"/>
        <s v="ANU314427" u="1"/>
        <s v="ANU20213933" u="1"/>
        <s v="58920240V0" u="1"/>
        <s v="ANU20543262" u="1"/>
        <s v="ANU555006492" u="1"/>
        <s v="084024" u="1"/>
        <s v="79252339" u="1"/>
        <s v="ANU165012" u="1"/>
        <s v="9791982" u="1"/>
        <s v="76P924280" u="1"/>
        <s v="58931168E0" u="1"/>
        <s v="191947019Z0" u="1"/>
        <s v="252416" u="1"/>
        <s v="192000208" u="1"/>
        <s v="191946976Z0" u="1"/>
        <s v="190074" u="1"/>
        <s v="710048" u="1"/>
        <s v="192933201Z0" u="1"/>
        <s v="132029PU" u="1"/>
        <s v="192943163Z0" u="1"/>
        <s v="76P924480" u="1"/>
        <s v="19933988F0" u="1"/>
        <s v="192001020" u="1"/>
        <s v="734047" u="1"/>
        <s v="192001120" u="1"/>
        <s v="ANU58901786Z0" u="1"/>
        <s v="316068" u="1"/>
        <s v="372251" u="1"/>
        <s v="192001220" u="1"/>
        <s v="191947038V0" u="1"/>
        <s v="76P1530213012" u="1"/>
        <s v="192000708" u="1"/>
        <s v="191001420" u="1"/>
        <s v="76P924880" u="1"/>
        <s v="610080" u="1"/>
        <s v="192001048" u="1"/>
        <s v="760632" u="1"/>
        <s v="192000808" u="1"/>
        <s v="76P925023" u="1"/>
        <s v="ANU20971387" u="1"/>
        <s v="2500645" u="1"/>
        <s v="65768403" u="1"/>
        <s v="192001148" u="1"/>
        <s v="192689" u="1"/>
        <s v="191916572N0" u="1"/>
        <s v="76P925123" u="1"/>
        <s v="191001620" u="1"/>
        <s v="58901828V0" u="1"/>
        <s v="731848" u="1"/>
        <s v="2500647" u="1"/>
        <s v="552003347" u="1"/>
        <s v="191001448" u="1"/>
        <s v="76P925323" u="1"/>
        <s v="191001820" u="1"/>
        <s v="191001548" u="1"/>
        <s v="95IB20191" u="1"/>
        <s v="403491" u="1"/>
        <s v="58901868V0" u="1"/>
        <s v="567390" u="1"/>
        <s v="191001748" u="1"/>
        <s v="58901878V0" u="1"/>
        <s v="65723503" u="1"/>
        <s v="ANU20567925" u="1"/>
        <s v="191001848" u="1"/>
        <s v="166027" u="1"/>
        <s v="76P926063" u="1"/>
        <s v="405108" u="1"/>
        <s v="192933219C0" u="1"/>
        <s v="191937186L0" u="1"/>
        <s v="270077" u="1"/>
        <s v="600032" u="1"/>
        <s v="251078" u="1"/>
        <s v="ANU20235590" u="1"/>
        <s v="252516" u="1"/>
        <s v="66902043" u="1"/>
        <s v="38T111B000" u="1"/>
        <s v="ANU567372" u="1"/>
        <s v="192933286N0" u="1"/>
        <s v="422041" u="1"/>
        <s v="20973148" u="1"/>
        <s v="38T111C000" u="1"/>
        <s v="76P926463" u="1"/>
        <s v="66902063" u="1"/>
        <s v="38T111D000" u="1"/>
        <s v="58931005E0" u="1"/>
        <s v="191946244Q0" u="1"/>
        <s v="192933486N0" u="1"/>
        <s v="ANU76P924447" u="1"/>
        <s v="30203020" u="1"/>
        <s v="252450" u="1"/>
        <s v="310540" u="1"/>
        <s v="76P962436" u="1"/>
        <s v="734081" u="1"/>
        <s v="490867" u="1"/>
        <s v="191966085Z0" u="1"/>
        <s v="760480" u="1"/>
        <s v="58912004R0" u="1"/>
        <s v="20PU587JUL" u="1"/>
        <s v="260029" u="1"/>
        <s v="20PU588JUL" u="1"/>
        <s v="192933371D0" u="1"/>
        <s v="58931542C0" u="1"/>
        <s v="20960931" u="1"/>
        <s v="ANU191001505" u="1"/>
        <s v="37938067R0" u="1"/>
        <s v="402208" u="1"/>
        <s v="20PU335" u="1"/>
        <s v="585106" u="1"/>
        <s v="191937064Z0" u="1"/>
        <s v="567107" u="1"/>
        <s v="58920261V0" u="1"/>
        <s v="569107" u="1"/>
        <s v="490604" u="1"/>
        <s v="58901715V0" u="1"/>
        <s v="192088" u="1"/>
        <s v="20PU338" u="1"/>
        <s v="ANU58920400B0" u="1"/>
        <s v="20585996" u="1"/>
        <s v="38T211B000" u="1"/>
        <s v="403142" u="1"/>
        <s v="58912056Z0" u="1"/>
        <s v="766031" u="1"/>
        <s v="256178" u="1"/>
        <s v="768031" u="1"/>
        <s v="192001130" u="1"/>
        <s v="569041" u="1"/>
        <s v="9787703" u="1"/>
        <s v="58901793N0" u="1"/>
        <s v="191966326R0" u="1"/>
        <s v="ANU37938123S0" u="1"/>
        <s v="610094" u="1"/>
        <s v="192001230" u="1"/>
        <s v="760646" u="1"/>
        <s v="ANU30216627" u="1"/>
        <s v="314454" u="1"/>
        <s v="192000718" u="1"/>
        <s v="567908" u="1"/>
        <s v="76P924890" u="1"/>
        <s v="ANU20939567" u="1"/>
        <s v="ANU37938124S0" u="1"/>
        <s v="190889" u="1"/>
        <s v="760394" u="1"/>
        <s v="192001158" u="1"/>
        <s v="250979" u="1"/>
        <s v="191937054C0" u="1"/>
        <s v="191001258" u="1"/>
        <s v="192001258" u="1"/>
        <s v="ANU312064" u="1"/>
        <s v="37908867S0" u="1"/>
        <s v="191001358" u="1"/>
        <s v="760580" u="1"/>
        <s v="190011" u="1"/>
        <s v="350003" u="1"/>
        <s v="111015" u="1"/>
        <s v="191001458" u="1"/>
        <s v="132014" u="1"/>
        <s v="191001758" u="1"/>
        <s v="76P925633" u="1"/>
        <s v="192933401C0" u="1"/>
        <s v="65278300" u="1"/>
        <s v="58920497N0" u="1"/>
        <s v="ANU76P926177" u="1"/>
        <s v="080072" u="1"/>
        <s v="567207" u="1"/>
        <s v="20929285" u="1"/>
        <s v="76P925833" u="1"/>
        <s v="422055" u="1"/>
        <s v="ANU192398" u="1"/>
        <s v="190935291Z0" u="1"/>
        <s v="569207" u="1"/>
        <s v="38T311A000" u="1"/>
        <s v="ANU58906154W0" u="1"/>
        <s v="404056" u="1"/>
        <s v="76P926373" u="1"/>
        <s v="2500017" u="1"/>
        <s v="192374" u="1"/>
        <s v="0428619" u="1"/>
        <s v="191946965J0" u="1"/>
        <s v="ANU58906155W0" u="1"/>
        <s v="30203001" u="1"/>
        <s v="710096" u="1"/>
        <s v="2500019" u="1"/>
        <s v="30203011" u="1"/>
        <s v="251650" u="1"/>
        <s v="30203021" u="1"/>
        <s v="9786846" u="1"/>
        <s v="734095" u="1"/>
        <s v="76P926773" u="1"/>
        <s v="20PU470" u="1"/>
        <s v="ANU568025" u="1"/>
        <s v="20PU471" u="1"/>
        <s v="ANU192933563F0" u="1"/>
        <s v="76P926973" u="1"/>
        <s v="191937181B0" u="1"/>
        <s v="37938066J0" u="1"/>
        <s v="20PU473" u="1"/>
        <s v="190111" u="1"/>
        <s v="253015" u="1"/>
        <s v="191947046B0" u="1"/>
        <s v="191943199F0" u="1"/>
        <s v="I610D000" u="1"/>
        <s v="58901632V0" u="1"/>
        <s v="20203089" u="1"/>
        <s v="192933481D0" u="1"/>
        <s v="400408" u="1"/>
        <s v="20PU476" u="1"/>
        <s v="H231D000" u="1"/>
        <s v="58920709Q0" u="1"/>
        <s v="20PU477" u="1"/>
        <s v="320067" u="1"/>
        <s v="490618" u="1"/>
        <s v="191966695Z0" u="1"/>
        <s v="ANU20559758" u="1"/>
        <s v="405408" u="1"/>
        <s v="190726" u="1"/>
        <s v="65588300" u="1"/>
        <s v="192944920L0" u="1"/>
        <s v="760231" u="1"/>
        <s v="403156" u="1"/>
        <s v="192000500" u="1"/>
        <s v="400342" u="1"/>
        <s v="766045" u="1"/>
        <s v="190912" u="1"/>
        <s v="20585997" u="1"/>
        <s v="191946996Z0" u="1"/>
        <s v="ANU191040" u="1"/>
        <s v="768045" u="1"/>
        <s v="ANU253015" u="1"/>
        <s v="ANU20970862" u="1"/>
        <s v="76P924303" u="1"/>
        <s v="190933421Z0" u="1"/>
        <s v="600080" u="1"/>
        <s v="192001040" u="1"/>
        <s v="567241" u="1"/>
        <s v="58920326V0" u="1"/>
        <s v="190660" u="1"/>
        <s v="314468" u="1"/>
        <s v="401090" u="1"/>
        <s v="192000800" u="1"/>
        <s v="ANU190628" u="1"/>
        <s v="402090" u="1"/>
        <s v="192001140" u="1"/>
        <s v="30213011" u="1"/>
        <s v="H231D080" u="1"/>
        <s v="76P924503" u="1"/>
        <s v="192933521Z0" u="1"/>
        <s v="251750" u="1"/>
        <s v="192001240" u="1"/>
        <s v="405090" u="1"/>
        <s v="191001340" u="1"/>
        <s v="1100000126" u="1"/>
        <s v="191966002L0" u="1"/>
        <s v="192933349Z0" u="1"/>
        <s v="3330207867" u="1"/>
        <s v="192000828" u="1"/>
        <s v="590005" u="1"/>
        <s v="192001168" u="1"/>
        <s v="190966202L0" u="1"/>
        <s v="192933821Z0" u="1"/>
        <s v="191916592N0" u="1"/>
        <s v="192904200Z0" u="1"/>
        <s v="192000928" u="1"/>
        <s v="552007" u="1"/>
        <s v="192001268" u="1"/>
        <s v="76P924903" u="1"/>
        <s v="553007" u="1"/>
        <s v="191001740" u="1"/>
        <s v="310205" u="1"/>
        <s v="191946981P0" u="1"/>
        <s v="191211" u="1"/>
        <s v="372202" u="1"/>
        <s v="191946986C0" u="1"/>
        <s v="ANU58920326Z0" u="1"/>
        <s v="191001568" u="1"/>
        <s v="192933211C0" u="1"/>
        <s v="ANU562027" u="1"/>
        <s v="314205" u="1"/>
        <s v="ANU192380" u="1"/>
        <s v="191001668" u="1"/>
        <s v="080086" u="1"/>
        <s v="H232D000" u="1"/>
        <s v="191966702L0" u="1"/>
        <s v="422069" u="1"/>
        <s v="65298300" u="1"/>
        <s v="191937615R0" u="1"/>
        <s v="ANU20970868" u="1"/>
        <s v="400256" u="1"/>
        <s v="65498300" u="1"/>
        <s v="567407" u="1"/>
        <s v="38T511A000" u="1"/>
        <s v="191937009L0" u="1"/>
        <s v="766145" u="1"/>
        <s v="65898300" u="1"/>
        <s v="76P926283" u="1"/>
        <s v="76P926383" u="1"/>
        <s v="403442" u="1"/>
        <s v="76P926483" u="1"/>
        <s v="251664" u="1"/>
        <s v="405442" u="1"/>
        <s v="567341" u="1"/>
        <s v="30203002" u="1"/>
        <s v="192933353L0" u="1"/>
        <s v="190933409N0" u="1"/>
        <s v="402190" u="1"/>
        <s v="30203012" u="1"/>
        <s v="H232D080" u="1"/>
        <s v="255664" u="1"/>
        <s v="30203022" u="1"/>
        <s v="ANU76P926024" u="1"/>
        <s v="58912004J0" u="1"/>
        <s v="191001853RS" u="1"/>
        <s v="190125" u="1"/>
        <s v="493017" u="1"/>
        <s v="251215" u="1"/>
        <s v="9786212" u="1"/>
        <s v="58901623V0" u="1"/>
        <s v="557107" u="1"/>
        <s v="760059" u="1"/>
        <s v="9786214" u="1"/>
        <s v="ANU191001506" u="1"/>
        <s v="H233D000" u="1"/>
        <s v="191947021Z0" u="1"/>
        <s v="ANU76P926064" u="1"/>
        <s v="192000210" u="1"/>
        <s v="760245" u="1"/>
        <s v="490818" u="1"/>
        <s v="565069" u="1"/>
        <s v="58912056R0" u="1"/>
        <s v="766059" u="1"/>
        <s v="5610343222" u="1"/>
        <s v="567069" u="1"/>
        <s v="191916945Z0" u="1"/>
        <s v="403356" u="1"/>
        <s v="191946241D8" u="1"/>
        <s v="ANU76P926108" u="1"/>
        <s v="191947040V0" u="1"/>
        <s v="190674" u="1"/>
        <s v="192000610" u="1"/>
        <s v="569255" u="1"/>
        <s v="58912058Z0" u="1"/>
        <s v="192000710" u="1"/>
        <s v="192944958L0" u="1"/>
        <s v="192000810" u="1"/>
        <s v="192001150" u="1"/>
        <s v="403290" u="1"/>
        <s v="H233D080" u="1"/>
        <s v="76P924513" u="1"/>
        <s v="85XX0050N35-00" u="1"/>
        <s v="405290" u="1"/>
        <s v="191966065N0" u="1"/>
        <s v="191916358P0" u="1"/>
        <s v="792009" u="1"/>
        <s v="9785351" u="1"/>
        <s v="192001078" u="1"/>
        <s v="162012" u="1"/>
        <s v="2000030" u="1"/>
        <s v="191916305N0" u="1"/>
        <s v="191001550" u="1"/>
        <s v="192001178" u="1"/>
        <s v="76P924813" u="1"/>
        <s v="192001063RO" u="1"/>
        <s v="192943793Z0" u="1"/>
        <s v="192944924F0" u="1"/>
        <s v="191225" u="1"/>
        <s v="2000031" u="1"/>
        <s v="76P925153" u="1"/>
        <s v="165012" u="1"/>
        <s v="ANU58906292W0" u="1"/>
        <s v="192001278" u="1"/>
        <s v="76P924913" u="1"/>
        <s v="166012" u="1"/>
        <s v="251315" u="1"/>
        <s v="2000032" u="1"/>
        <s v="58912270E0" u="1"/>
        <s v="314219" u="1"/>
        <s v="191947034P0" u="1"/>
        <s v="191946991P0" u="1"/>
        <s v="2000033" u="1"/>
        <s v="191001478" u="1"/>
        <s v="58920397V0" u="1"/>
        <s v="192411" u="1"/>
        <s v="372402" u="1"/>
        <s v="270062" u="1"/>
        <s v="2000034" u="1"/>
        <s v="192933221C0" u="1"/>
        <s v="491051" u="1"/>
        <s v="252501" u="1"/>
        <s v="760159" u="1"/>
        <s v="550141" u="1"/>
        <s v="76P925553" u="1"/>
        <s v="311153" u="1"/>
        <s v="191946766N0" u="1"/>
        <s v="9788980" u="1"/>
        <s v="569990" u="1"/>
        <s v="20929277" u="1"/>
        <s v="191001878" u="1"/>
        <s v="191966223E7" u="1"/>
        <s v="ANU58906295W0" u="1"/>
        <s v="H274D000" u="1"/>
        <s v="76P926093" u="1"/>
        <s v="567169" u="1"/>
        <s v="557141" u="1"/>
        <s v="2500299" u="1"/>
        <s v="192933349C0" u="1"/>
        <s v="403456" u="1"/>
        <s v="569169" u="1"/>
        <s v="76P925953" u="1"/>
        <s v="38T711A000" u="1"/>
        <s v="490666" u="1"/>
        <s v="76P926293" u="1"/>
        <s v="251678" u="1"/>
        <s v="190774" u="1"/>
        <s v="58901620F0" u="1"/>
        <s v="490852" u="1"/>
        <s v="191937744N0" u="1"/>
        <s v="192933219N0" u="1"/>
        <s v="400390" u="1"/>
        <s v="30203003" u="1"/>
        <s v="190933419N0" u="1"/>
        <s v="403390" u="1"/>
        <s v="080023" u="1"/>
        <s v="30203023" u="1"/>
        <s v="191916943F0" u="1"/>
        <s v="192933563L0" u="1"/>
        <s v="405390" u="1"/>
        <s v="402007" u="1"/>
        <s v="76P962366" u="1"/>
        <s v="403007" u="1"/>
        <s v="9791970" u="1"/>
        <s v="192139" u="1"/>
        <s v="192904195N0" u="1"/>
        <s v="251229" u="1"/>
        <s v="085023" u="1"/>
        <s v="9791971" u="1"/>
        <s v="D111F000" u="1"/>
        <s v="H111D000" u="1"/>
        <s v="9791972" u="1"/>
        <s v="372316" u="1"/>
        <s v="37938068J0" u="1"/>
        <s v="58901590V0" u="1"/>
        <s v="252415" u="1"/>
        <s v="710047" u="1"/>
        <s v="ANU190120" u="1"/>
        <s v="760259" u="1"/>
        <s v="191966318Z0" u="1"/>
        <s v="ANU76P924305" u="1"/>
        <s v="118808026100" u="1"/>
        <s v="H233D011" u="1"/>
        <s v="30213908PU" u="1"/>
        <s v="58920244V0" u="1"/>
        <s v="192933557F0" u="1"/>
        <s v="192943366D0" u="1"/>
        <s v="191966137V0" u="1"/>
        <s v="567269" u="1"/>
        <s v="30210720S" u="1"/>
        <s v="191946238V0" u="1"/>
        <s v="37938119A7" u="1"/>
        <s v="58901684V0" u="1"/>
        <s v="760193" u="1"/>
        <s v="20939297" u="1"/>
        <s v="190935299N0" u="1"/>
        <s v="192000248" u="1"/>
        <s v="58901828F0" u="1"/>
        <s v="192000620" u="1"/>
        <s v="731847" u="1"/>
        <s v="ANU311154" u="1"/>
        <s v="192000820" u="1"/>
        <s v="191937594Z0" u="1"/>
        <s v="192001160" u="1"/>
        <s v="191001812MO" u="1"/>
        <s v="192001260" u="1"/>
        <s v="ANU76P924345" u="1"/>
        <s v="191001360" u="1"/>
        <s v="191966075N0" u="1"/>
        <s v="58901878F0" u="1"/>
        <s v="58906359S0" u="1"/>
        <s v="403107" u="1"/>
        <s v="76P924723" u="1"/>
        <s v="166026" u="1"/>
        <s v="191916315N0" u="1"/>
        <s v="20970860" u="1"/>
        <s v="191001560" u="1"/>
        <s v="192001188" u="1"/>
        <s v="191001288" u="1"/>
        <s v="192000948" u="1"/>
        <s v="192933569Z0" u="1"/>
        <s v="192425" u="1"/>
        <s v="76P924923" u="1"/>
        <s v="270076" u="1"/>
        <s v="76P925263" u="1"/>
        <s v="58912271E0" u="1"/>
        <s v="252515" u="1"/>
        <s v="314419" u="1"/>
        <s v="ANU312194" u="1"/>
        <s v="422040" u="1"/>
        <s v="191001488" u="1"/>
        <s v="ANU132006" u="1"/>
        <s v="20PU473JU15" u="1"/>
        <s v="404041" u="1"/>
        <s v="191001588" u="1"/>
        <s v="76P925463" u="1"/>
        <s v="405041" u="1"/>
        <s v="314167" u="1"/>
        <s v="76P939753" u="1"/>
        <s v="65313300" u="1"/>
        <s v="259515" u="1"/>
        <s v="710081" u="1"/>
        <s v="191001888" u="1"/>
        <s v="ANU192403" u="1"/>
        <s v="191916357W0" u="1"/>
        <s v="191947019N0" u="1"/>
        <s v="192933254P0" u="1"/>
        <s v="30215985" u="1"/>
        <s v="190935024Z0" u="1"/>
        <s v="567369" u="1"/>
        <s v="192943163N0" u="1"/>
        <s v="190788" u="1"/>
        <s v="9789218" u="1"/>
        <s v="31306" u="1"/>
        <s v="734080" u="1"/>
        <s v="38T711A100" u="1"/>
        <s v="490866" u="1"/>
        <s v="76P926106" u="1"/>
        <s v="58901511V0" u="1"/>
        <s v="ANU20559129" u="1"/>
        <s v="95IB79018" u="1"/>
        <s v="ANU30212615" u="1"/>
        <s v="192933229N0" u="1"/>
        <s v="680007" u="1"/>
        <s v="30203004" u="1"/>
        <s v="9786490" u="1"/>
        <s v="320118" u="1"/>
        <s v="76P926406" u="1"/>
        <s v="30203014" u="1"/>
        <s v="ANU30212616" u="1"/>
        <s v="191966235B0" u="1"/>
        <s v="20PU324" u="1"/>
        <s v="30203024" u="1"/>
        <s v="58931029E0" u="1"/>
        <s v="192943763N0" u="1"/>
        <s v="402207" u="1"/>
        <s v="20PU325" u="1"/>
        <s v="92843" u="1"/>
        <s v="ANU30212617" u="1"/>
        <s v="20PU326" u="1"/>
        <s v="567106" u="1"/>
        <s v="192943004F0" u="1"/>
        <s v="252429" u="1"/>
        <s v="191946201Z0" u="1"/>
        <s v="590067" u="1"/>
        <s v="76P926806" u="1"/>
        <s v="569106" u="1"/>
        <s v="791057" u="1"/>
        <s v="190943204F0" u="1"/>
        <s v="ANU402132" u="1"/>
        <s v="192087" u="1"/>
        <s v="BR10D000" u="1"/>
        <s v="37938069J0" u="1"/>
        <s v="190711" u="1"/>
        <s v="9786496" u="1"/>
        <s v="58901625V0" u="1"/>
        <s v="402141" u="1"/>
        <s v="58931536C0" u="1"/>
        <s v="I616D000" u="1"/>
        <s v="58901635V0" u="1"/>
        <s v="191001852BL" u="1"/>
        <s v="766030" u="1"/>
        <s v="557069" u="1"/>
        <s v="9786498" u="1"/>
        <s v="768030" u="1"/>
        <s v="569040" u="1"/>
        <s v="9786499" u="1"/>
        <s v="192933567F0" u="1"/>
        <s v="314453" u="1"/>
        <s v="191966147V0" u="1"/>
        <s v="192933514D0" u="1"/>
        <s v="731180" u="1"/>
        <s v="567907" u="1"/>
        <s v="58901809F0" u="1"/>
        <s v="191888" u="1"/>
        <s v="25607" u="1"/>
        <s v="250978" u="1"/>
        <s v="192000258" u="1"/>
        <s v="76P924233" u="1"/>
        <s v="190010" u="1"/>
        <s v="192000730" u="1"/>
        <s v="111014" u="1"/>
        <s v="191947012G0" u="1"/>
        <s v="191946189D8" u="1"/>
        <s v="132013" u="1"/>
        <s v="58920329V0" u="1"/>
        <s v="191001170" u="1"/>
        <s v="192000830" u="1"/>
        <s v="251100" u="1"/>
        <s v="192933179Z0" u="1"/>
        <s v="192001270" u="1"/>
        <s v="9789350" u="1"/>
        <s v="191937607Z0" u="1"/>
        <s v="192000758" u="1"/>
        <s v="192439" u="1"/>
        <s v="490517" u="1"/>
        <s v="192001098" u="1"/>
        <s v="76P924733" u="1"/>
        <s v="080071" u="1"/>
        <s v="258100" u="1"/>
        <s v="191001198" u="1"/>
        <s v="76P925073" u="1"/>
        <s v="567206" u="1"/>
        <s v="20970861" u="1"/>
        <s v="191001570" u="1"/>
        <s v="252529" u="1"/>
        <s v="192001198" u="1"/>
        <s v="2510004" u="1"/>
        <s v="1100100076" u="1"/>
        <s v="422054" u="1"/>
        <s v="760130" u="1"/>
        <s v="ANU166005" u="1"/>
        <s v="ANU76P926149" u="1"/>
        <s v="191001670" u="1"/>
        <s v="405055" u="1"/>
        <s v="764130" u="1"/>
        <s v="191001498" u="1"/>
        <s v="76P925373" u="1"/>
        <s v="192943816Z0" u="1"/>
        <s v="191001870" u="1"/>
        <s v="403241" u="1"/>
        <s v="191001598" u="1"/>
        <s v="76P925473" u="1"/>
        <s v="557169" u="1"/>
        <s v="20204328" u="1"/>
        <s v="20925682" u="1"/>
        <s v="710095" u="1"/>
        <s v="569140" u="1"/>
        <s v="65333300" u="1"/>
        <s v="191001798" u="1"/>
        <s v="76P925673" u="1"/>
        <s v="192933822G0" u="1"/>
        <s v="192943354R0" u="1"/>
        <s v="734094" u="1"/>
        <s v="76P925773" u="1"/>
        <s v="192943835V0" u="1"/>
        <s v="191946986N0" u="1"/>
        <s v="20PU460" u="1"/>
        <s v="190933411N0" u="1"/>
        <s v="38T711A200" u="1"/>
        <s v="192988" u="1"/>
        <s v="192944375V0" u="1"/>
        <s v="192933569C0" u="1"/>
        <s v="192943473N0" u="1"/>
        <s v="253014" u="1"/>
        <s v="ANU567325" u="1"/>
        <s v="192933239N0" u="1"/>
        <s v="76P926316" u="1"/>
        <s v="191001816GR" u="1"/>
        <s v="30203005" u="1"/>
        <s v="58901632F0" u="1"/>
        <s v="191946294Q0" u="1"/>
        <s v="251200" u="1"/>
        <s v="76P926416" u="1"/>
        <s v="76P952224" u="1"/>
        <s v="30203015" u="1"/>
        <s v="20940833" u="1"/>
        <s v="400407" u="1"/>
        <s v="20PU466" u="1"/>
        <s v="30203025" u="1"/>
        <s v="20960842" u="1"/>
        <s v="20PU467" u="1"/>
        <s v="256200" u="1"/>
        <s v="58901562V0" u="1"/>
        <s v="490617" u="1"/>
        <s v="20PU468" u="1"/>
        <s v="76P926716" u="1"/>
        <s v="191947014D0" u="1"/>
        <s v="400155" u="1"/>
        <s v="405407" u="1"/>
        <s v="567306" u="1"/>
        <s v="58901987Y0" u="1"/>
        <s v="190725" u="1"/>
        <s v="402155" u="1"/>
        <s v="58931002P0" u="1"/>
        <s v="191937077D0" u="1"/>
        <s v="400341" u="1"/>
        <s v="766044" u="1"/>
        <s v="3330196056" u="1"/>
        <s v="190911" u="1"/>
        <s v="191946188K0" u="1"/>
        <s v="ANU192933547N0" u="1"/>
        <s v="58931032P0" u="1"/>
        <s v="2501008" u="1"/>
        <s v="567240" u="1"/>
        <s v="314467" u="1"/>
        <s v="2501009" u="1"/>
        <s v="C300B200" u="1"/>
        <s v="65343300" u="1"/>
        <s v="191916560" u="1"/>
        <s v="192944960L0" u="1"/>
        <s v="20939299" u="1"/>
        <s v="65943300" u="1"/>
        <s v="ANU190640" u="1"/>
        <s v="590004" u="1"/>
        <s v="555006492" u="1"/>
        <s v="191001815NE" u="1"/>
        <s v="132027" u="1"/>
        <s v="192933547Q0" u="1"/>
        <s v="313018" u="1"/>
        <s v="58940004C0" u="1"/>
        <s v="ANU403382" u="1"/>
        <s v="191210" u="1"/>
        <s v="76P924343" u="1"/>
        <s v="58906397C0" u="1"/>
        <s v="58920296V0" u="1"/>
        <s v="191916360P0" u="1"/>
        <s v="ANU76P924336" u="1"/>
        <s v="372201" u="1"/>
        <s v="ANU190668" u="1"/>
        <s v="192001180" u="1"/>
        <s v="192000940" u="1"/>
        <s v="30211810P" u="1"/>
        <s v="192001280" u="1"/>
        <s v="ANU76P924346" u="1"/>
        <s v="080085" u="1"/>
        <s v="400069" u="1"/>
        <s v="190639" u="1"/>
        <s v="76P924643" u="1"/>
        <s v="58940044C0" u="1"/>
        <s v="422068" u="1"/>
        <s v="520156" u="1"/>
        <s v="760144" u="1"/>
        <s v="653012921" u="1"/>
        <s v="191001480" u="1"/>
        <s v="58920398N0" u="1"/>
        <s v="76P924743" u="1"/>
        <s v="251729" u="1"/>
        <s v="404069" u="1"/>
        <s v="192000868" u="1"/>
        <s v="567406" u="1"/>
        <s v="20970862" u="1"/>
        <s v="191937055R0" u="1"/>
        <s v="192000968" u="1"/>
        <s v="76P925183" u="1"/>
        <s v="ANU166015" u="1"/>
        <s v="19916235D0" u="1"/>
        <s v="400441" u="1"/>
        <s v="58931310C0" u="1"/>
        <s v="20925663" u="1"/>
        <s v="252477" u="1"/>
        <s v="I609D000" u="1"/>
        <s v="192943826Z0" u="1"/>
        <s v="191001880" u="1"/>
        <s v="191947011N0" u="1"/>
        <s v="192933789Z0" u="1"/>
        <s v="403441" u="1"/>
        <s v="251663" u="1"/>
        <s v="191966057V7" u="1"/>
        <s v="567340" u="1"/>
        <s v="20559061" u="1"/>
        <s v="76P925583" u="1"/>
        <s v="191936987P0" u="1"/>
        <s v="ANU20546747" u="1"/>
        <s v="20559071" u="1"/>
        <s v="65353300" u="1"/>
        <s v="76P925683" u="1"/>
        <s v="192001055CA" u="1"/>
        <s v="192933179C0" u="1"/>
        <s v="190966036F0" u="1"/>
        <s v="191947039N0" u="1"/>
        <s v="766759" u="1"/>
        <s v="191966036F0" u="1"/>
        <s v="ANU20546748" u="1"/>
        <s v="192933221N0" u="1"/>
        <s v="65328100" u="1"/>
        <s v="76P926026" u="1"/>
        <s v="190933421N0" u="1"/>
        <s v="190124" u="1"/>
        <s v="590104" u="1"/>
        <s v="76P925983" u="1"/>
        <s v="192943283N0" u="1"/>
        <s v="493016" u="1"/>
        <s v="191946237F0" u="1"/>
        <s v="76P926126" u="1"/>
        <s v="251214" u="1"/>
        <s v="58901623F0" u="1"/>
        <s v="ANU567335" u="1"/>
        <s v="191966055B0" u="1"/>
        <s v="192001072BL" u="1"/>
        <s v="557106" u="1"/>
        <s v="760058" u="1"/>
        <s v="30203016" u="1"/>
        <s v="95IB15385" u="1"/>
        <s v="710032" u="1"/>
        <s v="559106" u="1"/>
        <s v="311052" u="1"/>
        <s v="30203026" u="1"/>
        <s v="192904200N0" u="1"/>
        <s v="9792489" u="1"/>
        <s v="192933549N0" u="1"/>
        <s v="402169" u="1"/>
        <s v="760244" u="1"/>
        <s v="58920143V0" u="1"/>
        <s v="490817" u="1"/>
        <s v="565068" u="1"/>
        <s v="766058" u="1"/>
        <s v="30213793PU" u="1"/>
        <s v="557040" u="1"/>
        <s v="58931003P0" u="1"/>
        <s v="403355" u="1"/>
        <s v="405355" u="1"/>
        <s v="190673" u="1"/>
        <s v="58920245N0" u="1"/>
        <s v="191946243L9" u="1"/>
        <s v="58931538C0" u="1"/>
        <s v="190937482Q0" u="1"/>
        <s v="251763" u="1"/>
        <s v="ANU191001508" u="1"/>
        <s v="ANU360007" u="1"/>
        <s v="58920760D0" u="1"/>
        <s v="192000250" u="1"/>
        <s v="20944100" u="1"/>
        <s v="320003" u="1"/>
        <s v="791008" u="1"/>
        <s v="190935304N0" u="1"/>
        <s v="65863300" u="1"/>
        <s v="65963300" u="1"/>
        <s v="65719510" u="1"/>
        <s v="192000178" u="1"/>
        <s v="58931502V0" u="1"/>
        <s v="58901716E7" u="1"/>
        <s v="191966367V0" u="1"/>
        <s v="191224" u="1"/>
        <s v="76P924153" u="1"/>
        <s v="ANU58901921R0" u="1"/>
        <s v="166011" u="1"/>
        <s v="192933557Q0" u="1"/>
        <s v="251314" u="1"/>
        <s v="ANU569218" u="1"/>
        <s v="58940005C0" u="1"/>
        <s v="314218" u="1"/>
        <s v="ANU403392" u="1"/>
        <s v="191001090" u="1"/>
        <s v="58906398C0" u="1"/>
        <s v="58920297V0" u="1"/>
        <s v="192001090" u="1"/>
        <s v="192410" u="1"/>
        <s v="ANU58901922R0" u="1"/>
        <s v="270061" u="1"/>
        <s v="11230400" u="1"/>
        <s v="ANU190678" u="1"/>
        <s v="192001190" u="1"/>
        <s v="252500" u="1"/>
        <s v="76P900029" u="1"/>
        <s v="550140" u="1"/>
        <s v="192000950" u="1"/>
        <s v="192933199Z0" u="1"/>
        <s v="192933571Z0" u="1"/>
        <s v="311152" u="1"/>
        <s v="192001290" u="1"/>
        <s v="400269" u="1"/>
        <s v="ANU58901923R0" u="1"/>
        <s v="2500286" u="1"/>
        <s v="76P924653" u="1"/>
        <s v="66918103" u="1"/>
        <s v="760344" u="1"/>
        <s v="191946968V0" u="1"/>
        <s v="2000028" u="1"/>
        <s v="191937065R0" u="1"/>
        <s v="760530" u="1"/>
        <s v="192000978" u="1"/>
        <s v="ANU166025" u="1"/>
        <s v="760092" u="1"/>
        <s v="403455" u="1"/>
        <s v="2000029" u="1"/>
        <s v="ANU58901925R0" u="1"/>
        <s v="58931311C0" u="1"/>
        <s v="191947021N0" u="1"/>
        <s v="490851" u="1"/>
        <s v="76P925493" u="1"/>
        <s v="191937217C0" u="1"/>
        <s v="ANU58901926R0" u="1"/>
        <s v="766092" u="1"/>
        <s v="ANU58920006Z0" u="1"/>
        <s v="9788976" u="1"/>
        <s v="768092" u="1"/>
        <s v="9788977" u="1"/>
        <s v="191916945N0" u="1"/>
        <s v="ANU58920007Z0" u="1"/>
        <s v="9788978" u="1"/>
        <s v="0494397" u="1"/>
        <s v="58901460V0" u="1"/>
        <s v="9788979" u="1"/>
        <s v="192933231N0" u="1"/>
        <s v="595002232" u="1"/>
        <s v="14100200" u="1"/>
        <s v="65873300" u="1"/>
        <s v="251228" u="1"/>
        <s v="405006" u="1"/>
        <s v="ANU20946695" u="1"/>
        <s v="37908552S0" u="1"/>
        <s v="20235590" u="1"/>
        <s v="191966346F0" u="1"/>
        <s v="252414" u="1"/>
        <s v="710046" u="1"/>
        <s v="ANU251192" u="1"/>
        <s v="30203007" u="1"/>
        <s v="250162" u="1"/>
        <s v="312066" u="1"/>
        <s v="192933206L0" u="1"/>
        <s v="760258" u="1"/>
        <s v="30203017" u="1"/>
        <s v="554054" u="1"/>
        <s v="9791966" u="1"/>
        <s v="30203027" u="1"/>
        <s v="192943793N0" u="1"/>
        <s v="192943368L0" u="1"/>
        <s v="9791967" u="1"/>
        <s v="191937125F0" u="1"/>
        <s v="65303210" u="1"/>
        <s v="192939" u="1"/>
        <s v="9791968" u="1"/>
        <s v="ANU251692" u="1"/>
        <s v="58901684F0" u="1"/>
        <s v="58931004P0" u="1"/>
        <s v="760192" u="1"/>
        <s v="58920731D0" u="1"/>
        <s v="191966058Z0" u="1"/>
        <s v="58920246N0" u="1"/>
        <s v="190966158Z0" u="1"/>
        <s v="731846" u="1"/>
        <s v="20229064" u="1"/>
        <s v="58920551V9" u="1"/>
        <s v="ID204001" u="1"/>
        <s v="58914492G0" u="1"/>
        <s v="250103638" u="1"/>
        <s v="360015" u="1"/>
        <s v="191966358Z0" u="1"/>
        <s v="ANU76P924307" u="1"/>
        <s v="65583300" u="1"/>
        <s v="58920805D0" u="1"/>
        <s v="58931521N0" u="1"/>
        <s v="H720E000" u="1"/>
        <s v="190935314N0" u="1"/>
        <s v="166025" u="1"/>
        <s v="567005" u="1"/>
        <s v="9789200" u="1"/>
        <s v="58931503V0" u="1"/>
        <s v="76P900011" u="1"/>
        <s v="192424" u="1"/>
        <s v="9789201" u="1"/>
        <s v="270075" u="1"/>
        <s v="610058" u="1"/>
        <s v="3330196190" u="1"/>
        <s v="190933381Z0" u="1"/>
        <s v="192933997F0" u="1"/>
        <s v="251076" u="1"/>
        <s v="191000760" u="1"/>
        <s v="58940006C0" u="1"/>
        <s v="190966196R0" u="1"/>
        <s v="191966329G0" u="1"/>
        <s v="252514" u="1"/>
        <s v="314418" u="1"/>
        <s v="401040" u="1"/>
        <s v="192000760" u="1"/>
        <s v="190935386L0" u="1"/>
        <s v="58906399C0" u="1"/>
        <s v="58920298V0" u="1"/>
        <s v="192933381Z0" u="1"/>
        <s v="ANU76P924337" u="1"/>
        <s v="76P924463" u="1"/>
        <s v="251262" u="1"/>
        <s v="192001003" u="1"/>
        <s v="20930836" u="1"/>
        <s v="192000960" u="1"/>
        <s v="ANU76P924347" u="1"/>
        <s v="9789205" u="1"/>
        <s v="192000688" u="1"/>
        <s v="192001103" u="1"/>
        <s v="191001203" u="1"/>
        <s v="76P924663" u="1"/>
        <s v="2084153461" u="1"/>
        <s v="192000788" u="1"/>
        <s v="192001203" u="1"/>
        <s v="403469" u="1"/>
        <s v="710080" u="1"/>
        <s v="76P924763" u="1"/>
        <s v="490679" u="1"/>
        <s v="191916355N0" u="1"/>
        <s v="405469" u="1"/>
        <s v="567368" u="1"/>
        <s v="76P924863" u="1"/>
        <s v="190787" u="1"/>
        <s v="30215895" u="1"/>
        <s v="192000988" u="1"/>
        <s v="76P925006" u="1"/>
        <s v="5610341899" u="1"/>
        <s v="191001503" u="1"/>
        <s v="191966218N0" u="1"/>
        <s v="192787" u="1"/>
        <s v="490865" u="1"/>
        <s v="76P925106" u="1"/>
        <s v="58901511F0" u="1"/>
        <s v="191001703" u="1"/>
        <s v="58901431V0" u="1"/>
        <s v="421019" u="1"/>
        <s v="320117" u="1"/>
        <s v="422019" u="1"/>
        <s v="191001903" u="1"/>
        <s v="9786481" u="1"/>
        <s v="58931252S0" u="1"/>
        <s v="192933571C0" u="1"/>
        <s v="402206" u="1"/>
        <s v="H721E000" u="1"/>
        <s v="I302D000" u="1"/>
        <s v="372329" u="1"/>
        <s v="9786483" u="1"/>
        <s v="192933394P0" u="1"/>
        <s v="190943106N0" u="1"/>
        <s v="191966003D0" u="1"/>
        <s v="192943159P0" u="1"/>
        <s v="567105" u="1"/>
        <s v="76P926046" u="1"/>
        <s v="252428" u="1"/>
        <s v="9786484" u="1"/>
        <s v="58901505V0" u="1"/>
        <s v="569105" u="1"/>
        <s v="190710" u="1"/>
        <s v="58901625F0" u="1"/>
        <s v="191947025H0" u="1"/>
        <s v="403140" u="1"/>
        <s v="30203008" u="1"/>
        <s v="557068" u="1"/>
        <s v="76P926446" u="1"/>
        <s v="30203018" u="1"/>
        <s v="T422D000" u="1"/>
        <s v="76P926546" u="1"/>
        <s v="9786489" u="1"/>
        <s v="30203028" u="1"/>
        <s v="610092" u="1"/>
        <s v="760644" u="1"/>
        <s v="314452" u="1"/>
        <s v="20970148PRM" u="1"/>
        <s v="191946190K0" u="1"/>
        <s v="58901609V0" u="1"/>
        <s v="58931005P0" u="1"/>
        <s v="760392" u="1"/>
        <s v="1100100113" u="1"/>
        <s v="250977" u="1"/>
        <s v="191937054B0" u="1"/>
        <s v="76P963131" u="1"/>
        <s v="58920732D0" u="1"/>
        <s v="191966068Z0" u="1"/>
        <s v="58931510F0" u="1"/>
        <s v="58920247N0" u="1"/>
        <s v="58901639V0" u="1"/>
        <s v="20960929" u="1"/>
        <s v="ID204002" u="1"/>
        <s v="191947019B0" u="1"/>
        <s v="132012" u="1"/>
        <s v="763009" u="1"/>
        <s v="ANU191001509" u="1"/>
        <s v="313003" u="1"/>
        <s v="731794" u="1"/>
        <s v="315003" u="1"/>
        <s v="766009" u="1"/>
        <s v="76P962919" u="1"/>
        <s v="567019" u="1"/>
        <s v="58920744L0" u="1"/>
        <s v="768009" u="1"/>
        <s v="192000370" u="1"/>
        <s v="H722E000" u="1"/>
        <s v="192438" u="1"/>
        <s v="080070" u="1"/>
        <s v="25001802" u="1"/>
        <s v="405306" u="1"/>
        <s v="567205" u="1"/>
        <s v="252528" u="1"/>
        <s v="58931504V0" u="1"/>
        <s v="9786820" u="1"/>
        <s v="76P900021" u="1"/>
        <s v="422053" u="1"/>
        <s v="H224F700" u="1"/>
        <s v="192943519D0" u="1"/>
        <s v="192000670" u="1"/>
        <s v="58901813I0" u="1"/>
        <s v="313618" u="1"/>
        <s v="400240" u="1"/>
        <s v="192000770" u="1"/>
        <s v="575167" u="1"/>
        <s v="76P963759" u="1"/>
        <s v="9786823" u="1"/>
        <s v="192000870" u="1"/>
        <s v="76P924473" u="1"/>
        <s v="ANU191001549" u="1"/>
        <s v="405240" u="1"/>
        <s v="9789346" u="1"/>
        <s v="192001013" u="1"/>
        <s v="252462" u="1"/>
        <s v="9786824" u="1"/>
        <s v="192000970" u="1"/>
        <s v="190966200N0" u="1"/>
        <s v="710094" u="1"/>
        <s v="ANU191213" u="1"/>
        <s v="192001113" u="1"/>
        <s v="58940047C0" u="1"/>
        <s v="192000798" u="1"/>
        <s v="192001213" u="1"/>
        <s v="734093" u="1"/>
        <s v="192933791Z0" u="1"/>
        <s v="192000898" u="1"/>
        <s v="20PU450" u="1"/>
        <s v="58901788E7" u="1"/>
        <s v="76P924873" u="1"/>
        <s v="192000998" u="1"/>
        <s v="760492" u="1"/>
        <s v="20PU451" u="1"/>
        <s v="76P925016" u="1"/>
        <s v="76P924973" u="1"/>
        <s v="20PU452" u="1"/>
        <s v="76P925116" u="1"/>
        <s v="3330196187" u="1"/>
        <s v="58906374V0" u="1"/>
        <s v="490001" u="1"/>
        <s v="191966328N0" u="1"/>
        <s v="30212613PS" u="1"/>
        <s v="192933181C0" u="1"/>
        <s v="760109" u="1"/>
        <s v="20PU453" u="1"/>
        <s v="191947041N0" u="1"/>
        <s v="ANU192933473F0" u="1"/>
        <s v="191001713" u="1"/>
        <s v="192904198Z0" u="1"/>
        <s v="20940713" u="1"/>
        <s v="192943194R0" u="1"/>
        <s v="76P925316" u="1"/>
        <s v="191946959C0" u="1"/>
        <s v="564119" u="1"/>
        <s v="764109" u="1"/>
        <s v="1100100130" u="1"/>
        <s v="ANU20969726" u="1"/>
        <s v="400406" u="1"/>
        <s v="766109" u="1"/>
        <s v="76P925616" u="1"/>
        <s v="58901562F0" u="1"/>
        <s v="191966066F0" u="1"/>
        <s v="192943346C0" u="1"/>
        <s v="20PU458" u="1"/>
        <s v="405406" u="1"/>
        <s v="190724" u="1"/>
        <s v="20PU459" u="1"/>
        <s v="402154" u="1"/>
        <s v="65688100" u="1"/>
        <s v="76P926156" u="1"/>
        <s v="76P925916" u="1"/>
        <s v="766043" u="1"/>
        <s v="ANU490860" u="1"/>
        <s v="192933551N0" u="1"/>
        <s v="190910" u="1"/>
        <s v="567053" u="1"/>
        <s v="58901626F0" u="1"/>
        <s v="768043" u="1"/>
        <s v="30203009" u="1"/>
        <s v="65124610" u="1"/>
        <s v="192933379N0" u="1"/>
        <s v="30203019" u="1"/>
        <s v="314466" u="1"/>
        <s v="191946237Q0" u="1"/>
        <s v="30203029" u="1"/>
        <s v="D111A000" u="1"/>
        <s v="191947054D0" u="1"/>
        <s v="ANU25010262" u="1"/>
        <s v="5610209753" u="1"/>
        <s v="192943816N0" u="1"/>
        <s v="D131A000" u="1"/>
        <s v="76P926856" u="1"/>
        <s v="3330207866" u="1"/>
        <s v="590003" u="1"/>
        <s v="58931501F0" u="1"/>
        <s v="551005" u="1"/>
        <s v="192001055NE" u="1"/>
        <s v="191966078Z0" u="1"/>
        <s v="132026" u="1"/>
        <s v="552005" u="1"/>
        <s v="ANU76P925683" u="1"/>
        <s v="D181A000" u="1"/>
        <s v="760209" u="1"/>
        <s v="58931036P0" u="1"/>
        <s v="20969044" u="1"/>
        <s v="11210300" u="1"/>
        <s v="192000180" u="1"/>
        <s v="H450E100" u="1"/>
        <s v="192001072MO" u="1"/>
        <s v="ANU76P924308" u="1"/>
        <s v="080084" u="1"/>
        <s v="ANU58906318W0" u="1"/>
        <s v="567219" u="1"/>
        <s v="192000380" u="1"/>
        <s v="58920783D0" u="1"/>
        <s v="422067" u="1"/>
        <s v="760143" u="1"/>
        <s v="191946951Z0" u="1"/>
        <s v="ANU20970858" u="1"/>
        <s v="569219" u="1"/>
        <s v="58901760I0" u="1"/>
        <s v="192638" u="1"/>
        <s v="302084521" u="1"/>
        <s v="251728" u="1"/>
        <s v="420253" u="1"/>
        <s v="25001803" u="1"/>
        <s v="567405" u="1"/>
        <s v="ANU190680" u="1"/>
        <s v="58931505V0" u="1"/>
        <s v="ANU58920064G0" u="1"/>
        <s v="76P900031" u="1"/>
        <s v="65698100" u="1"/>
        <s v="ANU20569916" u="1"/>
        <s v="403254" u="1"/>
        <s v="372377" u="1"/>
        <s v="9788821" u="1"/>
        <s v="400440" u="1"/>
        <s v="252476" u="1"/>
        <s v="191946970V0" u="1"/>
        <s v="58940018C0" u="1"/>
        <s v="191966068C0" u="1"/>
        <s v="192933204Z0" u="1"/>
        <s v="403440" u="1"/>
        <s v="ANU58901090R0" u="1"/>
        <s v="490650" u="1"/>
        <s v="9788823" u="1"/>
        <s v="251662" u="1"/>
        <s v="192001023" u="1"/>
        <s v="9788824" u="1"/>
        <s v="192000980" u="1"/>
        <s v="ANU191223" u="1"/>
        <s v="192933404Z0" u="1"/>
        <s v="20PU590" u="1"/>
        <s v="191966038N0" u="1"/>
        <s v="766758" u="1"/>
        <s v="20PU592" u="1"/>
        <s v="610009" u="1"/>
        <s v="491015" u="1"/>
        <s v="192933372G0" u="1"/>
        <s v="190123" u="1"/>
        <s v="191001523" u="1"/>
        <s v="76P924983" u="1"/>
        <s v="ANU600002" u="1"/>
        <s v="311117" u="1"/>
        <s v="493015" u="1"/>
        <s v="190966338N0" u="1"/>
        <s v="191937047C0" u="1"/>
        <s v="20PU594" u="1"/>
        <s v="20940670" u="1"/>
        <s v="58906375V0" u="1"/>
        <s v="312117" u="1"/>
        <s v="ANU551003361" u="1"/>
        <s v="ANU58901705A0" u="1"/>
        <s v="251213" u="1"/>
        <s v="560319" u="1"/>
        <s v="760309" u="1"/>
        <s v="20PU595" u="1"/>
        <s v="20PU596" u="1"/>
        <s v="76P925326" u="1"/>
        <s v="58901948I0" u="1"/>
        <s v="ANU551003371" u="1"/>
        <s v="557105" u="1"/>
        <s v="20PU597" u="1"/>
        <s v="760057" u="1"/>
        <s v="H451E100" u="1"/>
        <s v="191001923" u="1"/>
        <s v="710031" u="1"/>
        <s v="559105" u="1"/>
        <s v="9792478" u="1"/>
        <s v="20976930" u="1"/>
        <s v="20PU598" u="1"/>
        <s v="191001832AM" u="1"/>
        <s v="567319" u="1"/>
        <s v="583504" u="1"/>
        <s v="31201" u="1"/>
        <s v="9792479" u="1"/>
        <s v="20PU599" u="1"/>
        <s v="30208452PU" u="1"/>
        <s v="31301" u="1"/>
        <s v="764057" u="1"/>
        <s v="734030" u="1"/>
        <s v="490816" u="1"/>
        <s v="20559129" u="1"/>
        <s v="400354" u="1"/>
        <s v="766057" u="1"/>
        <s v="191937995R0" u="1"/>
        <s v="403354" u="1"/>
        <s v="20976970" u="1"/>
        <s v="191937189L0" u="1"/>
        <s v="191966376F0" u="1"/>
        <s v="192943370L0" u="1"/>
        <s v="76P926366" u="1"/>
        <s v="ANU76P926018" u="1"/>
        <s v="251762" u="1"/>
        <s v="76P926466" u="1"/>
        <s v="191946247Q0" u="1"/>
        <s v="192933489N0" u="1"/>
        <s v="731831" u="1"/>
        <s v="191001928C0" u="1"/>
        <s v="191937002D0" u="1"/>
        <s v="76P926666" u="1"/>
        <s v="192944491P0" u="1"/>
        <s v="ANU76P926038" u="1"/>
        <s v="191916300Z0" u="1"/>
        <s v="372028" u="1"/>
        <s v="610109" u="1"/>
        <s v="58931502F0" u="1"/>
        <s v="191001827VE" u="1"/>
        <s v="191223" u="1"/>
        <s v="192001065NE" u="1"/>
        <s v="165010" u="1"/>
        <s v="58920734D0" u="1"/>
        <s v="191966088Z0" u="1"/>
        <s v="191937125Q0" u="1"/>
        <s v="166010" u="1"/>
        <s v="314217" u="1"/>
        <s v="192943785V7" u="1"/>
        <s v="372400" u="1"/>
        <s v="58920692L0" u="1"/>
        <s v="270060" u="1"/>
        <s v="192000190" u="1"/>
        <s v="760157" u="1"/>
        <s v="311151" u="1"/>
        <s v="192933474D0" u="1"/>
        <s v="400268" u="1"/>
        <s v="ANU569230" u="1"/>
        <s v="190903485B0" u="1"/>
        <s v="191946961Z0" u="1"/>
        <s v="25001804" u="1"/>
        <s v="191937067Z0" u="1"/>
        <s v="190966201R0" u="1"/>
        <s v="ANU520811" u="1"/>
        <s v="190935019L0" u="1"/>
        <s v="ANU58920400G0" u="1"/>
        <s v="403454" u="1"/>
        <s v="569167" u="1"/>
        <s v="192000690" u="1"/>
        <s v="567353" u="1"/>
        <s v="58920786L0" u="1"/>
        <s v="192000790" u="1"/>
        <s v="58931221C0" u="1"/>
        <s v="490850" u="1"/>
        <s v="192001033" u="1"/>
        <s v="58912228E0" u="1"/>
        <s v="192000990" u="1"/>
        <s v="192001133" u="1"/>
        <s v="592001132" u="1"/>
        <s v="259676" u="1"/>
        <s v="420004" u="1"/>
        <s v="192001233" u="1"/>
        <s v="192943476Z0" u="1"/>
        <s v="191966048N0" u="1"/>
        <s v="H224A800" u="1"/>
        <s v="58931261C0" u="1"/>
        <s v="58901360V0" u="1"/>
        <s v="58901460F0" u="1"/>
        <s v="76P924893" u="1"/>
        <s v="14100100" u="1"/>
        <s v="251227" u="1"/>
        <s v="20940671" u="1"/>
        <s v="58906376V0" u="1"/>
        <s v="58931315C0" u="1"/>
        <s v="ANU610074" u="1"/>
        <s v="ANU30215895" u="1"/>
        <s v="252413" u="1"/>
        <s v="1104000042" u="1"/>
        <s v="190935257D0" u="1"/>
        <s v="191966448N0" u="1"/>
        <s v="190071" u="1"/>
        <s v="710045" u="1"/>
        <s v="11140300" u="1"/>
        <s v="191001833" u="1"/>
        <s v="ANU400322" u="1"/>
        <s v="20559066" u="1"/>
        <s v="192943161P0" u="1"/>
        <s v="H453E100" u="1"/>
        <s v="191001933" u="1"/>
        <s v="554053" u="1"/>
        <s v="734044" u="1"/>
        <s v="R210E000" u="1"/>
        <s v="R220E000" u="1"/>
        <s v="76P925536" u="1"/>
        <s v="R230E000" u="1"/>
        <s v="191933404C0" u="1"/>
        <s v="58912270P0" u="1"/>
        <s v="76P925636" u="1"/>
        <s v="25010351" u="1"/>
        <s v="110106924402" u="1"/>
        <s v="19966052L0" u="1"/>
        <s v="76P925836" u="1"/>
        <s v="58920064V0" u="1"/>
        <s v="760191" u="1"/>
        <s v="190935294Z0" u="1"/>
        <s v="76P962121" u="1"/>
        <s v="192935294Z0" u="1"/>
        <s v="ANU567385" u="1"/>
        <s v="58920084V0" u="1"/>
        <s v="731845" u="1"/>
        <s v="58920551F9" u="1"/>
        <s v="76P926476" u="1"/>
        <s v="ANU76P924235" u="1"/>
        <s v="76P926576" u="1"/>
        <s v="58901700A0" u="1"/>
        <s v="191937012D0" u="1"/>
        <s v="191966070Z0" u="1"/>
        <s v="65338001" u="1"/>
        <s v="191947021B0" u="1"/>
        <s v="ANU76P925674" u="1"/>
        <s v="76P927019" u="1"/>
        <s v="58931503F0" u="1"/>
        <s v="191937999L0" u="1"/>
        <s v="192423" u="1"/>
        <s v="312417" u="1"/>
        <s v="270074" u="1"/>
        <s v="191937184B0" u="1"/>
        <s v="58912071E0" u="1"/>
        <s v="191946199Z0" u="1"/>
        <s v="252513" u="1"/>
        <s v="06.145.0005" u="1"/>
        <s v="251261" u="1"/>
        <s v="20925515" u="1"/>
        <s v="ANU569140" u="1"/>
        <s v="192943521D0" u="1"/>
        <s v="58920785D0" u="1"/>
        <s v="403468" u="1"/>
        <s v="20226994" u="1"/>
        <s v="25001805" u="1"/>
        <s v="ANU559106" u="1"/>
        <s v="405468" u="1"/>
        <s v="190786" u="1"/>
        <s v="191946790V0" u="1"/>
        <s v="01.033.0001" u="1"/>
        <s v="H522E000" u="1"/>
        <s v="9789334" u="1"/>
        <s v="9786818" u="1"/>
        <s v="R120E000" u="1"/>
        <s v="R130E000" u="1"/>
        <s v="C300B000" u="1"/>
        <s v="H450E000" u="1"/>
        <s v="76XX3035N-06" u="1"/>
        <s v="T111D000" u="1"/>
        <s v="9788816" u="1"/>
        <s v="9788819" u="1"/>
        <s v="I610E100" u="1"/>
        <s v="H451E000" u="1"/>
        <s v="9788958" u="1"/>
        <s v="H224A700" u="1"/>
        <s v="9788959" u="1"/>
        <s v="H453E000" u="1"/>
        <s v="9786327" u="1"/>
        <s v="9786328" u="1"/>
        <s v="9787328" u="1"/>
        <s v="9786463" u="1"/>
        <s v="H710F200" u="1"/>
        <s v="9789325" u="1"/>
        <s v="95IB15388" u="1"/>
        <s v="H711F200" u="1"/>
        <s v="3FKFS250218" u="1"/>
        <s v="9788801" u="1"/>
        <s v="I610E000" u="1"/>
        <s v="H232E000" u="1"/>
        <s v="95IBSG100" u="1"/>
        <s v="H233E000" u="1"/>
        <s v="9786450" u="1"/>
        <s v="D111G000" u="1"/>
        <s v="H111E000" u="1"/>
        <s v="H112E000" u="1"/>
        <s v="20402" u="1"/>
        <s v="9789319" u="1"/>
        <s v="H113E000" u="1"/>
        <s v="H114E000" u="1"/>
        <s v="10000103" u="1"/>
        <s v="95IB78233" u="1"/>
        <s v="H224A500" u="1"/>
        <s v="9786304" u="1"/>
        <s v="H952A100" u="1"/>
        <s v="3FKSS230210" u="1"/>
        <s v="91184" u="1"/>
        <s v="10000012" u="1"/>
        <s v="02.001.0041" u="1"/>
        <s v="10000013" u="1"/>
        <s v="D111B000" u="1"/>
        <s v="D131B000" u="1"/>
        <s v="D141B000" u="1"/>
        <s v="06.007.0007" u="1"/>
        <s v="01827451" u="1"/>
        <s v="0442480" u="1"/>
        <s v="0442486" u="1"/>
        <s v="H920A000" u="1"/>
        <s v="D112B000" u="1"/>
        <s v="BM2B" u="1"/>
        <s v="H921A000" u="1"/>
        <s v="9786097" u="1"/>
        <s v="H922A000" u="1"/>
        <s v="9786431" u="1"/>
        <s v="9786432" u="1"/>
        <s v="9786433" u="1"/>
        <s v="9786434" u="1"/>
        <s v="9786436" u="1"/>
        <s v="9786439" u="1"/>
        <s v="01.007.0015" u="1"/>
        <s v="H923A000" u="1"/>
        <s v="H953A000" u="1"/>
        <s v="95IB56614" u="1"/>
        <s v="H924A000" u="1"/>
        <s v="H954A000" u="1"/>
        <s v="H611A100" u="1"/>
        <s v="H621A100" u="1"/>
        <s v="H631A100" u="1"/>
        <s v="H641A100" u="1"/>
        <s v="H621A160" u="1"/>
        <s v="H631A180" u="1"/>
        <s v="01.013.0059" u="1"/>
        <s v="01827444" u="1"/>
        <s v="9787579" u="1"/>
        <s v="H652A100" u="1"/>
        <s v="T711A300" u="1"/>
        <s v="R120F000" u="1"/>
        <s v="VEC010BD" u="1"/>
        <s v="H700A000" u="1"/>
        <s v="H720A000" u="1"/>
        <s v="H700A030" u="1"/>
        <s v="H700A050" u="1"/>
        <s v="H700A070" u="1"/>
        <s v="H700A080" u="1"/>
        <s v="T113A600" u="1"/>
        <s v="H451F000" u="1"/>
        <s v="H700A090" u="1"/>
        <s v="95IB78016" u="1"/>
        <s v="H511A100" u="1"/>
        <s v="H711A000" u="1"/>
        <s v="H721A000" u="1"/>
        <s v="H511A140" u="1"/>
        <s v="95IB85865" u="1"/>
        <s v="01827436" u="1"/>
        <s v="H512A100" u="1"/>
        <s v="H722A000" u="1"/>
        <s v="H224B700" u="1"/>
        <s v="H512A140" u="1"/>
        <s v="T421A400" u="1"/>
        <s v="H224B730" u="1"/>
        <s v="9786427" u="1"/>
        <s v="9786428" u="1"/>
        <s v="H224F100" u="1"/>
        <s v="01.040.0012" u="1"/>
        <s v="H700A012" u="1"/>
        <s v="06.166.0011" u="1"/>
        <s v="H251A200" u="1"/>
        <s v="H651A000" u="1"/>
        <s v="95IB20192" u="1"/>
        <s v="H261A200" u="1"/>
        <s v="H671A000" u="1"/>
        <s v="H681A000" u="1"/>
        <s v="01827394" u="1"/>
        <s v="01827428" u="1"/>
        <s v="H262A200" u="1"/>
        <s v="T711A200" u="1"/>
        <s v="H653A000" u="1"/>
        <s v="H634A000" u="1"/>
        <s v="T113A500" u="1"/>
        <s v="VEC1087CBD" u="1"/>
        <s v="H311A100" u="1"/>
        <s v="H321A100" u="1"/>
        <s v="H521A000" u="1"/>
        <s v="H331A100" u="1"/>
        <s v="H341A100" u="1"/>
        <s v="H311A120" u="1"/>
        <s v="H351A100" u="1"/>
        <s v="H321A120" u="1"/>
        <s v="H361A100" u="1"/>
        <s v="H331A120" u="1"/>
        <s v="H371A100" u="1"/>
        <s v="BBC2CB - LA" u="1"/>
        <s v="H341A120" u="1"/>
        <s v="H361A110" u="1"/>
        <s v="H381A100" u="1"/>
        <s v="H371A110" u="1"/>
        <s v="H635A000" u="1"/>
        <s v="H351A130" u="1"/>
        <s v="H381A120" u="1"/>
        <s v="H521A060" u="1"/>
        <s v="WLS17B" u="1"/>
        <s v="H522A000" u="1"/>
        <s v="T421A300" u="1"/>
        <s v="H636A000" u="1"/>
        <s v="H522A070" u="1"/>
        <s v="9786418" u="1"/>
        <s v="H523A000" u="1"/>
        <s v="R120A000" u="1"/>
        <s v="R130A000" u="1"/>
        <s v="R170A000" u="1"/>
        <s v="H523A050" u="1"/>
        <s v="H224F000" u="1"/>
        <s v="95IB69144" u="1"/>
        <s v="H410A000" u="1"/>
        <s v="H410A010" u="1"/>
        <s v="H450A000" u="1"/>
        <s v="H460A000" u="1"/>
        <s v="D111H000" u="1"/>
        <s v="D111H010" u="1"/>
        <s v="R171A000" u="1"/>
        <s v="AI74CML6" u="1"/>
        <s v="H451A000" u="1"/>
        <s v="H461A000" u="1"/>
        <s v="H515A000" u="1"/>
        <s v="H710G100" u="1"/>
        <s v="45ST3022" u="1"/>
        <s v="9787559" u="1"/>
        <s v="95IB79019" u="1"/>
        <s v="H252A100" u="1"/>
        <s v="H462A000" u="1"/>
        <s v="H711G100" u="1"/>
        <s v="T711A100" u="1"/>
        <s v="H403A000" u="1"/>
        <s v="06.002.0015" u="1"/>
        <s v="H453A000" u="1"/>
        <s v="H403A030" u="1"/>
        <s v="H300A000" u="1"/>
        <s v="H224A100" u="1"/>
        <s v="T113A400" u="1"/>
        <s v="T427A300" u="1"/>
        <s v="H301A000" u="1"/>
        <s v="D111C100" u="1"/>
        <s v="H161A100" u="1"/>
        <s v="H391A000" u="1"/>
        <s v="06.018.0007" u="1"/>
        <s v="H391A030" u="1"/>
        <s v="H312A000" u="1"/>
        <s v="H322A000" u="1"/>
        <s v="H332A000" u="1"/>
        <s v="H162A100" u="1"/>
        <s v="H392A000" u="1"/>
        <s v="T611A100" u="1"/>
        <s v="T421A200" u="1"/>
        <s v="9786406" u="1"/>
        <s v="H313A000" u="1"/>
        <s v="H323A000" u="1"/>
        <s v="H333A000" u="1"/>
        <s v="H407A000" u="1"/>
        <s v="H393A000" u="1"/>
        <s v="T422A200" u="1"/>
        <s v="9787406" u="1"/>
        <s v="9787407" u="1"/>
      </sharedItems>
    </cacheField>
    <cacheField name="MES" numFmtId="14">
      <sharedItems containsNonDate="0" containsDate="1" containsString="0" containsBlank="1" minDate="2014-01-01T00:00:00" maxDate="2017-02-02T00:00:00" count="39">
        <m/>
        <d v="2014-08-01T00:00:00" u="1"/>
        <d v="2015-08-01T00:00:00" u="1"/>
        <d v="2016-08-01T00:00:00" u="1"/>
        <d v="2014-07-01T00:00:00" u="1"/>
        <d v="2015-07-01T00:00:00" u="1"/>
        <d v="2016-07-01T00:00:00" u="1"/>
        <d v="2014-06-01T00:00:00" u="1"/>
        <d v="2015-06-01T00:00:00" u="1"/>
        <d v="2016-06-01T00:00:00" u="1"/>
        <d v="2014-05-01T00:00:00" u="1"/>
        <d v="2015-05-01T00:00:00" u="1"/>
        <d v="2016-05-01T00:00:00" u="1"/>
        <d v="2014-04-01T00:00:00" u="1"/>
        <d v="2015-04-01T00:00:00" u="1"/>
        <d v="2016-04-01T00:00:00" u="1"/>
        <d v="2014-03-01T00:00:00" u="1"/>
        <d v="2015-03-01T00:00:00" u="1"/>
        <d v="2016-03-01T00:00:00" u="1"/>
        <d v="2014-02-01T00:00:00" u="1"/>
        <d v="2014-12-01T00:00:00" u="1"/>
        <d v="2015-02-01T00:00:00" u="1"/>
        <d v="2015-12-01T00:00:00" u="1"/>
        <d v="2016-02-01T00:00:00" u="1"/>
        <d v="2016-12-01T00:00:00" u="1"/>
        <d v="2017-02-01T00:00:00" u="1"/>
        <d v="2014-01-01T00:00:00" u="1"/>
        <d v="2014-11-01T00:00:00" u="1"/>
        <d v="2015-01-01T00:00:00" u="1"/>
        <d v="2015-11-01T00:00:00" u="1"/>
        <d v="2016-01-01T00:00:00" u="1"/>
        <d v="2016-11-01T00:00:00" u="1"/>
        <d v="2017-01-01T00:00:00" u="1"/>
        <d v="2014-10-01T00:00:00" u="1"/>
        <d v="2015-10-01T00:00:00" u="1"/>
        <d v="2016-10-01T00:00:00" u="1"/>
        <d v="2014-09-01T00:00:00" u="1"/>
        <d v="2015-09-01T00:00:00" u="1"/>
        <d v="2016-09-01T00:00:00" u="1"/>
      </sharedItems>
    </cacheField>
    <cacheField name="EGRESOS" numFmtId="0">
      <sharedItems containsNonDate="0" containsString="0" containsBlank="1"/>
    </cacheField>
    <cacheField name="DEVOLUCIONES" numFmtId="0">
      <sharedItems containsNonDate="0" containsString="0" containsBlank="1"/>
    </cacheField>
    <cacheField name="INGRESO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Carlos Semanate" refreshedDate="42827.766484259257" createdVersion="5" refreshedVersion="5" minRefreshableVersion="3" recordCount="1">
  <cacheSource type="worksheet">
    <worksheetSource name="Tabla_Transito_Detallado"/>
  </cacheSource>
  <cacheFields count="14">
    <cacheField name="CODTRANSFER" numFmtId="0">
      <sharedItems containsSemiMixedTypes="0" containsString="0" containsNumber="1" containsInteger="1" minValue="32" maxValue="237" count="4">
        <n v="35"/>
        <n v="234" u="1"/>
        <n v="237" u="1"/>
        <n v="32" u="1"/>
      </sharedItems>
    </cacheField>
    <cacheField name="CODIGO" numFmtId="0">
      <sharedItems containsBlank="1" count="8">
        <s v="24603"/>
        <m u="1"/>
        <s v="24231" u="1"/>
        <s v="20836" u="1"/>
        <s v="MMB90" u="1"/>
        <s v="10000000972" u="1"/>
        <s v="10000000973" u="1"/>
        <s v="MMB60" u="1"/>
      </sharedItems>
    </cacheField>
    <cacheField name="DESCRIPCION" numFmtId="0">
      <sharedItems containsBlank="1" count="8">
        <s v="SPIRAL DREN CON TROCAR 15FR/CH"/>
        <m u="1"/>
        <s v="DESMALEZADORA B450R (B450EMC)" u="1"/>
        <s v="ALFOMBRA BACTERICIDA MULTIMAT" u="1"/>
        <s v="ALFOMBRA BACTERICIDAD MULTIMAT 90 X 115C" u="1"/>
        <s v="Catéter Torácco Silicón recto CH 36 / 12" u="1"/>
        <s v="DESMALEZADORA B530" u="1"/>
        <s v="DREN REDONDO DE SILICON TIPO JACKSON PRA" u="1"/>
      </sharedItems>
    </cacheField>
    <cacheField name="GRUPO" numFmtId="0">
      <sharedItems containsNonDate="0" containsBlank="1" count="2">
        <m/>
        <s v="MOTOGUADAÑA SHINDAIWA" u="1"/>
      </sharedItems>
    </cacheField>
    <cacheField name="LINEA" numFmtId="0">
      <sharedItems containsNonDate="0" containsBlank="1" count="2">
        <m/>
        <s v="AGROFORESTAL" u="1"/>
      </sharedItems>
    </cacheField>
    <cacheField name="TRANSITO" numFmtId="0">
      <sharedItems containsSemiMixedTypes="0" containsString="0" containsNumber="1" containsInteger="1" minValue="6" maxValue="80" count="7">
        <n v="10"/>
        <n v="75" u="1"/>
        <n v="74" u="1"/>
        <n v="6" u="1"/>
        <n v="20" u="1"/>
        <n v="68" u="1"/>
        <n v="80" u="1"/>
      </sharedItems>
    </cacheField>
    <cacheField name="ORIGEN" numFmtId="0">
      <sharedItems containsBlank="1" count="4">
        <s v="REDAX"/>
        <m u="1"/>
        <s v="Echo" u="1"/>
        <s v="STERYLAB" u="1"/>
      </sharedItems>
    </cacheField>
    <cacheField name="DESTINO" numFmtId="0">
      <sharedItems containsBlank="1" count="3">
        <s v="Bodega ECU"/>
        <m u="1"/>
        <s v="Bodega Central Agrota" u="1"/>
      </sharedItems>
    </cacheField>
    <cacheField name="REFERENCIA" numFmtId="0">
      <sharedItems containsNonDate="0" containsString="0" containsBlank="1" count="1">
        <m/>
      </sharedItems>
    </cacheField>
    <cacheField name="FECHAARRIBO" numFmtId="14">
      <sharedItems containsSemiMixedTypes="0" containsNonDate="0" containsDate="1" containsString="0" minDate="1899-12-30T00:00:00" maxDate="1899-12-31T00:00:00" count="1">
        <d v="1899-12-30T00:00:00"/>
      </sharedItems>
    </cacheField>
    <cacheField name="COSTO" numFmtId="0">
      <sharedItems containsNonDate="0" containsString="0" containsBlank="1"/>
    </cacheField>
    <cacheField name="INVFIS" numFmtId="0">
      <sharedItems containsNonDate="0" containsString="0" containsBlank="1" containsNumber="1" containsInteger="1" minValue="0" maxValue="0" count="2">
        <m/>
        <n v="0" u="1"/>
      </sharedItems>
    </cacheField>
    <cacheField name="INVTRANS" numFmtId="0">
      <sharedItems containsNonDate="0" containsString="0" containsBlank="1"/>
    </cacheField>
    <cacheField name="INVPROY" numFmtId="0">
      <sharedItems containsNonDate="0" containsString="0" containsBlank="1" containsNumber="1" containsInteger="1" minValue="0" maxValue="0" count="2">
        <m/>
        <n v="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9">
  <r>
    <x v="0"/>
    <x v="0"/>
    <n v="500"/>
    <x v="0"/>
    <n v="309"/>
    <n v="494"/>
    <n v="333"/>
    <n v="165"/>
    <n v="0"/>
    <n v="0"/>
    <m/>
  </r>
  <r>
    <x v="0"/>
    <x v="0"/>
    <n v="500"/>
    <x v="1"/>
    <n v="353"/>
    <n v="538"/>
    <n v="333"/>
    <n v="165"/>
    <n v="0"/>
    <n v="0"/>
    <m/>
  </r>
  <r>
    <x v="0"/>
    <x v="0"/>
    <n v="500"/>
    <x v="2"/>
    <n v="336"/>
    <n v="521"/>
    <n v="333"/>
    <n v="165"/>
    <n v="0"/>
    <n v="0"/>
    <m/>
  </r>
  <r>
    <x v="0"/>
    <x v="0"/>
    <n v="500"/>
    <x v="3"/>
    <n v="324"/>
    <n v="459"/>
    <n v="333"/>
    <n v="165"/>
    <n v="0"/>
    <n v="0"/>
    <m/>
  </r>
  <r>
    <x v="0"/>
    <x v="0"/>
    <n v="500"/>
    <x v="4"/>
    <n v="315"/>
    <n v="450"/>
    <n v="333"/>
    <n v="165"/>
    <n v="0"/>
    <n v="0"/>
    <m/>
  </r>
  <r>
    <x v="0"/>
    <x v="0"/>
    <n v="500"/>
    <x v="5"/>
    <n v="315"/>
    <n v="450"/>
    <n v="333"/>
    <n v="165"/>
    <n v="0"/>
    <n v="0"/>
    <m/>
  </r>
  <r>
    <x v="0"/>
    <x v="0"/>
    <n v="500"/>
    <x v="6"/>
    <n v="315"/>
    <n v="450"/>
    <n v="333"/>
    <n v="165"/>
    <n v="0"/>
    <n v="0"/>
    <m/>
  </r>
  <r>
    <x v="0"/>
    <x v="0"/>
    <n v="500"/>
    <x v="7"/>
    <n v="315"/>
    <n v="450"/>
    <n v="333"/>
    <n v="165"/>
    <n v="0"/>
    <n v="0"/>
    <m/>
  </r>
  <r>
    <x v="0"/>
    <x v="0"/>
    <n v="500"/>
    <x v="8"/>
    <n v="299"/>
    <n v="434"/>
    <n v="333"/>
    <n v="165"/>
    <n v="0"/>
    <n v="0"/>
    <m/>
  </r>
  <r>
    <x v="0"/>
    <x v="0"/>
    <n v="500"/>
    <x v="9"/>
    <n v="297"/>
    <n v="432"/>
    <n v="333"/>
    <n v="165"/>
    <n v="0"/>
    <n v="0"/>
    <m/>
  </r>
  <r>
    <x v="0"/>
    <x v="0"/>
    <n v="500"/>
    <x v="10"/>
    <n v="284"/>
    <n v="487"/>
    <n v="333"/>
    <n v="165"/>
    <n v="0"/>
    <n v="0"/>
    <m/>
  </r>
  <r>
    <x v="0"/>
    <x v="0"/>
    <n v="500"/>
    <x v="11"/>
    <n v="277"/>
    <n v="480"/>
    <n v="333"/>
    <n v="165"/>
    <n v="0"/>
    <n v="0"/>
    <m/>
  </r>
  <r>
    <x v="0"/>
    <x v="0"/>
    <n v="500"/>
    <x v="12"/>
    <n v="277"/>
    <n v="480"/>
    <n v="333"/>
    <n v="165"/>
    <n v="0"/>
    <n v="0"/>
    <m/>
  </r>
  <r>
    <x v="0"/>
    <x v="0"/>
    <n v="500"/>
    <x v="13"/>
    <n v="277"/>
    <n v="480"/>
    <n v="333"/>
    <n v="165"/>
    <n v="0"/>
    <n v="0"/>
    <m/>
  </r>
  <r>
    <x v="0"/>
    <x v="0"/>
    <n v="500"/>
    <x v="14"/>
    <n v="277"/>
    <n v="480"/>
    <n v="333"/>
    <n v="165"/>
    <n v="0"/>
    <n v="0"/>
    <m/>
  </r>
  <r>
    <x v="0"/>
    <x v="0"/>
    <n v="500"/>
    <x v="15"/>
    <n v="346"/>
    <n v="549"/>
    <n v="333"/>
    <n v="165"/>
    <n v="0"/>
    <n v="0"/>
    <m/>
  </r>
  <r>
    <x v="0"/>
    <x v="0"/>
    <n v="500"/>
    <x v="16"/>
    <n v="345"/>
    <n v="473"/>
    <n v="333"/>
    <n v="165"/>
    <n v="0"/>
    <n v="0"/>
    <m/>
  </r>
  <r>
    <x v="0"/>
    <x v="0"/>
    <n v="500"/>
    <x v="17"/>
    <n v="329"/>
    <n v="457"/>
    <n v="333"/>
    <n v="165"/>
    <n v="0"/>
    <n v="0"/>
    <m/>
  </r>
  <r>
    <x v="0"/>
    <x v="0"/>
    <n v="500"/>
    <x v="18"/>
    <n v="329"/>
    <n v="457"/>
    <n v="333"/>
    <n v="165"/>
    <n v="0"/>
    <n v="0"/>
    <m/>
  </r>
  <r>
    <x v="0"/>
    <x v="0"/>
    <n v="500"/>
    <x v="19"/>
    <n v="329"/>
    <n v="457"/>
    <n v="333"/>
    <n v="165"/>
    <n v="0"/>
    <n v="0"/>
    <m/>
  </r>
  <r>
    <x v="0"/>
    <x v="0"/>
    <n v="500"/>
    <x v="20"/>
    <n v="329"/>
    <n v="457"/>
    <n v="333"/>
    <n v="165"/>
    <n v="0"/>
    <n v="0"/>
    <m/>
  </r>
  <r>
    <x v="0"/>
    <x v="0"/>
    <n v="500"/>
    <x v="21"/>
    <n v="325"/>
    <n v="453"/>
    <n v="333"/>
    <n v="165"/>
    <n v="0"/>
    <n v="0"/>
    <m/>
  </r>
  <r>
    <x v="0"/>
    <x v="0"/>
    <n v="500"/>
    <x v="22"/>
    <n v="309"/>
    <n v="437"/>
    <n v="333"/>
    <n v="165"/>
    <n v="0"/>
    <n v="0"/>
    <m/>
  </r>
  <r>
    <x v="0"/>
    <x v="0"/>
    <n v="500"/>
    <x v="23"/>
    <n v="309"/>
    <n v="437"/>
    <n v="333"/>
    <n v="165"/>
    <n v="0"/>
    <n v="0"/>
    <m/>
  </r>
  <r>
    <x v="0"/>
    <x v="0"/>
    <n v="500"/>
    <x v="24"/>
    <n v="299"/>
    <n v="427"/>
    <n v="333"/>
    <n v="165"/>
    <n v="0"/>
    <n v="0"/>
    <m/>
  </r>
  <r>
    <x v="0"/>
    <x v="0"/>
    <n v="500"/>
    <x v="25"/>
    <n v="299"/>
    <n v="427"/>
    <n v="333"/>
    <n v="165"/>
    <n v="0"/>
    <n v="0"/>
    <m/>
  </r>
  <r>
    <x v="0"/>
    <x v="0"/>
    <n v="500"/>
    <x v="26"/>
    <n v="298"/>
    <n v="426"/>
    <n v="333"/>
    <n v="165"/>
    <n v="0"/>
    <n v="0"/>
    <m/>
  </r>
  <r>
    <x v="0"/>
    <x v="0"/>
    <n v="500"/>
    <x v="27"/>
    <n v="298"/>
    <n v="426"/>
    <n v="333"/>
    <n v="165"/>
    <n v="0"/>
    <n v="0"/>
    <m/>
  </r>
  <r>
    <x v="0"/>
    <x v="0"/>
    <n v="500"/>
    <x v="28"/>
    <n v="298"/>
    <n v="426"/>
    <n v="333"/>
    <n v="165"/>
    <n v="0"/>
    <n v="0"/>
    <m/>
  </r>
  <r>
    <x v="0"/>
    <x v="0"/>
    <n v="500"/>
    <x v="29"/>
    <n v="298"/>
    <n v="426"/>
    <n v="333"/>
    <n v="165"/>
    <n v="0"/>
    <n v="0"/>
    <m/>
  </r>
  <r>
    <x v="0"/>
    <x v="0"/>
    <n v="500"/>
    <x v="30"/>
    <n v="298"/>
    <n v="426"/>
    <n v="333"/>
    <n v="165"/>
    <n v="0"/>
    <n v="0"/>
    <m/>
  </r>
  <r>
    <x v="0"/>
    <x v="0"/>
    <n v="500"/>
    <x v="31"/>
    <n v="293"/>
    <n v="495"/>
    <n v="333"/>
    <n v="165"/>
    <n v="0"/>
    <n v="0"/>
    <m/>
  </r>
  <r>
    <x v="0"/>
    <x v="0"/>
    <n v="500"/>
    <x v="32"/>
    <n v="292"/>
    <n v="494"/>
    <n v="333"/>
    <n v="165"/>
    <n v="0"/>
    <n v="0"/>
    <m/>
  </r>
  <r>
    <x v="0"/>
    <x v="0"/>
    <n v="500"/>
    <x v="33"/>
    <n v="292"/>
    <n v="494"/>
    <n v="333"/>
    <n v="165"/>
    <n v="0"/>
    <n v="0"/>
    <m/>
  </r>
  <r>
    <x v="0"/>
    <x v="0"/>
    <n v="500"/>
    <x v="34"/>
    <n v="292"/>
    <n v="494"/>
    <n v="333"/>
    <n v="165"/>
    <n v="0"/>
    <n v="0"/>
    <m/>
  </r>
  <r>
    <x v="0"/>
    <x v="0"/>
    <n v="500"/>
    <x v="35"/>
    <n v="290"/>
    <n v="492"/>
    <n v="333"/>
    <n v="165"/>
    <n v="0"/>
    <n v="0"/>
    <m/>
  </r>
  <r>
    <x v="0"/>
    <x v="0"/>
    <n v="500"/>
    <x v="36"/>
    <n v="288"/>
    <n v="490"/>
    <n v="333"/>
    <n v="165"/>
    <n v="0"/>
    <n v="0"/>
    <m/>
  </r>
  <r>
    <x v="0"/>
    <x v="0"/>
    <n v="500"/>
    <x v="37"/>
    <n v="329"/>
    <n v="471"/>
    <n v="333"/>
    <n v="165"/>
    <n v="0"/>
    <n v="0"/>
    <m/>
  </r>
  <r>
    <x v="0"/>
    <x v="0"/>
    <n v="500"/>
    <x v="38"/>
    <n v="330"/>
    <n v="472"/>
    <n v="333"/>
    <n v="165"/>
    <n v="0"/>
    <n v="0"/>
    <m/>
  </r>
  <r>
    <x v="0"/>
    <x v="0"/>
    <n v="500"/>
    <x v="39"/>
    <n v="330"/>
    <n v="472"/>
    <n v="333"/>
    <n v="165"/>
    <n v="0"/>
    <n v="0"/>
    <m/>
  </r>
  <r>
    <x v="0"/>
    <x v="0"/>
    <n v="500"/>
    <x v="40"/>
    <n v="330"/>
    <n v="472"/>
    <n v="333"/>
    <n v="165"/>
    <n v="0"/>
    <n v="0"/>
    <m/>
  </r>
  <r>
    <x v="0"/>
    <x v="0"/>
    <n v="500"/>
    <x v="41"/>
    <n v="325"/>
    <n v="467"/>
    <n v="333"/>
    <n v="165"/>
    <n v="0"/>
    <n v="0"/>
    <m/>
  </r>
  <r>
    <x v="0"/>
    <x v="0"/>
    <n v="500"/>
    <x v="42"/>
    <n v="325"/>
    <n v="467"/>
    <n v="333"/>
    <n v="165"/>
    <n v="0"/>
    <n v="0"/>
    <m/>
  </r>
  <r>
    <x v="0"/>
    <x v="0"/>
    <n v="500"/>
    <x v="43"/>
    <n v="295"/>
    <n v="437"/>
    <n v="333"/>
    <n v="165"/>
    <n v="0"/>
    <n v="0"/>
    <m/>
  </r>
  <r>
    <x v="0"/>
    <x v="0"/>
    <n v="500"/>
    <x v="44"/>
    <n v="292"/>
    <n v="462"/>
    <n v="333"/>
    <n v="165"/>
    <n v="0"/>
    <n v="0"/>
    <m/>
  </r>
  <r>
    <x v="0"/>
    <x v="0"/>
    <n v="500"/>
    <x v="45"/>
    <n v="288"/>
    <n v="458"/>
    <n v="333"/>
    <n v="165"/>
    <n v="0"/>
    <n v="0"/>
    <m/>
  </r>
  <r>
    <x v="0"/>
    <x v="0"/>
    <n v="500"/>
    <x v="46"/>
    <n v="0"/>
    <n v="170"/>
    <n v="333"/>
    <n v="165"/>
    <n v="0"/>
    <n v="0"/>
    <m/>
  </r>
  <r>
    <x v="0"/>
    <x v="0"/>
    <n v="500"/>
    <x v="47"/>
    <n v="288"/>
    <n v="458"/>
    <n v="333"/>
    <n v="165"/>
    <n v="0"/>
    <n v="0"/>
    <m/>
  </r>
  <r>
    <x v="0"/>
    <x v="0"/>
    <n v="500"/>
    <x v="48"/>
    <n v="288"/>
    <n v="458"/>
    <n v="333"/>
    <n v="165"/>
    <n v="0"/>
    <n v="0"/>
    <m/>
  </r>
  <r>
    <x v="0"/>
    <x v="0"/>
    <n v="500"/>
    <x v="49"/>
    <n v="266"/>
    <n v="436"/>
    <n v="333"/>
    <n v="165"/>
    <n v="0"/>
    <n v="0"/>
    <m/>
  </r>
  <r>
    <x v="0"/>
    <x v="0"/>
    <n v="500"/>
    <x v="50"/>
    <n v="265"/>
    <n v="435"/>
    <n v="333"/>
    <n v="165"/>
    <n v="0"/>
    <n v="0"/>
    <m/>
  </r>
  <r>
    <x v="0"/>
    <x v="0"/>
    <n v="500"/>
    <x v="51"/>
    <n v="264"/>
    <n v="264"/>
    <n v="333"/>
    <n v="165"/>
    <n v="0"/>
    <n v="0"/>
    <m/>
  </r>
  <r>
    <x v="0"/>
    <x v="0"/>
    <n v="500"/>
    <x v="52"/>
    <n v="264"/>
    <n v="264"/>
    <n v="333"/>
    <n v="165"/>
    <n v="0"/>
    <n v="0"/>
    <m/>
  </r>
  <r>
    <x v="0"/>
    <x v="0"/>
    <n v="500"/>
    <x v="53"/>
    <n v="264"/>
    <n v="434"/>
    <n v="333"/>
    <n v="165"/>
    <n v="0"/>
    <n v="0"/>
    <m/>
  </r>
  <r>
    <x v="0"/>
    <x v="0"/>
    <n v="500"/>
    <x v="54"/>
    <n v="247"/>
    <n v="417"/>
    <n v="333"/>
    <n v="165"/>
    <n v="0"/>
    <n v="0"/>
    <m/>
  </r>
  <r>
    <x v="0"/>
    <x v="0"/>
    <n v="500"/>
    <x v="55"/>
    <n v="239"/>
    <n v="409"/>
    <n v="333"/>
    <n v="165"/>
    <n v="0"/>
    <n v="0"/>
    <m/>
  </r>
  <r>
    <x v="0"/>
    <x v="0"/>
    <n v="500"/>
    <x v="56"/>
    <n v="233"/>
    <n v="495"/>
    <n v="333"/>
    <n v="165"/>
    <n v="0"/>
    <n v="0"/>
    <m/>
  </r>
  <r>
    <x v="0"/>
    <x v="0"/>
    <n v="500"/>
    <x v="57"/>
    <n v="228"/>
    <n v="490"/>
    <n v="333"/>
    <n v="165"/>
    <n v="0"/>
    <n v="0"/>
    <m/>
  </r>
  <r>
    <x v="0"/>
    <x v="0"/>
    <n v="500"/>
    <x v="58"/>
    <n v="292"/>
    <n v="434"/>
    <n v="333"/>
    <n v="165"/>
    <n v="0"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  <x v="0"/>
    <x v="0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x v="0"/>
    <x v="0"/>
    <x v="0"/>
    <x v="0"/>
    <x v="0"/>
    <x v="0"/>
    <x v="0"/>
    <x v="0"/>
    <x v="0"/>
    <m/>
    <x v="0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ReporteTransitoDetallado" cacheId="20" applyNumberFormats="0" applyBorderFormats="0" applyFontFormats="0" applyPatternFormats="0" applyAlignmentFormats="0" applyWidthHeightFormats="1" dataCaption="Valores" updatedVersion="5" minRefreshableVersion="3" showCalcMbrs="0" showDrill="0" useAutoFormatting="1" rowGrandTotals="0" itemPrintTitles="1" createdVersion="3" indent="0" compact="0" compactData="0" multipleFieldFilters="0">
  <location ref="A6:J10" firstHeaderRow="1" firstDataRow="4" firstDataCol="7" rowPageCount="2" colPageCount="1"/>
  <pivotFields count="14">
    <pivotField axis="axisCol" compact="0" outline="0" showAll="0" defaultSubtotal="0">
      <items count="4">
        <item m="1" x="3"/>
        <item m="1" x="1"/>
        <item m="1" x="2"/>
        <item x="0"/>
      </items>
    </pivotField>
    <pivotField axis="axisRow" compact="0" outline="0" showAll="0" sortType="ascending" defaultSubtotal="0">
      <items count="8">
        <item m="1" x="5"/>
        <item m="1" x="6"/>
        <item m="1" x="3"/>
        <item m="1" x="2"/>
        <item x="0"/>
        <item m="1" x="7"/>
        <item m="1" x="4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4"/>
        <item m="1" x="3"/>
        <item m="1" x="1"/>
        <item m="1" x="2"/>
        <item m="1" x="6"/>
        <item m="1" x="5"/>
        <item m="1" x="7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7">
        <item m="1" x="1"/>
        <item m="1" x="6"/>
        <item x="0"/>
        <item m="1" x="5"/>
        <item m="1" x="2"/>
        <item m="1" x="3"/>
        <item m="1" x="4"/>
      </items>
    </pivotField>
    <pivotField axis="axisPage" compact="0" outline="0" showAll="0" defaultSubtotal="0">
      <items count="4">
        <item m="1" x="3"/>
        <item m="1" x="1"/>
        <item m="1" x="2"/>
        <item x="0"/>
      </items>
    </pivotField>
    <pivotField axis="axisPage" compact="0" outline="0" showAll="0" defaultSubtotal="0">
      <items count="3">
        <item x="0"/>
        <item m="1" x="1"/>
        <item m="1" x="2"/>
      </items>
    </pivotField>
    <pivotField axis="axisCol" compact="0" outline="0" showAll="0" defaultSubtotal="0">
      <items count="1">
        <item x="0"/>
      </items>
    </pivotField>
    <pivotField axis="axisCol" compact="0" numFmtId="14" outline="0" showAll="0" defaultSubtotal="0">
      <items count="1">
        <item x="0"/>
      </items>
    </pivotField>
    <pivotField compact="0" outline="0" showAll="0" defaultSubtotal="0"/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axis="axisRow" compact="0" outline="0" showAll="0" defaultSubtotal="0">
      <items count="2">
        <item m="1" x="1"/>
        <item x="0"/>
      </items>
    </pivotField>
  </pivotFields>
  <rowFields count="7">
    <field x="1"/>
    <field x="2"/>
    <field x="3"/>
    <field x="4"/>
    <field x="11"/>
    <field x="5"/>
    <field x="13"/>
  </rowFields>
  <rowItems count="1">
    <i>
      <x v="4"/>
      <x v="7"/>
      <x/>
      <x/>
      <x v="1"/>
      <x v="2"/>
      <x v="1"/>
    </i>
  </rowItems>
  <colFields count="3">
    <field x="8"/>
    <field x="0"/>
    <field x="9"/>
  </colFields>
  <colItems count="2">
    <i>
      <x/>
      <x v="3"/>
      <x/>
    </i>
    <i t="grand">
      <x/>
    </i>
  </colItems>
  <pageFields count="2">
    <pageField fld="6" hier="-1"/>
    <pageField fld="7" hier="-1"/>
  </pageFields>
  <dataFields count="1">
    <dataField name="Suma de TRANSITO" fld="5" baseField="0" baseItem="0"/>
  </dataFields>
  <formats count="8">
    <format dxfId="182">
      <pivotArea dataOnly="0" labelOnly="1" outline="0" fieldPosition="0">
        <references count="1">
          <reference field="8" count="0"/>
        </references>
      </pivotArea>
    </format>
    <format dxfId="181">
      <pivotArea dataOnly="0" labelOnly="1" outline="0" fieldPosition="0">
        <references count="1">
          <reference field="0" count="0"/>
        </references>
      </pivotArea>
    </format>
    <format dxfId="180">
      <pivotArea dataOnly="0" labelOnly="1" outline="0" fieldPosition="0">
        <references count="1">
          <reference field="9" count="0"/>
        </references>
      </pivotArea>
    </format>
    <format dxfId="179">
      <pivotArea outline="0" collapsedLevelsAreSubtotals="1" fieldPosition="0"/>
    </format>
    <format dxfId="178">
      <pivotArea field="11" type="button" dataOnly="0" labelOnly="1" outline="0" axis="axisRow" fieldPosition="4"/>
    </format>
    <format dxfId="177">
      <pivotArea field="5" type="button" dataOnly="0" labelOnly="1" outline="0" axis="axisRow" fieldPosition="5"/>
    </format>
    <format dxfId="176">
      <pivotArea field="13" type="button" dataOnly="0" labelOnly="1" outline="0" axis="axisRow" fieldPosition="6"/>
    </format>
    <format dxfId="175">
      <pivotArea dataOnly="0" labelOnly="1" outline="0" fieldPosition="0">
        <references count="4">
          <reference field="1" count="0" selected="0"/>
          <reference field="2" count="0" selected="0"/>
          <reference field="3" count="0" selected="0"/>
          <reference field="4" count="0"/>
        </references>
      </pivotArea>
    </format>
  </formats>
  <pivotTableStyleInfo name="PivotStyleMedium9" showRowHeaders="1" showColHeaders="1" showRowStripes="1" showColStripes="0" showLastColumn="1"/>
</pivotTableDefinition>
</file>

<file path=xl/pivotTables/pivotTable2.xml><?xml version="1.0" encoding="utf-8"?>
<pivotTableDefinition xmlns="http://schemas.openxmlformats.org/spreadsheetml/2006/main" name="TD_Grafico_Dinamico" cacheId="18" applyNumberFormats="0" applyBorderFormats="0" applyFontFormats="0" applyPatternFormats="0" applyAlignmentFormats="0" applyWidthHeightFormats="1" dataCaption="Valores" updatedVersion="5" minRefreshableVersion="3" showCalcMbrs="0" useAutoFormatting="1" itemPrintTitles="1" createdVersion="3" indent="0" outline="1" outlineData="1" multipleFieldFilters="0" chartFormat="7" fieldListSortAscending="1">
  <location ref="AF4:AM70" firstHeaderRow="1" firstDataRow="2" firstDataCol="1" rowPageCount="2" colPageCount="1"/>
  <pivotFields count="13">
    <pivotField axis="axisPage" showAll="0" defaultSubtotal="0">
      <items count="5">
        <item m="1" x="2"/>
        <item m="1" x="3"/>
        <item m="1" x="1"/>
        <item x="0"/>
        <item m="1" x="4"/>
      </items>
    </pivotField>
    <pivotField axis="axisPage" showAll="0">
      <items count="7781">
        <item m="1" x="7595"/>
        <item m="1" x="1672"/>
        <item m="1" x="3176"/>
        <item m="1" x="7351"/>
        <item m="1" x="7676"/>
        <item m="1" x="1373"/>
        <item m="1" x="1470"/>
        <item m="1" x="802"/>
        <item m="1" x="6643"/>
        <item m="1" x="6649"/>
        <item m="1" x="5842"/>
        <item m="1" x="3620"/>
        <item m="1" x="7763"/>
        <item m="1" x="34"/>
        <item m="1" x="1987"/>
        <item m="1" x="7293"/>
        <item m="1" x="6897"/>
        <item m="1" x="6953"/>
        <item m="1" x="6536"/>
        <item m="1" x="6270"/>
        <item m="1" x="5925"/>
        <item m="1" x="5663"/>
        <item m="1" x="5359"/>
        <item m="1" x="5115"/>
        <item m="1" x="4827"/>
        <item m="1" x="1816"/>
        <item m="1" x="1372"/>
        <item m="1" x="929"/>
        <item m="1" x="521"/>
        <item m="1" x="97"/>
        <item m="1" x="7424"/>
        <item m="1" x="6982"/>
        <item m="1" x="6627"/>
        <item m="1" x="2697"/>
        <item m="1" x="2355"/>
        <item m="1" x="1461"/>
        <item m="1" x="1048"/>
        <item m="1" x="209"/>
        <item m="1" x="7522"/>
        <item m="1" x="3957"/>
        <item m="1" x="2047"/>
        <item m="1" x="1571"/>
        <item m="1" x="5401"/>
        <item m="1" x="5146"/>
        <item m="1" x="4572"/>
        <item m="1" x="4019"/>
        <item m="1" x="3740"/>
        <item m="1" x="3452"/>
        <item m="1" x="3165"/>
        <item m="1" x="7048"/>
        <item m="1" x="6693"/>
        <item m="1" x="6364"/>
        <item m="1" x="6063"/>
        <item m="1" x="5764"/>
        <item m="1" x="5526"/>
        <item m="1" x="5216"/>
        <item m="1" x="4964"/>
        <item m="1" x="5579"/>
        <item m="1" x="2843"/>
        <item m="1" x="2507"/>
        <item m="1" x="2087"/>
        <item m="1" x="1207"/>
        <item m="1" x="7240"/>
        <item m="1" x="6852"/>
        <item m="1" x="3495"/>
        <item m="1" x="3208"/>
        <item m="1" x="2928"/>
        <item m="1" x="2578"/>
        <item m="1" x="2217"/>
        <item m="1" x="1749"/>
        <item m="1" x="1337"/>
        <item m="1" x="881"/>
        <item m="1" x="6238"/>
        <item m="1" x="6278"/>
        <item m="1" x="5889"/>
        <item m="1" x="5650"/>
        <item m="1" x="5334"/>
        <item m="1" x="5079"/>
        <item m="1" x="6294"/>
        <item m="1" x="5955"/>
        <item m="1" x="5397"/>
        <item m="1" x="5140"/>
        <item m="1" x="4851"/>
        <item m="1" x="1881"/>
        <item m="1" x="1415"/>
        <item m="1" x="1005"/>
        <item m="1" x="574"/>
        <item m="1" x="7480"/>
        <item m="1" x="7034"/>
        <item m="1" x="4536"/>
        <item m="1" x="3195"/>
        <item m="1" x="7103"/>
        <item m="1" x="764"/>
        <item m="1" x="346"/>
        <item m="1" x="7691"/>
        <item m="1" x="1409"/>
        <item m="1" x="5677"/>
        <item m="1" x="7572"/>
        <item m="1" x="7168"/>
        <item m="1" x="6447"/>
        <item m="1" x="5194"/>
        <item m="1" x="6470"/>
        <item m="1" x="1175"/>
        <item m="1" x="6164"/>
        <item m="1" x="6180"/>
        <item m="1" x="6182"/>
        <item m="1" x="6190"/>
        <item m="1" x="6194"/>
        <item m="1" x="5834"/>
        <item m="1" x="5848"/>
        <item m="1" x="5600"/>
        <item m="1" x="5286"/>
        <item m="1" x="5292"/>
        <item m="1" x="5297"/>
        <item m="1" x="4192"/>
        <item m="1" x="3914"/>
        <item m="1" x="6904"/>
        <item m="1" x="6913"/>
        <item m="1" x="7420"/>
        <item m="1" x="6993"/>
        <item m="1" x="3093"/>
        <item m="1" x="3096"/>
        <item m="1" x="771"/>
        <item m="1" x="778"/>
        <item m="1" x="4686"/>
        <item m="1" x="4699"/>
        <item m="1" x="7425"/>
        <item m="1" x="3074"/>
        <item m="1" x="340"/>
        <item m="1" x="4607"/>
        <item m="1" x="3035"/>
        <item m="1" x="2948"/>
        <item m="1" x="5606"/>
        <item m="1" x="4132"/>
        <item m="1" x="2167"/>
        <item m="1" x="7121"/>
        <item m="1" x="6394"/>
        <item m="1" x="6979"/>
        <item m="1" x="6719"/>
        <item m="1" x="6727"/>
        <item m="1" x="7112"/>
        <item m="1" x="5644"/>
        <item m="1" x="4025"/>
        <item m="1" x="3941"/>
        <item m="1" x="5336"/>
        <item m="1" x="4668"/>
        <item m="1" x="7703"/>
        <item m="1" x="7292"/>
        <item m="1" x="4521"/>
        <item m="1" x="2800"/>
        <item m="1" x="2502"/>
        <item m="1" x="4384"/>
        <item m="1" x="183"/>
        <item m="1" x="1542"/>
        <item m="1" x="5396"/>
        <item m="1" x="3713"/>
        <item m="1" x="2804"/>
        <item m="1" x="3718"/>
        <item m="1" x="3113"/>
        <item m="1" x="6949"/>
        <item m="1" x="5218"/>
        <item m="1" x="4938"/>
        <item m="1" x="4998"/>
        <item m="1" x="3950"/>
        <item m="1" x="5750"/>
        <item m="1" x="4805"/>
        <item m="1" x="3307"/>
        <item m="1" x="5652"/>
        <item m="1" x="7343"/>
        <item m="1" x="3687"/>
        <item m="1" x="1885"/>
        <item m="1" x="8"/>
        <item m="1" x="2746"/>
        <item m="1" x="7479"/>
        <item m="1" x="5273"/>
        <item m="1" x="2672"/>
        <item m="1" x="2846"/>
        <item m="1" x="4982"/>
        <item m="1" x="7738"/>
        <item m="1" x="3302"/>
        <item m="1" x="2575"/>
        <item m="1" x="2188"/>
        <item m="1" x="4067"/>
        <item m="1" x="4207"/>
        <item m="1" x="3534"/>
        <item m="1" x="5919"/>
        <item m="1" x="5773"/>
        <item m="1" x="3412"/>
        <item m="1" x="1485"/>
        <item m="1" x="6712"/>
        <item m="1" x="5338"/>
        <item m="1" x="6115"/>
        <item m="1" x="7325"/>
        <item m="1" x="6998"/>
        <item m="1" x="4606"/>
        <item m="1" x="1873"/>
        <item m="1" x="5155"/>
        <item m="1" x="5335"/>
        <item m="1" x="3946"/>
        <item m="1" x="3768"/>
        <item m="1" x="5521"/>
        <item m="1" x="2606"/>
        <item m="1" x="4279"/>
        <item m="1" x="2133"/>
        <item m="1" x="961"/>
        <item m="1" x="3696"/>
        <item m="1" x="6765"/>
        <item m="1" x="1006"/>
        <item m="1" x="1206"/>
        <item m="1" x="4438"/>
        <item m="1" x="585"/>
        <item m="1" x="120"/>
        <item m="1" x="2842"/>
        <item m="1" x="7554"/>
        <item m="1" x="4091"/>
        <item m="1" x="6372"/>
        <item m="1" x="1077"/>
        <item m="1" x="114"/>
        <item m="1" x="46"/>
        <item m="1" x="1165"/>
        <item m="1" x="6588"/>
        <item m="1" x="7015"/>
        <item m="1" x="5852"/>
        <item m="1" x="4567"/>
        <item m="1" x="3057"/>
        <item m="1" x="1184"/>
        <item m="1" x="2332"/>
        <item m="1" x="2249"/>
        <item m="1" x="3649"/>
        <item m="1" x="3344"/>
        <item m="1" x="4138"/>
        <item m="1" x="3609"/>
        <item m="1" x="4448"/>
        <item m="1" x="3930"/>
        <item m="1" x="7693"/>
        <item m="1" x="3681"/>
        <item m="1" x="4926"/>
        <item m="1" x="4310"/>
        <item m="1" x="5803"/>
        <item m="1" x="6359"/>
        <item m="1" x="3995"/>
        <item m="1" x="4638"/>
        <item m="1" x="3466"/>
        <item m="1" x="2191"/>
        <item m="1" x="6948"/>
        <item m="1" x="5667"/>
        <item m="1" x="3388"/>
        <item m="1" x="327"/>
        <item m="1" x="5766"/>
        <item m="1" x="4136"/>
        <item m="1" x="3547"/>
        <item m="1" x="3278"/>
        <item m="1" x="3061"/>
        <item m="1" x="3512"/>
        <item m="1" x="1956"/>
        <item m="1" x="4823"/>
        <item m="1" x="4047"/>
        <item m="1" x="2043"/>
        <item m="1" x="4073"/>
        <item m="1" x="3942"/>
        <item m="1" x="3245"/>
        <item m="1" x="2934"/>
        <item m="1" x="3563"/>
        <item m="1" x="4914"/>
        <item m="1" x="6833"/>
        <item m="1" x="124"/>
        <item m="1" x="5141"/>
        <item m="1" x="5034"/>
        <item m="1" x="1103"/>
        <item m="1" x="6296"/>
        <item m="1" x="6816"/>
        <item m="1" x="5706"/>
        <item m="1" x="820"/>
        <item m="1" x="5354"/>
        <item m="1" x="5595"/>
        <item m="1" x="2953"/>
        <item m="1" x="2938"/>
        <item m="1" x="2189"/>
        <item m="1" x="6112"/>
        <item m="1" x="6324"/>
        <item m="1" x="6367"/>
        <item m="1" x="5143"/>
        <item m="1" x="242"/>
        <item m="1" x="3879"/>
        <item m="1" x="3171"/>
        <item m="1" x="767"/>
        <item m="1" x="7063"/>
        <item m="1" x="298"/>
        <item m="1" x="1971"/>
        <item m="1" x="6142"/>
        <item m="1" x="6293"/>
        <item m="1" x="2179"/>
        <item m="1" x="7466"/>
        <item m="1" x="5022"/>
        <item m="1" x="7088"/>
        <item m="1" x="2396"/>
        <item m="1" x="6259"/>
        <item m="1" x="4033"/>
        <item m="1" x="6714"/>
        <item m="1" x="7742"/>
        <item m="1" x="1376"/>
        <item m="1" x="4213"/>
        <item m="1" x="3798"/>
        <item m="1" x="5136"/>
        <item m="1" x="1152"/>
        <item m="1" x="6275"/>
        <item m="1" x="5841"/>
        <item m="1" x="5205"/>
        <item m="1" x="4590"/>
        <item m="1" x="5514"/>
        <item m="1" x="5097"/>
        <item m="1" x="1344"/>
        <item m="1" x="1530"/>
        <item m="1" x="7089"/>
        <item m="1" x="7369"/>
        <item m="1" x="4312"/>
        <item m="1" x="5173"/>
        <item m="1" x="5641"/>
        <item m="1" x="5076"/>
        <item m="1" x="4919"/>
        <item m="1" x="5922"/>
        <item m="1" x="4161"/>
        <item m="1" x="5950"/>
        <item m="1" x="5236"/>
        <item m="1" x="4781"/>
        <item m="1" x="4786"/>
        <item m="1" x="4185"/>
        <item m="1" x="4993"/>
        <item m="1" x="3919"/>
        <item m="1" x="4502"/>
        <item m="1" x="2053"/>
        <item m="1" x="6365"/>
        <item m="1" x="6523"/>
        <item m="1" x="7349"/>
        <item m="1" x="7562"/>
        <item m="1" x="4014"/>
        <item m="1" x="3264"/>
        <item m="1" x="3557"/>
        <item m="1" x="3898"/>
        <item m="1" x="6635"/>
        <item m="1" x="1158"/>
        <item m="1" x="6052"/>
        <item m="1" x="1605"/>
        <item m="1" x="7180"/>
        <item m="1" x="7651"/>
        <item m="1" x="1021"/>
        <item m="1" x="7189"/>
        <item m="1" x="6140"/>
        <item m="1" x="7111"/>
        <item m="1" x="3866"/>
        <item m="1" x="1640"/>
        <item m="1" x="3985"/>
        <item m="1" x="4003"/>
        <item m="1" x="2942"/>
        <item m="1" x="2949"/>
        <item m="1" x="5888"/>
        <item m="1" x="3296"/>
        <item m="1" x="1531"/>
        <item m="1" x="2837"/>
        <item m="1" x="4519"/>
        <item m="1" x="5005"/>
        <item m="1" x="1748"/>
        <item m="1" x="2084"/>
        <item m="1" x="4389"/>
        <item m="1" x="4799"/>
        <item m="1" x="5837"/>
        <item m="1" x="5838"/>
        <item m="1" x="1979"/>
        <item m="1" x="1981"/>
        <item m="1" x="2387"/>
        <item m="1" x="223"/>
        <item m="1" x="226"/>
        <item m="1" x="6662"/>
        <item m="1" x="1951"/>
        <item m="1" x="2878"/>
        <item m="1" x="6354"/>
        <item m="1" x="6500"/>
        <item m="1" x="6368"/>
        <item m="1" x="5296"/>
        <item m="1" x="5627"/>
        <item m="1" x="5886"/>
        <item m="1" x="6058"/>
        <item m="1" x="4551"/>
        <item m="1" x="6756"/>
        <item m="1" x="4949"/>
        <item m="1" x="3287"/>
        <item m="1" x="3436"/>
        <item m="1" x="3767"/>
        <item m="1" x="4226"/>
        <item m="1" x="2400"/>
        <item m="1" x="2565"/>
        <item m="1" x="2210"/>
        <item m="1" x="7687"/>
        <item m="1" x="4020"/>
        <item m="1" x="1268"/>
        <item m="1" x="3114"/>
        <item m="1" x="511"/>
        <item m="1" x="1662"/>
        <item m="1" x="7379"/>
        <item m="1" x="5495"/>
        <item m="1" x="631"/>
        <item m="1" x="6459"/>
        <item m="1" x="6825"/>
        <item m="1" x="429"/>
        <item m="1" x="647"/>
        <item m="1" x="7038"/>
        <item m="1" x="6841"/>
        <item m="1" x="6224"/>
        <item m="1" x="5613"/>
        <item m="1" x="5880"/>
        <item m="1" x="6096"/>
        <item m="1" x="5935"/>
        <item m="1" x="6648"/>
        <item m="1" x="5332"/>
        <item m="1" x="5217"/>
        <item m="1" x="1521"/>
        <item m="1" x="2830"/>
        <item m="1" x="2999"/>
        <item m="1" x="853"/>
        <item m="1" x="1073"/>
        <item m="1" x="6652"/>
        <item m="1" x="7490"/>
        <item m="1" x="2459"/>
        <item m="1" x="426"/>
        <item m="1" x="6467"/>
        <item m="1" x="6834"/>
        <item m="1" x="1787"/>
        <item m="1" x="1085"/>
        <item m="1" x="1094"/>
        <item m="1" x="1825"/>
        <item m="1" x="1181"/>
        <item m="1" x="1636"/>
        <item m="1" x="3159"/>
        <item m="1" x="5402"/>
        <item m="1" x="3191"/>
        <item m="1" x="1475"/>
        <item m="1" x="3281"/>
        <item m="1" x="5710"/>
        <item m="1" x="565"/>
        <item m="1" x="5519"/>
        <item m="1" x="7671"/>
        <item m="1" x="3250"/>
        <item m="1" x="3340"/>
        <item m="1" x="2407"/>
        <item m="1" x="3478"/>
        <item m="1" x="2673"/>
        <item m="1" x="2857"/>
        <item m="1" x="7630"/>
        <item m="1" x="5270"/>
        <item m="1" x="5026"/>
        <item m="1" x="4715"/>
        <item m="1" x="3583"/>
        <item m="1" x="3316"/>
        <item m="1" x="3020"/>
        <item m="1" x="5035"/>
        <item m="1" x="5043"/>
        <item m="1" x="4450"/>
        <item m="1" x="3976"/>
        <item m="1" x="5067"/>
        <item m="1" x="4759"/>
        <item m="1" x="4472"/>
        <item m="1" x="4191"/>
        <item m="1" x="3934"/>
        <item m="1" x="3638"/>
        <item m="1" x="3343"/>
        <item m="1" x="3052"/>
        <item m="1" x="6920"/>
        <item m="1" x="6562"/>
        <item m="1" x="6281"/>
        <item m="1" x="5939"/>
        <item m="1" x="5670"/>
        <item m="1" x="5372"/>
        <item m="1" x="5128"/>
        <item m="1" x="4839"/>
        <item m="1" x="4535"/>
        <item m="1" x="4252"/>
        <item m="1" x="959"/>
        <item m="1" x="550"/>
        <item m="1" x="122"/>
        <item m="1" x="7452"/>
        <item m="1" x="6999"/>
        <item m="1" x="6650"/>
        <item m="1" x="6344"/>
        <item m="1" x="6022"/>
        <item m="1" x="5725"/>
        <item m="1" x="5472"/>
        <item m="1" x="2709"/>
        <item m="1" x="2380"/>
        <item m="1" x="1480"/>
        <item m="1" x="1061"/>
        <item m="1" x="639"/>
        <item m="1" x="7100"/>
        <item m="1" x="6738"/>
        <item m="1" x="3973"/>
        <item m="1" x="3688"/>
        <item m="1" x="1303"/>
        <item m="1" x="3463"/>
        <item m="1" x="7606"/>
        <item m="1" x="2114"/>
        <item m="1" x="1658"/>
        <item m="1" x="1229"/>
        <item m="1" x="790"/>
        <item m="1" x="373"/>
        <item m="1" x="7739"/>
        <item m="1" x="7268"/>
        <item m="1" x="6877"/>
        <item m="1" x="6697"/>
        <item m="1" x="2070"/>
        <item m="1" x="1592"/>
        <item m="1" x="5048"/>
        <item m="1" x="4743"/>
        <item m="1" x="4457"/>
        <item m="1" x="4171"/>
        <item m="1" x="3911"/>
        <item m="1" x="387"/>
        <item m="1" x="7751"/>
        <item m="1" x="7281"/>
        <item m="1" x="6888"/>
        <item m="1" x="6530"/>
        <item m="1" x="6263"/>
        <item m="1" x="5918"/>
        <item m="1" x="5660"/>
        <item m="1" x="5353"/>
        <item m="1" x="5104"/>
        <item m="1" x="2251"/>
        <item m="1" x="1800"/>
        <item m="1" x="1364"/>
        <item m="1" x="914"/>
        <item m="1" x="508"/>
        <item m="1" x="83"/>
        <item m="1" x="7411"/>
        <item m="1" x="6973"/>
        <item m="1" x="6620"/>
        <item m="1" x="6316"/>
        <item m="1" x="6161"/>
        <item m="1" x="6166"/>
        <item m="1" x="6178"/>
        <item m="1" x="4736"/>
        <item m="1" x="4742"/>
        <item m="1" x="5865"/>
        <item m="1" x="5924"/>
        <item m="1" x="5929"/>
        <item m="1" x="1738"/>
        <item m="1" x="580"/>
        <item m="1" x="5658"/>
        <item m="1" x="7129"/>
        <item m="1" x="6722"/>
        <item m="1" x="6420"/>
        <item m="1" x="2321"/>
        <item m="1" x="3872"/>
        <item m="1" x="763"/>
        <item m="1" x="4681"/>
        <item m="1" x="5915"/>
        <item m="1" x="7187"/>
        <item m="1" x="7386"/>
        <item m="1" x="2404"/>
        <item m="1" x="4441"/>
        <item m="1" x="927"/>
        <item m="1" x="3639"/>
        <item m="1" x="6681"/>
        <item m="1" x="6192"/>
        <item m="1" x="7772"/>
        <item m="1" x="2879"/>
        <item m="1" x="7101"/>
        <item m="1" x="221"/>
        <item m="1" x="6835"/>
        <item m="1" x="3617"/>
        <item m="1" x="5762"/>
        <item m="1" x="5679"/>
        <item m="1" x="5564"/>
        <item m="1" x="6403"/>
        <item m="1" x="5552"/>
        <item m="1" x="2046"/>
        <item m="1" x="2063"/>
        <item m="1" x="1098"/>
        <item m="1" x="3178"/>
        <item m="1" x="5731"/>
        <item m="1" x="2122"/>
        <item m="1" x="2134"/>
        <item m="1" x="1618"/>
        <item m="1" x="1954"/>
        <item m="1" x="5333"/>
        <item m="1" x="4442"/>
        <item m="1" x="4135"/>
        <item m="1" x="6362"/>
        <item m="1" x="3886"/>
        <item m="1" x="1057"/>
        <item m="1" x="3187"/>
        <item m="1" x="3544"/>
        <item m="1" x="4741"/>
        <item m="1" x="5405"/>
        <item m="1" x="4170"/>
        <item m="1" x="1482"/>
        <item m="1" x="1266"/>
        <item m="1" x="7312"/>
        <item m="1" x="5932"/>
        <item m="1" x="4834"/>
        <item m="1" x="921"/>
        <item m="1" x="922"/>
        <item m="1" x="3002"/>
        <item m="1" x="6748"/>
        <item m="1" x="2849"/>
        <item m="1" x="6012"/>
        <item m="1" x="4368"/>
        <item m="1" x="4665"/>
        <item m="1" x="5425"/>
        <item m="1" x="5846"/>
        <item m="1" x="2509"/>
        <item m="1" x="25"/>
        <item m="1" x="6415"/>
        <item m="1" x="913"/>
        <item m="1" x="6361"/>
        <item m="1" x="6295"/>
        <item m="1" x="694"/>
        <item m="1" x="5081"/>
        <item m="1" x="5517"/>
        <item m="1" x="1909"/>
        <item m="1" x="4355"/>
        <item m="1" x="6847"/>
        <item m="1" x="1827"/>
        <item m="1" x="925"/>
        <item m="1" x="926"/>
        <item m="1" x="4849"/>
        <item m="1" x="7315"/>
        <item m="1" x="2374"/>
        <item m="1" x="2546"/>
        <item m="1" x="6838"/>
        <item m="1" x="3521"/>
        <item m="1" x="5853"/>
        <item m="1" x="5337"/>
        <item m="1" x="4684"/>
        <item m="1" x="1486"/>
        <item m="1" x="6793"/>
        <item m="1" x="6243"/>
        <item m="1" x="2115"/>
        <item m="1" x="1104"/>
        <item m="1" x="7143"/>
        <item m="1" x="3858"/>
        <item m="1" x="5328"/>
        <item m="1" x="1705"/>
        <item m="1" x="2327"/>
        <item m="1" x="7543"/>
        <item m="1" x="5810"/>
        <item m="1" x="2680"/>
        <item m="1" x="7460"/>
        <item m="1" x="4166"/>
        <item m="1" x="4846"/>
        <item m="1" x="6119"/>
        <item m="1" x="601"/>
        <item m="1" x="3417"/>
        <item m="1" x="6720"/>
        <item m="1" x="4034"/>
        <item m="1" x="7498"/>
        <item m="1" x="562"/>
        <item m="1" x="1459"/>
        <item m="1" x="2495"/>
        <item m="1" x="6277"/>
        <item m="1" x="5007"/>
        <item m="1" x="4613"/>
        <item m="1" x="4771"/>
        <item m="1" x="6832"/>
        <item m="1" x="234"/>
        <item m="1" x="1517"/>
        <item m="1" x="727"/>
        <item m="1" x="1528"/>
        <item m="1" x="3102"/>
        <item m="1" x="37"/>
        <item m="1" x="4153"/>
        <item m="1" x="1153"/>
        <item m="1" x="751"/>
        <item m="1" x="7"/>
        <item m="1" x="5702"/>
        <item m="1" x="7094"/>
        <item m="1" x="1269"/>
        <item m="1" x="5046"/>
        <item m="1" x="4507"/>
        <item m="1" x="2836"/>
        <item m="1" x="4523"/>
        <item m="1" x="478"/>
        <item m="1" x="232"/>
        <item m="1" x="7334"/>
        <item m="1" x="5437"/>
        <item m="1" x="7368"/>
        <item m="1" x="3326"/>
        <item m="1" x="3859"/>
        <item m="1" x="1054"/>
        <item m="1" x="4953"/>
        <item m="1" x="7458"/>
        <item m="1" x="6820"/>
        <item m="1" x="5696"/>
        <item m="1" x="2686"/>
        <item m="1" x="2862"/>
        <item m="1" x="240"/>
        <item m="1" x="7195"/>
        <item m="1" x="4466"/>
        <item m="1" x="1256"/>
        <item m="1" x="6297"/>
        <item m="1" x="5211"/>
        <item m="1" x="5015"/>
        <item m="1" x="5951"/>
        <item m="1" x="5674"/>
        <item m="1" x="3943"/>
        <item m="1" x="6400"/>
        <item m="1" x="1395"/>
        <item m="1" x="7499"/>
        <item m="1" x="4831"/>
        <item m="1" x="3167"/>
        <item m="1" x="5008"/>
        <item m="1" x="3328"/>
        <item m="1" x="1116"/>
        <item m="1" x="7423"/>
        <item m="1" x="6529"/>
        <item m="1" x="6363"/>
        <item m="1" x="4539"/>
        <item m="1" x="1458"/>
        <item m="1" x="3348"/>
        <item m="1" x="2797"/>
        <item m="1" x="2696"/>
        <item m="1" x="509"/>
        <item m="1" x="1731"/>
        <item m="1" x="2941"/>
        <item m="1" x="4317"/>
        <item m="1" x="1603"/>
        <item m="1" x="3262"/>
        <item m="1" x="4690"/>
        <item m="1" x="6813"/>
        <item m="1" x="5734"/>
        <item m="1" x="7348"/>
        <item m="1" x="2576"/>
        <item m="1" x="2089"/>
        <item m="1" x="5553"/>
        <item m="1" x="2704"/>
        <item m="1" x="2959"/>
        <item m="1" x="596"/>
        <item m="1" x="6709"/>
        <item m="1" x="238"/>
        <item m="1" x="2511"/>
        <item m="1" x="5469"/>
        <item m="1" x="2960"/>
        <item m="1" x="538"/>
        <item m="1" x="729"/>
        <item m="1" x="4524"/>
        <item m="1" x="2480"/>
        <item m="1" x="6013"/>
        <item m="1" x="3251"/>
        <item m="1" x="5346"/>
        <item m="1" x="5926"/>
        <item m="1" x="3861"/>
        <item m="1" x="2657"/>
        <item m="1" x="4167"/>
        <item m="1" x="6251"/>
        <item m="1" x="7134"/>
        <item m="1" x="4218"/>
        <item m="1" x="4221"/>
        <item m="1" x="6014"/>
        <item m="1" x="4372"/>
        <item m="1" x="2679"/>
        <item m="1" x="6411"/>
        <item m="1" x="4754"/>
        <item m="1" x="3103"/>
        <item m="1" x="2510"/>
        <item m="1" x="5718"/>
        <item m="1" x="5862"/>
        <item m="1" x="6353"/>
        <item m="1" x="4675"/>
        <item m="1" x="6762"/>
        <item m="1" x="1243"/>
        <item m="1" x="3619"/>
        <item m="1" x="3784"/>
        <item m="1" x="6210"/>
        <item m="1" x="6493"/>
        <item m="1" x="3069"/>
        <item m="1" x="6236"/>
        <item m="1" x="5520"/>
        <item m="1" x="7675"/>
        <item m="1" x="7529"/>
        <item m="1" x="3944"/>
        <item m="1" x="472"/>
        <item m="1" x="5602"/>
        <item m="1" x="4531"/>
        <item m="1" x="23"/>
        <item m="1" x="4378"/>
        <item m="1" x="5261"/>
        <item m="1" x="789"/>
        <item m="1" x="5723"/>
        <item m="1" x="4766"/>
        <item m="1" x="4157"/>
        <item m="1" x="6412"/>
        <item m="1" x="7437"/>
        <item m="1" x="4835"/>
        <item m="1" x="5060"/>
        <item m="1" x="5134"/>
        <item m="1" x="2847"/>
        <item m="1" x="6015"/>
        <item m="1" x="5938"/>
        <item m="1" x="6932"/>
        <item m="1" x="4542"/>
        <item m="1" x="7059"/>
        <item m="1" x="24"/>
        <item m="1" x="3962"/>
        <item m="1" x="2793"/>
        <item m="1" x="6634"/>
        <item m="1" x="3425"/>
        <item m="1" x="4661"/>
        <item m="1" x="5063"/>
        <item m="1" x="2719"/>
        <item m="1" x="6290"/>
        <item m="1" x="3263"/>
        <item m="1" x="1479"/>
        <item m="1" x="2076"/>
        <item m="1" x="4948"/>
        <item m="1" x="6691"/>
        <item m="1" x="7556"/>
        <item m="1" x="4230"/>
        <item m="1" x="5895"/>
        <item m="1" x="3843"/>
        <item m="1" x="5815"/>
        <item m="1" x="3720"/>
        <item m="1" x="3279"/>
        <item m="1" x="3702"/>
        <item m="1" x="2389"/>
        <item m="1" x="5135"/>
        <item m="1" x="5585"/>
        <item m="1" x="3347"/>
        <item m="1" x="5339"/>
        <item m="1" x="3727"/>
        <item m="1" x="2598"/>
        <item m="1" x="3028"/>
        <item m="1" x="5347"/>
        <item m="1" x="3723"/>
        <item m="1" x="3188"/>
        <item m="1" x="1400"/>
        <item m="1" x="6729"/>
        <item m="1" x="5724"/>
        <item m="1" x="1310"/>
        <item m="1" x="4200"/>
        <item m="1" x="5091"/>
        <item m="1" x="5665"/>
        <item m="1" x="2221"/>
        <item m="1" x="5189"/>
        <item m="1" x="2723"/>
        <item m="1" x="4756"/>
        <item m="1" x="781"/>
        <item m="1" x="6291"/>
        <item m="1" x="4079"/>
        <item m="1" x="4772"/>
        <item m="1" x="573"/>
        <item m="1" x="6879"/>
        <item m="1" x="3494"/>
        <item m="1" x="4767"/>
        <item m="1" x="4238"/>
        <item m="1" x="4777"/>
        <item m="1" x="2421"/>
        <item m="1" x="2383"/>
        <item m="1" x="6062"/>
        <item m="1" x="3817"/>
        <item m="1" x="4865"/>
        <item m="1" x="3745"/>
        <item m="1" x="7605"/>
        <item m="1" x="6464"/>
        <item m="1" x="4182"/>
        <item m="1" x="3678"/>
        <item m="1" x="4277"/>
        <item m="1" x="2751"/>
        <item m="1" x="4763"/>
        <item m="1" x="4768"/>
        <item m="1" x="6422"/>
        <item m="1" x="4154"/>
        <item m="1" x="7477"/>
        <item m="1" x="7005"/>
        <item m="1" x="4340"/>
        <item m="1" x="5691"/>
        <item m="1" x="5266"/>
        <item m="1" x="3645"/>
        <item m="1" x="6889"/>
        <item m="1" x="5144"/>
        <item m="1" x="6724"/>
        <item m="1" x="5404"/>
        <item m="1" x="2091"/>
        <item m="1" x="2412"/>
        <item m="1" x="1601"/>
        <item m="1" x="3027"/>
        <item m="1" x="251"/>
        <item m="1" x="3659"/>
        <item m="1" x="6921"/>
        <item m="1" x="5448"/>
        <item m="1" x="3967"/>
        <item m="1" x="1928"/>
        <item m="1" x="3098"/>
        <item m="1" x="5074"/>
        <item m="1" x="154"/>
        <item m="1" x="3031"/>
        <item m="1" x="3435"/>
        <item m="1" x="7591"/>
        <item m="1" x="2028"/>
        <item m="1" x="3359"/>
        <item m="1" x="2798"/>
        <item m="1" x="7357"/>
        <item m="1" x="6944"/>
        <item m="1" x="5021"/>
        <item m="1" x="3499"/>
        <item m="1" x="1965"/>
        <item m="1" x="3141"/>
        <item m="1" x="1513"/>
        <item m="1" x="6829"/>
        <item m="1" x="3454"/>
        <item m="1" x="2034"/>
        <item m="1" x="7233"/>
        <item m="1" x="3853"/>
        <item m="1" x="4045"/>
        <item m="1" x="4173"/>
        <item m="1" x="4518"/>
        <item m="1" x="3255"/>
        <item m="1" x="1111"/>
        <item m="1" x="6003"/>
        <item m="1" x="4066"/>
        <item m="1" x="3945"/>
        <item m="1" x="6763"/>
        <item m="1" x="3394"/>
        <item m="1" x="6398"/>
        <item m="1" x="6093"/>
        <item m="1" x="5324"/>
        <item m="1" x="4390"/>
        <item m="1" x="2512"/>
        <item m="1" x="5933"/>
        <item m="1" x="3589"/>
        <item m="1" x="3581"/>
        <item m="1" x="6124"/>
        <item m="1" x="814"/>
        <item m="1" x="7774"/>
        <item m="1" x="5698"/>
        <item m="1" x="4070"/>
        <item m="1" x="5794"/>
        <item m="1" x="970"/>
        <item m="1" x="4961"/>
        <item m="1" x="3664"/>
        <item m="1" x="1620"/>
        <item m="1" x="7123"/>
        <item m="1" x="5238"/>
        <item m="1" x="7547"/>
        <item m="1" x="6786"/>
        <item m="1" x="5934"/>
        <item m="1" x="2802"/>
        <item m="1" x="3198"/>
        <item m="1" x="7585"/>
        <item m="1" x="5824"/>
        <item m="1" x="4658"/>
        <item m="1" x="4271"/>
        <item m="1" x="2158"/>
        <item m="1" x="2661"/>
        <item m="1" x="2691"/>
        <item m="1" x="906"/>
        <item m="1" x="2961"/>
        <item m="1" x="3560"/>
        <item m="1" x="7350"/>
        <item m="1" x="1304"/>
        <item m="1" x="1775"/>
        <item m="1" x="5484"/>
        <item m="1" x="3312"/>
        <item m="1" x="3527"/>
        <item m="1" x="1437"/>
        <item m="1" x="2829"/>
        <item m="1" x="5825"/>
        <item m="1" x="1445"/>
        <item m="1" x="7754"/>
        <item m="1" x="6304"/>
        <item m="1" x="3781"/>
        <item m="1" x="4287"/>
        <item m="1" x="1115"/>
        <item m="1" x="6110"/>
        <item m="1" x="5530"/>
        <item m="1" x="7666"/>
        <item m="1" x="1871"/>
        <item m="1" x="7082"/>
        <item m="1" x="2411"/>
        <item m="1" x="1600"/>
        <item m="1" x="5847"/>
        <item m="1" x="6230"/>
        <item m="1" x="5864"/>
        <item m="1" x="3728"/>
        <item m="1" x="3958"/>
        <item m="1" x="151"/>
        <item m="1" x="4920"/>
        <item m="1" x="4373"/>
        <item m="1" x="6217"/>
        <item m="1" x="4527"/>
        <item m="1" x="3637"/>
        <item m="1" x="6232"/>
        <item m="1" x="5285"/>
        <item m="1" x="3663"/>
        <item m="1" x="4913"/>
        <item m="1" x="2745"/>
        <item m="1" x="5198"/>
        <item m="1" x="2561"/>
        <item m="1" x="5202"/>
        <item m="1" x="3541"/>
        <item m="1" x="1464"/>
        <item m="1" x="7525"/>
        <item m="1" x="4751"/>
        <item m="1" x="4927"/>
        <item m="1" x="1029"/>
        <item m="1" x="4322"/>
        <item m="1" x="2611"/>
        <item m="1" x="4471"/>
        <item m="1" x="4176"/>
        <item m="1" x="7616"/>
        <item m="1" x="2557"/>
        <item m="1" x="2406"/>
        <item m="1" x="7663"/>
        <item m="1" x="137"/>
        <item m="1" x="5777"/>
        <item m="1" x="2943"/>
        <item m="1" x="5009"/>
        <item m="1" x="2212"/>
        <item m="1" x="7194"/>
        <item m="1" x="7550"/>
        <item m="1" x="5717"/>
        <item m="1" x="4093"/>
        <item m="1" x="5549"/>
        <item m="1" x="3892"/>
        <item m="1" x="30"/>
        <item m="1" x="5017"/>
        <item m="1" x="3972"/>
        <item m="1" x="2711"/>
        <item m="1" x="271"/>
        <item m="1" x="7222"/>
        <item m="1" x="7461"/>
        <item m="1" x="4303"/>
        <item m="1" x="1990"/>
        <item m="1" x="5791"/>
        <item m="1" x="4840"/>
        <item m="1" x="3174"/>
        <item m="1" x="1704"/>
        <item m="1" x="842"/>
        <item m="1" x="2923"/>
        <item m="1" x="5802"/>
        <item m="1" x="7042"/>
        <item m="1" x="4538"/>
        <item m="1" x="703"/>
        <item m="1" x="522"/>
        <item m="1" x="5023"/>
        <item m="1" x="2880"/>
        <item m="1" x="7073"/>
        <item m="1" x="7304"/>
        <item m="1" x="1320"/>
        <item m="1" x="7364"/>
        <item m="1" x="3956"/>
        <item m="1" x="4401"/>
        <item m="1" x="2222"/>
        <item m="1" x="6051"/>
        <item m="1" x="4399"/>
        <item m="1" x="4483"/>
        <item m="1" x="6670"/>
        <item m="1" x="1822"/>
        <item m="1" x="5348"/>
        <item m="1" x="5428"/>
        <item m="1" x="5546"/>
        <item m="1" x="6905"/>
        <item m="1" x="3346"/>
        <item m="1" x="1082"/>
        <item m="1" x="233"/>
        <item m="1" x="792"/>
        <item m="1" x="5208"/>
        <item m="1" x="33"/>
        <item m="1" x="2891"/>
        <item m="1" x="6055"/>
        <item m="1" x="6246"/>
        <item m="1" x="532"/>
        <item m="1" x="6983"/>
        <item m="1" x="4013"/>
        <item m="1" x="3483"/>
        <item m="1" x="3551"/>
        <item m="1" x="3197"/>
        <item m="1" x="1220"/>
        <item m="1" x="6386"/>
        <item m="1" x="344"/>
        <item m="1" x="5482"/>
        <item m="1" x="5024"/>
        <item m="1" x="952"/>
        <item m="1" x="7104"/>
        <item m="1" x="5427"/>
        <item m="1" x="1613"/>
        <item m="1" x="3917"/>
        <item m="1" x="6755"/>
        <item m="1" x="2239"/>
        <item m="1" x="6397"/>
        <item m="1" x="7116"/>
        <item m="1" x="5797"/>
        <item m="1" x="6581"/>
        <item m="1" x="2333"/>
        <item m="1" x="3604"/>
        <item m="1" x="645"/>
        <item m="1" x="6162"/>
        <item m="1" x="4508"/>
        <item m="1" x="867"/>
        <item m="1" x="7076"/>
        <item m="1" x="5066"/>
        <item m="1" x="5449"/>
        <item m="1" x="6621"/>
        <item m="1" x="5684"/>
        <item m="1" x="6406"/>
        <item m="1" x="4598"/>
        <item m="1" x="1308"/>
        <item m="1" x="747"/>
        <item m="1" x="6887"/>
        <item m="1" x="3468"/>
        <item m="1" x="3644"/>
        <item m="1" x="3626"/>
        <item m="1" x="3252"/>
        <item m="1" x="5758"/>
        <item m="1" x="285"/>
        <item m="1" x="6552"/>
        <item m="1" x="5597"/>
        <item m="1" x="3891"/>
        <item m="1" x="3640"/>
        <item m="1" x="1010"/>
        <item m="1" x="1837"/>
        <item m="1" x="7280"/>
        <item m="1" x="1466"/>
        <item m="1" x="7039"/>
        <item m="1" x="160"/>
        <item m="1" x="677"/>
        <item m="1" x="1790"/>
        <item m="1" x="332"/>
        <item m="1" x="4379"/>
        <item m="1" x="5215"/>
        <item m="1" x="4838"/>
        <item m="1" x="3716"/>
        <item m="1" x="6357"/>
        <item m="1" x="4680"/>
        <item m="1" x="413"/>
        <item m="1" x="5963"/>
        <item m="1" x="5237"/>
        <item m="1" x="5418"/>
        <item m="1" x="2604"/>
        <item m="1" x="724"/>
        <item m="1" x="2927"/>
        <item m="1" x="7494"/>
        <item m="1" x="4420"/>
        <item m="1" x="6457"/>
        <item m="1" x="995"/>
        <item m="1" x="1905"/>
        <item m="1" x="6388"/>
        <item m="1" x="5826"/>
        <item m="1" x="6338"/>
        <item m="1" x="3014"/>
        <item m="1" x="2311"/>
        <item m="1" x="5786"/>
        <item m="1" x="5607"/>
        <item m="1" x="3368"/>
        <item m="1" x="3332"/>
        <item m="1" x="4603"/>
        <item m="1" x="1722"/>
        <item m="1" x="5958"/>
        <item m="1" x="6723"/>
        <item m="1" x="7099"/>
        <item m="1" x="5870"/>
        <item m="1" x="980"/>
        <item m="1" x="6380"/>
        <item m="1" x="6299"/>
        <item m="1" x="3909"/>
        <item m="1" x="2712"/>
        <item m="1" x="2116"/>
        <item m="1" x="6826"/>
        <item m="1" x="4624"/>
        <item m="1" x="1348"/>
        <item m="1" x="3059"/>
        <item m="1" x="6468"/>
        <item m="1" x="7032"/>
        <item m="1" x="6267"/>
        <item m="1" x="1166"/>
        <item m="1" x="4724"/>
        <item m="1" x="1496"/>
        <item m="1" x="3675"/>
        <item m="1" x="6391"/>
        <item m="1" x="6101"/>
        <item m="1" x="7050"/>
        <item m="1" x="5133"/>
        <item m="1" x="4878"/>
        <item m="1" x="6343"/>
        <item m="1" x="5508"/>
        <item m="1" x="5946"/>
        <item m="1" x="5061"/>
        <item m="1" x="3310"/>
        <item m="1" x="4791"/>
        <item m="1" x="866"/>
        <item m="1" x="2817"/>
        <item m="1" x="7653"/>
        <item m="1" x="2577"/>
        <item m="1" x="2760"/>
        <item m="1" x="5689"/>
        <item m="1" x="5068"/>
        <item m="1" x="6043"/>
        <item m="1" x="6237"/>
        <item m="1" x="4304"/>
        <item m="1" x="6084"/>
        <item m="1" x="5768"/>
        <item m="1" x="5252"/>
        <item m="1" x="5513"/>
        <item m="1" x="5653"/>
        <item m="1" x="5697"/>
        <item m="1" x="5654"/>
        <item m="1" x="5541"/>
        <item m="1" x="5077"/>
        <item m="1" x="4945"/>
        <item m="1" x="5016"/>
        <item m="1" x="4411"/>
        <item m="1" x="4488"/>
        <item m="1" x="4578"/>
        <item m="1" x="4662"/>
        <item m="1" x="3947"/>
        <item m="1" x="4150"/>
        <item m="1" x="3806"/>
        <item m="1" x="5819"/>
        <item m="1" x="5320"/>
        <item m="1" x="1487"/>
        <item m="1" x="1595"/>
        <item m="1" x="2101"/>
        <item m="1" x="2519"/>
        <item m="1" x="2806"/>
        <item m="1" x="2971"/>
        <item m="1" x="3045"/>
        <item m="1" x="2254"/>
        <item m="1" x="6554"/>
        <item m="1" x="801"/>
        <item m="1" x="3015"/>
        <item m="1" x="3948"/>
        <item m="1" x="1609"/>
        <item m="1" x="1669"/>
        <item m="1" x="7514"/>
        <item m="1" x="4522"/>
        <item m="1" x="4669"/>
        <item m="1" x="3273"/>
        <item m="1" x="2223"/>
        <item m="1" x="3738"/>
        <item m="1" x="248"/>
        <item m="1" x="947"/>
        <item m="1" x="6734"/>
        <item m="1" x="7361"/>
        <item m="1" x="79"/>
        <item m="1" x="6407"/>
        <item m="1" x="6586"/>
        <item m="1" x="1440"/>
        <item m="1" x="2342"/>
        <item m="1" x="4997"/>
        <item m="1" x="5125"/>
        <item m="1" x="5388"/>
        <item m="1" x="3961"/>
        <item m="1" x="6531"/>
        <item m="1" x="4704"/>
        <item m="1" x="4974"/>
        <item m="1" x="5040"/>
        <item m="1" x="5105"/>
        <item m="1" x="5231"/>
        <item m="1" x="5308"/>
        <item m="1" x="4641"/>
        <item m="1" x="4707"/>
        <item m="1" x="4789"/>
        <item m="1" x="4870"/>
        <item m="1" x="4977"/>
        <item m="1" x="5107"/>
        <item m="1" x="5233"/>
        <item m="1" x="5311"/>
        <item m="1" x="4794"/>
        <item m="1" x="5049"/>
        <item m="1" x="5112"/>
        <item m="1" x="5235"/>
        <item m="1" x="5116"/>
        <item m="1" x="5178"/>
        <item m="1" x="5240"/>
        <item m="1" x="4892"/>
        <item m="1" x="4990"/>
        <item m="1" x="5056"/>
        <item m="1" x="5122"/>
        <item m="1" x="5184"/>
        <item m="1" x="5245"/>
        <item m="1" x="5246"/>
        <item m="1" x="4653"/>
        <item m="1" x="7160"/>
        <item m="1" x="3860"/>
        <item m="1" x="1162"/>
        <item m="1" x="6282"/>
        <item m="1" x="2316"/>
        <item m="1" x="5540"/>
        <item m="1" x="5219"/>
        <item m="1" x="2420"/>
        <item m="1" x="2017"/>
        <item m="1" x="1546"/>
        <item m="1" x="1114"/>
        <item m="1" x="685"/>
        <item m="1" x="268"/>
        <item m="1" x="5648"/>
        <item m="1" x="1730"/>
        <item m="1" x="1318"/>
        <item m="1" x="31"/>
        <item m="1" x="7362"/>
        <item m="1" x="6945"/>
        <item m="1" x="6587"/>
        <item m="1" x="6292"/>
        <item m="1" x="5953"/>
        <item m="1" x="3280"/>
        <item m="1" x="2986"/>
        <item m="1" x="4577"/>
        <item m="1" x="4291"/>
        <item m="1" x="5839"/>
        <item m="1" x="5923"/>
        <item m="1" x="1"/>
        <item m="1" x="4030"/>
        <item m="1" x="3416"/>
        <item m="1" x="6395"/>
        <item m="1" x="4484"/>
        <item m="1" x="5392"/>
        <item m="1" x="657"/>
        <item m="1" x="4621"/>
        <item m="1" x="2324"/>
        <item m="1" x="5327"/>
        <item m="1" x="5722"/>
        <item m="1" x="6801"/>
        <item m="1" x="2643"/>
        <item m="1" x="7356"/>
        <item m="1" x="6068"/>
        <item m="1" x="123"/>
        <item m="1" x="6873"/>
        <item m="1" x="5137"/>
        <item m="1" x="7558"/>
        <item m="1" x="2828"/>
        <item m="1" x="2098"/>
        <item m="1" x="7354"/>
        <item m="1" x="661"/>
        <item m="1" x="5694"/>
        <item m="1" x="3391"/>
        <item m="1" x="6490"/>
        <item m="1" x="7404"/>
        <item m="1" x="351"/>
        <item m="1" x="1045"/>
        <item m="1" x="3150"/>
        <item m="1" x="5531"/>
        <item m="1" x="5763"/>
        <item m="1" x="3777"/>
        <item m="1" x="4063"/>
        <item m="1" x="4818"/>
        <item m="1" x="3793"/>
        <item m="1" x="4080"/>
        <item m="1" x="4528"/>
        <item m="1" x="4843"/>
        <item m="1" x="4096"/>
        <item m="1" x="5071"/>
        <item m="1" x="5928"/>
        <item m="1" x="4593"/>
        <item m="1" x="4937"/>
        <item m="1" x="5341"/>
        <item m="1" x="4473"/>
        <item m="1" x="4455"/>
        <item m="1" x="5340"/>
        <item m="1" x="4764"/>
        <item m="1" x="4311"/>
        <item m="1" x="4780"/>
        <item m="1" x="4611"/>
        <item m="1" x="4635"/>
        <item m="1" x="3754"/>
        <item m="1" x="4332"/>
        <item m="1" x="4103"/>
        <item m="1" x="2707"/>
        <item m="1" x="4808"/>
        <item m="1" x="3760"/>
        <item m="1" x="4049"/>
        <item m="1" x="3765"/>
        <item m="1" x="4215"/>
        <item m="1" x="4517"/>
        <item m="1" x="3788"/>
        <item m="1" x="4078"/>
        <item m="1" x="4371"/>
        <item m="1" x="3926"/>
        <item m="1" x="87"/>
        <item m="1" x="304"/>
        <item m="1" x="7621"/>
        <item m="1" x="6928"/>
        <item m="1" x="7365"/>
        <item m="1" x="7575"/>
        <item m="1" x="58"/>
        <item m="1" x="280"/>
        <item m="1" x="6379"/>
        <item m="1" x="6743"/>
        <item m="1" x="7592"/>
        <item m="1" x="5680"/>
        <item m="1" x="5379"/>
        <item m="1" x="5566"/>
        <item m="1" x="5966"/>
        <item m="1" x="6151"/>
        <item m="1" x="6326"/>
        <item m="1" x="5830"/>
        <item m="1" x="6203"/>
        <item m="1" x="5257"/>
        <item m="1" x="4861"/>
        <item m="1" x="4130"/>
        <item m="1" x="4868"/>
        <item m="1" x="3844"/>
        <item m="1" x="5139"/>
        <item m="1" x="5594"/>
        <item m="1" x="4388"/>
        <item m="1" x="4533"/>
        <item m="1" x="294"/>
        <item m="1" x="1195"/>
        <item m="1" x="1947"/>
        <item m="1" x="2104"/>
        <item m="1" x="1484"/>
        <item m="1" x="7185"/>
        <item m="1" x="7690"/>
        <item m="1" x="1278"/>
        <item m="1" x="7193"/>
        <item m="1" x="608"/>
        <item m="1" x="813"/>
        <item m="1" x="1058"/>
        <item m="1" x="372"/>
        <item m="1" x="7662"/>
        <item m="1" x="7014"/>
        <item m="1" x="632"/>
        <item m="1" x="7737"/>
        <item m="1" x="348"/>
        <item m="1" x="376"/>
        <item m="1" x="2788"/>
        <item m="1" x="1081"/>
        <item m="1" x="1113"/>
        <item m="1" x="7302"/>
        <item m="1" x="7359"/>
        <item m="1" x="4143"/>
        <item m="1" x="4288"/>
        <item m="1" x="4010"/>
        <item m="1" x="3367"/>
        <item m="1" x="3674"/>
        <item m="1" x="4453"/>
        <item m="1" x="3550"/>
        <item m="1" x="4456"/>
        <item m="1" x="3411"/>
        <item m="1" x="3875"/>
        <item m="1" x="3232"/>
        <item m="1" x="3715"/>
        <item m="1" x="3871"/>
        <item m="1" x="4290"/>
        <item m="1" x="2952"/>
        <item m="1" x="3108"/>
        <item m="1" x="3266"/>
        <item m="1" x="5625"/>
        <item m="1" x="5161"/>
        <item m="1" x="5303"/>
        <item m="1" x="5041"/>
        <item m="1" x="5480"/>
        <item m="1" x="5176"/>
        <item m="1" x="5639"/>
        <item m="1" x="5752"/>
        <item m="1" x="6083"/>
        <item m="1" x="5062"/>
        <item m="1" x="4560"/>
        <item m="1" x="5643"/>
        <item m="1" x="4901"/>
        <item m="1" x="4576"/>
        <item m="1" x="5195"/>
        <item m="1" x="3770"/>
        <item m="1" x="4083"/>
        <item m="1" x="4385"/>
        <item m="1" x="4679"/>
        <item m="1" x="3474"/>
        <item m="1" x="3790"/>
        <item m="1" x="3019"/>
        <item m="1" x="2681"/>
        <item m="1" x="2887"/>
        <item m="1" x="4813"/>
        <item m="1" x="4582"/>
        <item m="1" x="5329"/>
        <item m="1" x="4478"/>
        <item m="1" x="3575"/>
        <item m="1" x="3865"/>
        <item m="1" x="5065"/>
        <item m="1" x="4891"/>
        <item m="1" x="4142"/>
        <item m="1" x="2216"/>
        <item m="1" x="5793"/>
        <item m="1" x="4815"/>
        <item m="1" x="5129"/>
        <item m="1" x="6191"/>
        <item m="1" x="4826"/>
        <item m="1" x="5685"/>
        <item m="1" x="4797"/>
        <item m="1" x="3971"/>
        <item m="1" x="5294"/>
        <item m="1" x="5163"/>
        <item m="1" x="3978"/>
        <item m="1" x="4107"/>
        <item m="1" x="4249"/>
        <item m="1" x="4406"/>
        <item m="1" x="4414"/>
        <item m="1" x="5314"/>
        <item m="1" x="4723"/>
        <item m="1" x="161"/>
        <item m="1" x="7137"/>
        <item m="1" x="7578"/>
        <item m="1" x="1724"/>
        <item m="1" x="4608"/>
        <item m="1" x="4825"/>
        <item m="1" x="4545"/>
        <item m="1" x="6358"/>
        <item m="1" x="5729"/>
        <item m="1" x="7106"/>
        <item m="1" x="7353"/>
        <item m="1" x="6248"/>
        <item m="1" x="5745"/>
        <item m="1" x="6070"/>
        <item m="1" x="6095"/>
        <item m="1" x="5551"/>
        <item m="1" x="5973"/>
        <item m="1" x="6239"/>
        <item m="1" x="5013"/>
        <item m="1" x="3538"/>
        <item m="1" x="2662"/>
        <item m="1" x="6456"/>
        <item m="1" x="7727"/>
        <item m="1" x="5965"/>
        <item m="1" x="7502"/>
        <item m="1" x="5620"/>
        <item m="1" x="6926"/>
        <item m="1" x="5483"/>
        <item m="1" x="6931"/>
        <item m="1" x="5899"/>
        <item m="1" x="6745"/>
        <item m="1" x="7126"/>
        <item m="1" x="6289"/>
        <item m="1" x="6417"/>
        <item m="1" x="5785"/>
        <item m="1" x="6118"/>
        <item m="1" x="4984"/>
        <item m="1" x="5817"/>
        <item m="1" x="4807"/>
        <item m="1" x="5004"/>
        <item m="1" x="3539"/>
        <item m="1" x="3712"/>
        <item m="1" x="4446"/>
        <item m="1" x="1436"/>
        <item m="1" x="2426"/>
        <item m="1" x="4776"/>
        <item m="1" x="6754"/>
        <item m="1" x="69"/>
        <item m="1" x="5668"/>
        <item m="1" x="7422"/>
        <item m="1" x="5269"/>
        <item m="1" x="5414"/>
        <item m="1" x="7670"/>
        <item m="1" x="769"/>
        <item m="1" x="1245"/>
        <item m="1" x="823"/>
        <item m="1" x="835"/>
        <item m="1" x="6808"/>
        <item m="1" x="7200"/>
        <item m="1" x="7474"/>
        <item m="1" x="611"/>
        <item m="1" x="6633"/>
        <item m="1" x="7221"/>
        <item m="1" x="6669"/>
        <item m="1" x="1468"/>
        <item m="1" x="3272"/>
        <item m="1" x="3115"/>
        <item m="1" x="1967"/>
        <item m="1" x="2204"/>
        <item m="1" x="1977"/>
        <item m="1" x="2445"/>
        <item m="1" x="7360"/>
        <item m="1" x="52"/>
        <item m="1" x="5954"/>
        <item m="1" x="6129"/>
        <item m="1" x="3556"/>
        <item m="1" x="3127"/>
        <item m="1" x="2320"/>
        <item m="1" x="2077"/>
        <item m="1" x="1886"/>
        <item m="1" x="1880"/>
        <item m="1" x="3969"/>
        <item m="1" x="2905"/>
        <item m="1" x="2198"/>
        <item m="1" x="3190"/>
        <item m="1" x="3816"/>
        <item m="1" x="1815"/>
        <item m="1" x="6764"/>
        <item m="1" x="1978"/>
        <item m="1" x="6766"/>
        <item m="1" x="6288"/>
        <item m="1" x="6774"/>
        <item m="1" x="5210"/>
        <item m="1" x="5416"/>
        <item m="1" x="4682"/>
        <item m="1" x="3233"/>
        <item m="1" x="3386"/>
        <item m="1" x="3862"/>
        <item m="1" x="4297"/>
        <item m="1" x="6202"/>
        <item m="1" x="5612"/>
        <item m="1" x="5875"/>
        <item m="1" x="6047"/>
        <item m="1" x="6735"/>
        <item m="1" x="5295"/>
        <item m="1" x="6356"/>
        <item m="1" x="6700"/>
        <item m="1" x="4333"/>
        <item m="1" x="4716"/>
        <item m="1" x="4882"/>
        <item m="1" x="5051"/>
        <item m="1" x="4263"/>
        <item m="1" x="3588"/>
        <item m="1" x="6496"/>
        <item m="1" x="6233"/>
        <item m="1" x="3484"/>
        <item m="1" x="3189"/>
        <item m="1" x="5572"/>
        <item m="1" x="4548"/>
        <item m="1" x="4589"/>
        <item m="1" x="4359"/>
        <item m="1" x="3239"/>
        <item m="1" x="5575"/>
        <item m="1" x="5020"/>
        <item m="1" x="5881"/>
        <item m="1" x="3567"/>
        <item m="1" x="3354"/>
        <item m="1" x="4728"/>
        <item m="1" x="1390"/>
        <item m="1" x="4940"/>
        <item m="1" x="7246"/>
        <item m="1" x="1231"/>
        <item m="1" x="2964"/>
        <item m="1" x="3548"/>
        <item m="1" x="2500"/>
        <item m="1" x="6969"/>
        <item m="1" x="3464"/>
        <item m="1" x="7542"/>
        <item m="1" x="7428"/>
        <item m="1" x="7652"/>
        <item m="1" x="5637"/>
        <item m="1" x="5709"/>
        <item m="1" x="594"/>
        <item m="1" x="3363"/>
        <item m="1" x="7647"/>
        <item m="1" x="3897"/>
        <item m="1" x="3462"/>
        <item m="1" x="2974"/>
        <item m="1" x="874"/>
        <item m="1" x="5577"/>
        <item m="1" x="7516"/>
        <item m="1" x="1311"/>
        <item m="1" x="1740"/>
        <item m="1" x="530"/>
        <item m="1" x="6016"/>
        <item m="1" x="5406"/>
        <item m="1" x="2505"/>
        <item m="1" x="3535"/>
        <item m="1" x="6572"/>
        <item m="1" x="5765"/>
        <item m="1" x="3752"/>
        <item m="1" x="1481"/>
        <item m="1" x="7704"/>
        <item m="1" x="2014"/>
        <item m="1" x="1543"/>
        <item m="1" x="5998"/>
        <item m="1" x="4749"/>
        <item m="1" x="7339"/>
        <item m="1" x="1233"/>
        <item m="1" x="6125"/>
        <item m="1" x="1281"/>
        <item m="1" x="2176"/>
        <item m="1" x="5831"/>
        <item m="1" x="1249"/>
        <item m="1" x="6170"/>
        <item m="1" x="457"/>
        <item m="1" x="6623"/>
        <item m="1" x="5499"/>
        <item m="1" x="6601"/>
        <item m="1" x="6038"/>
        <item m="1" x="7455"/>
        <item m="1" x="3485"/>
        <item m="1" x="3095"/>
        <item m="1" x="3118"/>
        <item m="1" x="5432"/>
        <item m="1" x="2563"/>
        <item m="1" x="2658"/>
        <item m="1" x="2654"/>
        <item m="1" x="1370"/>
        <item m="1" x="2072"/>
        <item m="1" x="5421"/>
        <item m="1" x="5454"/>
        <item m="1" x="4041"/>
        <item m="1" x="5985"/>
        <item m="1" x="1398"/>
        <item m="1" x="3796"/>
        <item m="1" x="6461"/>
        <item m="1" x="6480"/>
        <item m="1" x="3400"/>
        <item m="1" x="7265"/>
        <item m="1" x="5357"/>
        <item m="1" x="7417"/>
        <item m="1" x="6340"/>
        <item m="1" x="7391"/>
        <item m="1" x="1786"/>
        <item m="1" x="1812"/>
        <item m="1" x="1824"/>
        <item m="1" x="978"/>
        <item m="1" x="129"/>
        <item m="1" x="912"/>
        <item m="1" x="1799"/>
        <item m="1" x="1846"/>
        <item m="1" x="6235"/>
        <item m="1" x="4654"/>
        <item m="1" x="6487"/>
        <item m="1" x="6462"/>
        <item m="1" x="3899"/>
        <item m="1" x="5275"/>
        <item m="1" x="1591"/>
        <item m="1" x="1870"/>
        <item m="1" x="638"/>
        <item m="1" x="4622"/>
        <item m="1" x="6760"/>
        <item m="1" x="1326"/>
        <item m="1" x="1509"/>
        <item m="1" x="7128"/>
        <item m="1" x="4175"/>
        <item m="1" x="3618"/>
        <item m="1" x="5358"/>
        <item m="1" x="4824"/>
        <item m="1" x="7535"/>
        <item m="1" x="7573"/>
        <item m="1" x="169"/>
        <item m="1" x="7485"/>
        <item m="1" x="6059"/>
        <item m="1" x="5524"/>
        <item m="1" x="5212"/>
        <item m="1" x="1989"/>
        <item m="1" x="3424"/>
        <item m="1" x="2840"/>
        <item m="1" x="760"/>
        <item m="1" x="7199"/>
        <item m="1" x="6824"/>
        <item m="1" x="5072"/>
        <item m="1" x="246"/>
        <item m="1" x="4515"/>
        <item m="1" x="3062"/>
        <item m="1" x="4540"/>
        <item m="1" x="5730"/>
        <item m="1" x="3104"/>
        <item m="1" x="4583"/>
        <item m="1" x="5771"/>
        <item m="1" x="6906"/>
        <item m="1" x="7374"/>
        <item m="1" x="6912"/>
        <item m="1" x="6951"/>
        <item m="1" x="4339"/>
        <item m="1" x="3469"/>
        <item m="1" x="326"/>
        <item m="1" x="7475"/>
        <item m="1" x="7523"/>
        <item m="1" x="7079"/>
        <item m="1" x="7564"/>
        <item m="1" x="7640"/>
        <item m="1" x="1838"/>
        <item m="1" x="3324"/>
        <item m="1" x="43"/>
        <item m="1" x="7083"/>
        <item m="1" x="7567"/>
        <item m="1" x="7648"/>
        <item m="1" x="1845"/>
        <item m="1" x="7085"/>
        <item m="1" x="7569"/>
        <item m="1" x="7649"/>
        <item m="1" x="1847"/>
        <item m="1" x="47"/>
        <item m="1" x="7087"/>
        <item m="1" x="1621"/>
        <item m="1" x="7090"/>
        <item m="1" x="1622"/>
        <item m="1" x="7093"/>
        <item m="1" x="1757"/>
        <item m="1" x="7095"/>
        <item m="1" x="1758"/>
        <item m="1" x="7097"/>
        <item m="1" x="7538"/>
        <item m="1" x="7579"/>
        <item m="1" x="7667"/>
        <item m="1" x="1857"/>
        <item m="1" x="7436"/>
        <item m="1" x="1469"/>
        <item m="1" x="7665"/>
        <item m="1" x="7215"/>
        <item m="1" x="1315"/>
        <item m="1" x="2983"/>
        <item m="1" x="7225"/>
        <item m="1" x="481"/>
        <item m="1" x="2328"/>
        <item m="1" x="3936"/>
        <item m="1" x="5378"/>
        <item m="1" x="536"/>
        <item m="1" x="2365"/>
        <item m="1" x="3964"/>
        <item m="1" x="5407"/>
        <item m="1" x="7447"/>
        <item m="1" x="633"/>
        <item m="1" x="2458"/>
        <item m="1" x="4026"/>
        <item m="1" x="5536"/>
        <item m="1" x="7228"/>
        <item m="1" x="2993"/>
        <item m="1" x="3939"/>
        <item m="1" x="7313"/>
        <item m="1" x="1383"/>
        <item m="1" x="3026"/>
        <item m="1" x="3966"/>
        <item m="1" x="7375"/>
        <item m="1" x="1422"/>
        <item m="1" x="3066"/>
        <item m="1" x="4006"/>
        <item m="1" x="6731"/>
        <item m="1" x="2868"/>
        <item m="1" x="2515"/>
        <item m="1" x="6757"/>
        <item m="1" x="2919"/>
        <item m="1" x="2568"/>
        <item m="1" x="7316"/>
        <item m="1" x="7084"/>
        <item m="1" x="301"/>
        <item m="1" x="2152"/>
        <item m="1" x="2209"/>
        <item m="1" x="5319"/>
        <item m="1" x="7179"/>
        <item m="1" x="830"/>
        <item m="1" x="2286"/>
        <item m="1" x="6537"/>
        <item m="1" x="6544"/>
        <item m="1" x="576"/>
        <item m="1" x="6545"/>
        <item m="1" x="577"/>
        <item m="1" x="7046"/>
        <item m="1" x="7102"/>
        <item m="1" x="7136"/>
        <item m="1" x="6547"/>
        <item m="1" x="6907"/>
        <item m="1" x="6593"/>
        <item m="1" x="6914"/>
        <item m="1" x="6915"/>
        <item m="1" x="6683"/>
        <item m="1" x="1604"/>
        <item m="1" x="5615"/>
        <item m="1" x="3"/>
        <item m="1" x="1841"/>
        <item m="1" x="1682"/>
        <item m="1" x="5655"/>
        <item m="1" x="7382"/>
        <item m="1" x="1894"/>
        <item m="1" x="6126"/>
        <item m="1" x="6469"/>
        <item m="1" x="667"/>
        <item m="1" x="2508"/>
        <item m="1" x="894"/>
        <item m="1" x="497"/>
        <item m="1" x="2466"/>
        <item m="1" x="671"/>
        <item m="1" x="2642"/>
        <item m="1" x="901"/>
        <item m="1" x="1036"/>
        <item m="1" x="604"/>
        <item m="1" x="2779"/>
        <item m="1" x="1549"/>
        <item m="1" x="1898"/>
        <item m="1" x="7580"/>
        <item m="1" x="7719"/>
        <item m="1" x="16"/>
        <item m="1" x="62"/>
        <item m="1" x="141"/>
        <item m="1" x="600"/>
        <item m="1" x="696"/>
        <item m="1" x="284"/>
        <item m="1" x="220"/>
        <item m="1" x="7306"/>
        <item m="1" x="1606"/>
        <item m="1" x="4397"/>
        <item m="1" x="6919"/>
        <item m="1" x="2708"/>
        <item m="1" x="5154"/>
        <item m="1" x="261"/>
        <item m="1" x="3503"/>
        <item m="1" x="5883"/>
        <item m="1" x="1412"/>
        <item m="1" x="4250"/>
        <item m="1" x="1734"/>
        <item m="1" x="4475"/>
        <item m="1" x="7001"/>
        <item m="1" x="2805"/>
        <item m="1" x="5220"/>
        <item m="1" x="377"/>
        <item m="1" x="3571"/>
        <item m="1" x="5957"/>
        <item m="1" x="1502"/>
        <item m="1" x="4327"/>
        <item m="1" x="1889"/>
        <item m="1" x="4543"/>
        <item m="1" x="7105"/>
        <item m="1" x="2893"/>
        <item m="1" x="5287"/>
        <item m="1" x="512"/>
        <item m="1" x="3665"/>
        <item m="1" x="6056"/>
        <item m="1" x="1624"/>
        <item m="1" x="4407"/>
        <item m="1" x="1993"/>
        <item m="1" x="4617"/>
        <item m="1" x="7202"/>
        <item m="1" x="2969"/>
        <item m="1" x="5360"/>
        <item m="1" x="617"/>
        <item m="1" x="3741"/>
        <item m="1" x="6131"/>
        <item m="1" x="1752"/>
        <item m="1" x="4485"/>
        <item m="1" x="2093"/>
        <item m="1" x="4687"/>
        <item m="1" x="7352"/>
        <item m="1" x="3043"/>
        <item m="1" x="5458"/>
        <item m="1" x="709"/>
        <item m="1" x="3823"/>
        <item m="1" x="6247"/>
        <item m="1" x="1901"/>
        <item m="1" x="4550"/>
        <item m="1" x="2230"/>
        <item m="1" x="4774"/>
        <item m="1" x="7476"/>
        <item m="1" x="3132"/>
        <item m="1" x="5555"/>
        <item m="1" x="833"/>
        <item m="1" x="3903"/>
        <item m="1" x="6302"/>
        <item m="1" x="2007"/>
        <item m="1" x="4628"/>
        <item m="1" x="2341"/>
        <item m="1" x="4852"/>
        <item m="1" x="7563"/>
        <item m="1" x="3196"/>
        <item m="1" x="5621"/>
        <item m="1" x="960"/>
        <item m="1" x="3974"/>
        <item m="1" x="6370"/>
        <item m="1" x="2119"/>
        <item m="1" x="4697"/>
        <item m="1" x="2428"/>
        <item m="1" x="4957"/>
        <item m="1" x="7706"/>
        <item m="1" x="3283"/>
        <item m="1" x="5672"/>
        <item m="1" x="1063"/>
        <item m="1" x="4035"/>
        <item m="1" x="6439"/>
        <item m="1" x="2253"/>
        <item m="1" x="4782"/>
        <item m="1" x="2514"/>
        <item m="1" x="5025"/>
        <item m="1" x="42"/>
        <item m="1" x="3352"/>
        <item m="1" x="5735"/>
        <item m="1" x="1164"/>
        <item m="1" x="4104"/>
        <item m="1" x="6535"/>
        <item m="1" x="2353"/>
        <item m="1" x="4859"/>
        <item m="1" x="2613"/>
        <item m="1" x="5086"/>
        <item m="1" x="176"/>
        <item m="1" x="3429"/>
        <item m="1" x="5796"/>
        <item m="1" x="1305"/>
        <item m="1" x="4180"/>
        <item m="1" x="6632"/>
        <item m="1" x="2444"/>
        <item m="1" x="4968"/>
        <item m="1" x="1611"/>
        <item m="1" x="4400"/>
        <item m="1" x="6922"/>
        <item m="1" x="2710"/>
        <item m="1" x="5156"/>
        <item m="1" x="269"/>
        <item m="1" x="3506"/>
        <item m="1" x="5887"/>
        <item m="1" x="1413"/>
        <item m="1" x="4253"/>
        <item m="1" x="1739"/>
        <item m="1" x="4477"/>
        <item m="1" x="7006"/>
        <item m="1" x="2807"/>
        <item m="1" x="5222"/>
        <item m="1" x="388"/>
        <item m="1" x="3576"/>
        <item m="1" x="5959"/>
        <item m="1" x="1505"/>
        <item m="1" x="4328"/>
        <item m="1" x="1892"/>
        <item m="1" x="4544"/>
        <item m="1" x="7107"/>
        <item m="1" x="2898"/>
        <item m="1" x="5293"/>
        <item m="1" x="519"/>
        <item m="1" x="3668"/>
        <item m="1" x="6061"/>
        <item m="1" x="1628"/>
        <item m="1" x="4412"/>
        <item m="1" x="1997"/>
        <item m="1" x="4623"/>
        <item m="1" x="7207"/>
        <item m="1" x="2975"/>
        <item m="1" x="5364"/>
        <item m="1" x="622"/>
        <item m="1" x="3746"/>
        <item m="1" x="6134"/>
        <item m="1" x="1760"/>
        <item m="1" x="4489"/>
        <item m="1" x="2100"/>
        <item m="1" x="4691"/>
        <item m="1" x="7355"/>
        <item m="1" x="3047"/>
        <item m="1" x="5466"/>
        <item m="1" x="716"/>
        <item m="1" x="3830"/>
        <item m="1" x="6253"/>
        <item m="1" x="1907"/>
        <item m="1" x="4553"/>
        <item m="1" x="2238"/>
        <item m="1" x="4775"/>
        <item m="1" x="7478"/>
        <item m="1" x="3135"/>
        <item m="1" x="5557"/>
        <item m="1" x="841"/>
        <item m="1" x="3906"/>
        <item m="1" x="6309"/>
        <item m="1" x="2016"/>
        <item m="1" x="4633"/>
        <item m="1" x="2346"/>
        <item m="1" x="4855"/>
        <item m="1" x="7568"/>
        <item m="1" x="3202"/>
        <item m="1" x="5626"/>
        <item m="1" x="969"/>
        <item m="1" x="3979"/>
        <item m="1" x="6374"/>
        <item m="1" x="2128"/>
        <item m="1" x="4702"/>
        <item m="1" x="2435"/>
        <item m="1" x="4960"/>
        <item m="1" x="7709"/>
        <item m="1" x="3285"/>
        <item m="1" x="5675"/>
        <item m="1" x="1066"/>
        <item m="1" x="4039"/>
        <item m="1" x="6446"/>
        <item m="1" x="2263"/>
        <item m="1" x="4784"/>
        <item m="1" x="2517"/>
        <item m="1" x="5027"/>
        <item m="1" x="45"/>
        <item m="1" x="3355"/>
        <item m="1" x="5740"/>
        <item m="1" x="1171"/>
        <item m="1" x="4108"/>
        <item m="1" x="6543"/>
        <item m="1" x="2359"/>
        <item m="1" x="4862"/>
        <item m="1" x="2616"/>
        <item m="1" x="5088"/>
        <item m="1" x="180"/>
        <item m="1" x="3430"/>
        <item m="1" x="5798"/>
        <item m="1" x="1309"/>
        <item m="1" x="4183"/>
        <item m="1" x="6637"/>
        <item m="1" x="2449"/>
        <item m="1" x="4970"/>
        <item m="1" x="1614"/>
        <item m="1" x="4402"/>
        <item m="1" x="6925"/>
        <item m="1" x="2715"/>
        <item m="1" x="5160"/>
        <item m="1" x="276"/>
        <item m="1" x="3508"/>
        <item m="1" x="5891"/>
        <item m="1" x="1417"/>
        <item m="1" x="4257"/>
        <item m="1" x="1742"/>
        <item m="1" x="4480"/>
        <item m="1" x="7009"/>
        <item m="1" x="2809"/>
        <item m="1" x="5223"/>
        <item m="1" x="390"/>
        <item m="1" x="3577"/>
        <item m="1" x="5960"/>
        <item m="1" x="1506"/>
        <item m="1" x="4331"/>
        <item m="1" x="1895"/>
        <item m="1" x="4547"/>
        <item m="1" x="7108"/>
        <item m="1" x="2900"/>
        <item m="1" x="5298"/>
        <item m="1" x="523"/>
        <item m="1" x="3669"/>
        <item m="1" x="6064"/>
        <item m="1" x="1631"/>
        <item m="1" x="4415"/>
        <item m="1" x="1999"/>
        <item m="1" x="4625"/>
        <item m="1" x="7209"/>
        <item m="1" x="2977"/>
        <item m="1" x="5365"/>
        <item m="1" x="624"/>
        <item m="1" x="3747"/>
        <item m="1" x="6135"/>
        <item m="1" x="1763"/>
        <item m="1" x="4491"/>
        <item m="1" x="2105"/>
        <item m="1" x="4692"/>
        <item m="1" x="7358"/>
        <item m="1" x="3049"/>
        <item m="1" x="5467"/>
        <item m="1" x="718"/>
        <item m="1" x="3831"/>
        <item m="1" x="6254"/>
        <item m="1" x="1911"/>
        <item m="1" x="4555"/>
        <item m="1" x="2241"/>
        <item m="1" x="4778"/>
        <item m="1" x="7481"/>
        <item m="1" x="3136"/>
        <item m="1" x="5558"/>
        <item m="1" x="844"/>
        <item m="1" x="3907"/>
        <item m="1" x="6310"/>
        <item m="1" x="2020"/>
        <item m="1" x="4636"/>
        <item m="1" x="2348"/>
        <item m="1" x="4856"/>
        <item m="1" x="7570"/>
        <item m="1" x="3203"/>
        <item m="1" x="5628"/>
        <item m="1" x="972"/>
        <item m="1" x="3980"/>
        <item m="1" x="6375"/>
        <item m="1" x="2131"/>
        <item m="1" x="4705"/>
        <item m="1" x="2437"/>
        <item m="1" x="4963"/>
        <item m="1" x="7711"/>
        <item m="1" x="3286"/>
        <item m="1" x="5676"/>
        <item m="1" x="1067"/>
        <item m="1" x="4040"/>
        <item m="1" x="6448"/>
        <item m="1" x="2266"/>
        <item m="1" x="4787"/>
        <item m="1" x="2521"/>
        <item m="1" x="5029"/>
        <item m="1" x="49"/>
        <item m="1" x="3356"/>
        <item m="1" x="5741"/>
        <item m="1" x="1173"/>
        <item m="1" x="4110"/>
        <item m="1" x="6546"/>
        <item m="1" x="2362"/>
        <item m="1" x="4866"/>
        <item m="1" x="2621"/>
        <item m="1" x="5092"/>
        <item m="1" x="184"/>
        <item m="1" x="3434"/>
        <item m="1" x="5801"/>
        <item m="1" x="1312"/>
        <item m="1" x="4186"/>
        <item m="1" x="6642"/>
        <item m="1" x="2455"/>
        <item m="1" x="4975"/>
        <item m="1" x="1619"/>
        <item m="1" x="4405"/>
        <item m="1" x="6927"/>
        <item m="1" x="2716"/>
        <item m="1" x="5162"/>
        <item m="1" x="282"/>
        <item m="1" x="3511"/>
        <item m="1" x="5894"/>
        <item m="1" x="1418"/>
        <item m="1" x="4259"/>
        <item m="1" x="1747"/>
        <item m="1" x="4482"/>
        <item m="1" x="7013"/>
        <item m="1" x="2811"/>
        <item m="1" x="5226"/>
        <item m="1" x="400"/>
        <item m="1" x="3582"/>
        <item m="1" x="5961"/>
        <item m="1" x="1510"/>
        <item m="1" x="4334"/>
        <item m="1" x="1899"/>
        <item m="1" x="4549"/>
        <item m="1" x="7110"/>
        <item m="1" x="2904"/>
        <item m="1" x="5304"/>
        <item m="1" x="533"/>
        <item m="1" x="3676"/>
        <item m="1" x="6069"/>
        <item m="1" x="1635"/>
        <item m="1" x="4419"/>
        <item m="1" x="2005"/>
        <item m="1" x="4627"/>
        <item m="1" x="7212"/>
        <item m="1" x="2980"/>
        <item m="1" x="5368"/>
        <item m="1" x="629"/>
        <item m="1" x="3753"/>
        <item m="1" x="6141"/>
        <item m="1" x="1772"/>
        <item m="1" x="4495"/>
        <item m="1" x="2113"/>
        <item m="1" x="4696"/>
        <item m="1" x="7363"/>
        <item m="1" x="3053"/>
        <item m="1" x="5473"/>
        <item m="1" x="725"/>
        <item m="1" x="3836"/>
        <item m="1" x="6258"/>
        <item m="1" x="1917"/>
        <item m="1" x="4558"/>
        <item m="1" x="2250"/>
        <item m="1" x="4779"/>
        <item m="1" x="7482"/>
        <item m="1" x="3140"/>
        <item m="1" x="5560"/>
        <item m="1" x="850"/>
        <item m="1" x="3912"/>
        <item m="1" x="6317"/>
        <item m="1" x="2030"/>
        <item m="1" x="4643"/>
        <item m="1" x="2351"/>
        <item m="1" x="4858"/>
        <item m="1" x="7574"/>
        <item m="1" x="3206"/>
        <item m="1" x="5631"/>
        <item m="1" x="979"/>
        <item m="1" x="3983"/>
        <item m="1" x="6378"/>
        <item m="1" x="2138"/>
        <item m="1" x="4710"/>
        <item m="1" x="2442"/>
        <item m="1" x="4967"/>
        <item m="1" x="7714"/>
        <item m="1" x="3290"/>
        <item m="1" x="5681"/>
        <item m="1" x="1071"/>
        <item m="1" x="4044"/>
        <item m="1" x="6455"/>
        <item m="1" x="2275"/>
        <item m="1" x="4792"/>
        <item m="1" x="2525"/>
        <item m="1" x="5032"/>
        <item m="1" x="56"/>
        <item m="1" x="3361"/>
        <item m="1" x="5743"/>
        <item m="1" x="1177"/>
        <item m="1" x="4112"/>
        <item m="1" x="6551"/>
        <item m="1" x="2368"/>
        <item m="1" x="4875"/>
        <item m="1" x="2624"/>
        <item m="1" x="5094"/>
        <item m="1" x="188"/>
        <item m="1" x="3437"/>
        <item m="1" x="5804"/>
        <item m="1" x="1316"/>
        <item m="1" x="4188"/>
        <item m="1" x="6644"/>
        <item m="1" x="2461"/>
        <item m="1" x="4978"/>
        <item m="1" x="1625"/>
        <item m="1" x="4408"/>
        <item m="1" x="6933"/>
        <item m="1" x="2722"/>
        <item m="1" x="5167"/>
        <item m="1" x="289"/>
        <item m="1" x="3513"/>
        <item m="1" x="5896"/>
        <item m="1" x="1421"/>
        <item m="1" x="4265"/>
        <item m="1" x="1753"/>
        <item m="1" x="4487"/>
        <item m="1" x="7017"/>
        <item m="1" x="2813"/>
        <item m="1" x="5228"/>
        <item m="1" x="403"/>
        <item m="1" x="3584"/>
        <item m="1" x="5962"/>
        <item m="1" x="1514"/>
        <item m="1" x="4338"/>
        <item m="1" x="1902"/>
        <item m="1" x="4552"/>
        <item m="1" x="7114"/>
        <item m="1" x="2907"/>
        <item m="1" x="5305"/>
        <item m="1" x="537"/>
        <item m="1" x="3677"/>
        <item m="1" x="6072"/>
        <item m="1" x="1642"/>
        <item m="1" x="4423"/>
        <item m="1" x="2008"/>
        <item m="1" x="4629"/>
        <item m="1" x="7214"/>
        <item m="1" x="2982"/>
        <item m="1" x="5369"/>
        <item m="1" x="634"/>
        <item m="1" x="3755"/>
        <item m="1" x="6143"/>
        <item m="1" x="1778"/>
        <item m="1" x="4498"/>
        <item m="1" x="2120"/>
        <item m="1" x="4698"/>
        <item m="1" x="7367"/>
        <item m="1" x="3055"/>
        <item m="1" x="5474"/>
        <item m="1" x="728"/>
        <item m="1" x="3837"/>
        <item m="1" x="6260"/>
        <item m="1" x="1922"/>
        <item m="1" x="4562"/>
        <item m="1" x="2255"/>
        <item m="1" x="4783"/>
        <item m="1" x="7484"/>
        <item m="1" x="3142"/>
        <item m="1" x="5561"/>
        <item m="1" x="852"/>
        <item m="1" x="3913"/>
        <item m="1" x="6318"/>
        <item m="1" x="2036"/>
        <item m="1" x="4646"/>
        <item m="1" x="2354"/>
        <item m="1" x="4860"/>
        <item m="1" x="7577"/>
        <item m="1" x="3207"/>
        <item m="1" x="5632"/>
        <item m="1" x="983"/>
        <item m="1" x="3986"/>
        <item m="1" x="6381"/>
        <item m="1" x="2143"/>
        <item m="1" x="4713"/>
        <item m="1" x="2446"/>
        <item m="1" x="4969"/>
        <item m="1" x="7717"/>
        <item m="1" x="3291"/>
        <item m="1" x="5683"/>
        <item m="1" x="1072"/>
        <item m="1" x="4046"/>
        <item m="1" x="6458"/>
        <item m="1" x="2280"/>
        <item m="1" x="4796"/>
        <item m="1" x="2529"/>
        <item m="1" x="5036"/>
        <item m="1" x="60"/>
        <item m="1" x="3364"/>
        <item m="1" x="5744"/>
        <item m="1" x="1179"/>
        <item m="1" x="4114"/>
        <item m="1" x="6553"/>
        <item m="1" x="2371"/>
        <item m="1" x="4879"/>
        <item m="1" x="2628"/>
        <item m="1" x="5098"/>
        <item m="1" x="192"/>
        <item m="1" x="3441"/>
        <item m="1" x="5809"/>
        <item m="1" x="1319"/>
        <item m="1" x="4193"/>
        <item m="1" x="6651"/>
        <item m="1" x="2468"/>
        <item m="1" x="4983"/>
        <item m="1" x="1629"/>
        <item m="1" x="4413"/>
        <item m="1" x="6934"/>
        <item m="1" x="2724"/>
        <item m="1" x="5169"/>
        <item m="1" x="293"/>
        <item m="1" x="3516"/>
        <item m="1" x="5898"/>
        <item m="1" x="1425"/>
        <item m="1" x="4267"/>
        <item m="1" x="1761"/>
        <item m="1" x="4490"/>
        <item m="1" x="7021"/>
        <item m="1" x="2818"/>
        <item m="1" x="5232"/>
        <item m="1" x="415"/>
        <item m="1" x="3590"/>
        <item m="1" x="5964"/>
        <item m="1" x="1519"/>
        <item m="1" x="4341"/>
        <item m="1" x="1908"/>
        <item m="1" x="4554"/>
        <item m="1" x="7117"/>
        <item m="1" x="2910"/>
        <item m="1" x="5310"/>
        <item m="1" x="544"/>
        <item m="1" x="3682"/>
        <item m="1" x="6077"/>
        <item m="1" x="1648"/>
        <item m="1" x="4427"/>
        <item m="1" x="2018"/>
        <item m="1" x="4634"/>
        <item m="1" x="7220"/>
        <item m="1" x="2987"/>
        <item m="1" x="5373"/>
        <item m="1" x="640"/>
        <item m="1" x="3761"/>
        <item m="1" x="6150"/>
        <item m="1" x="1789"/>
        <item m="1" x="4503"/>
        <item m="1" x="2129"/>
        <item m="1" x="4703"/>
        <item m="1" x="7371"/>
        <item m="1" x="3060"/>
        <item m="1" x="5481"/>
        <item m="1" x="735"/>
        <item m="1" x="3842"/>
        <item m="1" x="6264"/>
        <item m="1" x="1930"/>
        <item m="1" x="4565"/>
        <item m="1" x="2264"/>
        <item m="1" x="4785"/>
        <item m="1" x="7487"/>
        <item m="1" x="3145"/>
        <item m="1" x="5563"/>
        <item m="1" x="859"/>
        <item m="1" x="3918"/>
        <item m="1" x="6325"/>
        <item m="1" x="2042"/>
        <item m="1" x="4649"/>
        <item m="1" x="2360"/>
        <item m="1" x="4864"/>
        <item m="1" x="7582"/>
        <item m="1" x="3214"/>
        <item m="1" x="5635"/>
        <item m="1" x="991"/>
        <item m="1" x="3990"/>
        <item m="1" x="6385"/>
        <item m="1" x="2154"/>
        <item m="1" x="4721"/>
        <item m="1" x="2453"/>
        <item m="1" x="4973"/>
        <item m="1" x="7725"/>
        <item m="1" x="3295"/>
        <item m="1" x="5686"/>
        <item m="1" x="1076"/>
        <item m="1" x="4052"/>
        <item m="1" x="6465"/>
        <item m="1" x="2288"/>
        <item m="1" x="4803"/>
        <item m="1" x="2533"/>
        <item m="1" x="5039"/>
        <item m="1" x="68"/>
        <item m="1" x="3369"/>
        <item m="1" x="5747"/>
        <item m="1" x="1185"/>
        <item m="1" x="4116"/>
        <item m="1" x="6560"/>
        <item m="1" x="2377"/>
        <item m="1" x="4887"/>
        <item m="1" x="2630"/>
        <item m="1" x="5101"/>
        <item m="1" x="197"/>
        <item m="1" x="3442"/>
        <item m="1" x="5811"/>
        <item m="1" x="1324"/>
        <item m="1" x="4196"/>
        <item m="1" x="6654"/>
        <item m="1" x="2472"/>
        <item m="1" x="4986"/>
        <item m="1" x="1632"/>
        <item m="1" x="4416"/>
        <item m="1" x="6938"/>
        <item m="1" x="2730"/>
        <item m="1" x="5174"/>
        <item m="1" x="299"/>
        <item m="1" x="3517"/>
        <item m="1" x="5900"/>
        <item m="1" x="1428"/>
        <item m="1" x="4270"/>
        <item m="1" x="1765"/>
        <item m="1" x="4492"/>
        <item m="1" x="7023"/>
        <item m="1" x="2820"/>
        <item m="1" x="5234"/>
        <item m="1" x="418"/>
        <item m="1" x="3593"/>
        <item m="1" x="5968"/>
        <item m="1" x="1522"/>
        <item m="1" x="4342"/>
        <item m="1" x="1912"/>
        <item m="1" x="4556"/>
        <item m="1" x="7119"/>
        <item m="1" x="2912"/>
        <item m="1" x="5312"/>
        <item m="1" x="546"/>
        <item m="1" x="3683"/>
        <item m="1" x="6079"/>
        <item m="1" x="1651"/>
        <item m="1" x="4429"/>
        <item m="1" x="2021"/>
        <item m="1" x="4637"/>
        <item m="1" x="7224"/>
        <item m="1" x="2989"/>
        <item m="1" x="5374"/>
        <item m="1" x="641"/>
        <item m="1" x="3762"/>
        <item m="1" x="6152"/>
        <item m="1" x="1793"/>
        <item m="1" x="4505"/>
        <item m="1" x="2132"/>
        <item m="1" x="4706"/>
        <item m="1" x="7373"/>
        <item m="1" x="3063"/>
        <item m="1" x="5485"/>
        <item m="1" x="736"/>
        <item m="1" x="3845"/>
        <item m="1" x="6265"/>
        <item m="1" x="1933"/>
        <item m="1" x="4568"/>
        <item m="1" x="2267"/>
        <item m="1" x="4788"/>
        <item m="1" x="7489"/>
        <item m="1" x="3146"/>
        <item m="1" x="5565"/>
        <item m="1" x="860"/>
        <item m="1" x="3921"/>
        <item m="1" x="6327"/>
        <item m="1" x="2048"/>
        <item m="1" x="4651"/>
        <item m="1" x="2363"/>
        <item m="1" x="4867"/>
        <item m="1" x="7584"/>
        <item m="1" x="3215"/>
        <item m="1" x="5636"/>
        <item m="1" x="993"/>
        <item m="1" x="3991"/>
        <item m="1" x="6387"/>
        <item m="1" x="2157"/>
        <item m="1" x="4725"/>
        <item m="1" x="2456"/>
        <item m="1" x="4976"/>
        <item m="1" x="7729"/>
        <item m="1" x="3297"/>
        <item m="1" x="5687"/>
        <item m="1" x="1078"/>
        <item m="1" x="4053"/>
        <item m="1" x="6466"/>
        <item m="1" x="2291"/>
        <item m="1" x="4806"/>
        <item m="1" x="2536"/>
        <item m="1" x="5042"/>
        <item m="1" x="74"/>
        <item m="1" x="3372"/>
        <item m="1" x="5751"/>
        <item m="1" x="1189"/>
        <item m="1" x="4120"/>
        <item m="1" x="6563"/>
        <item m="1" x="2381"/>
        <item m="1" x="4893"/>
        <item m="1" x="2635"/>
        <item m="1" x="5106"/>
        <item m="1" x="201"/>
        <item m="1" x="3447"/>
        <item m="1" x="5816"/>
        <item m="1" x="1328"/>
        <item m="1" x="4201"/>
        <item m="1" x="6659"/>
        <item m="1" x="2478"/>
        <item m="1" x="4991"/>
        <item m="1" x="1637"/>
        <item m="1" x="4421"/>
        <item m="1" x="6939"/>
        <item m="1" x="2732"/>
        <item m="1" x="5177"/>
        <item m="1" x="303"/>
        <item m="1" x="3522"/>
        <item m="1" x="5903"/>
        <item m="1" x="1430"/>
        <item m="1" x="4272"/>
        <item m="1" x="1773"/>
        <item m="1" x="4496"/>
        <item m="1" x="7026"/>
        <item m="1" x="2822"/>
        <item m="1" x="5239"/>
        <item m="1" x="428"/>
        <item m="1" x="3596"/>
        <item m="1" x="5972"/>
        <item m="1" x="1532"/>
        <item m="1" x="4346"/>
        <item m="1" x="1918"/>
        <item m="1" x="4559"/>
        <item m="1" x="7122"/>
        <item m="1" x="2916"/>
        <item m="1" x="5315"/>
        <item m="1" x="551"/>
        <item m="1" x="3689"/>
        <item m="1" x="6085"/>
        <item m="1" x="1659"/>
        <item m="1" x="4432"/>
        <item m="1" x="2031"/>
        <item m="1" x="4644"/>
        <item m="1" x="7230"/>
        <item m="1" x="2994"/>
        <item m="1" x="5380"/>
        <item m="1" x="646"/>
        <item m="1" x="3766"/>
        <item m="1" x="6163"/>
        <item m="1" x="1801"/>
        <item m="1" x="4509"/>
        <item m="1" x="2139"/>
        <item m="1" x="4711"/>
        <item m="1" x="7377"/>
        <item m="1" x="3067"/>
        <item m="1" x="5493"/>
        <item m="1" x="740"/>
        <item m="1" x="3850"/>
        <item m="1" x="6268"/>
        <item m="1" x="1937"/>
        <item m="1" x="4570"/>
        <item m="1" x="2276"/>
        <item m="1" x="4793"/>
        <item m="1" x="7492"/>
        <item m="1" x="3148"/>
        <item m="1" x="5567"/>
        <item m="1" x="868"/>
        <item m="1" x="3924"/>
        <item m="1" x="6330"/>
        <item m="1" x="2054"/>
        <item m="1" x="4655"/>
        <item m="1" x="2369"/>
        <item m="1" x="4877"/>
        <item m="1" x="7590"/>
        <item m="1" x="3222"/>
        <item m="1" x="5640"/>
        <item m="1" x="996"/>
        <item m="1" x="3994"/>
        <item m="1" x="6392"/>
        <item m="1" x="2164"/>
        <item m="1" x="4730"/>
        <item m="1" x="2465"/>
        <item m="1" x="4981"/>
        <item m="1" x="7735"/>
        <item m="1" x="3300"/>
        <item m="1" x="5688"/>
        <item m="1" x="1083"/>
        <item m="1" x="4056"/>
        <item m="1" x="6476"/>
        <item m="1" x="2295"/>
        <item m="1" x="4812"/>
        <item m="1" x="2540"/>
        <item m="1" x="5047"/>
        <item m="1" x="81"/>
        <item m="1" x="3376"/>
        <item m="1" x="5754"/>
        <item m="1" x="1192"/>
        <item m="1" x="4123"/>
        <item m="1" x="6570"/>
        <item m="1" x="2386"/>
        <item m="1" x="4899"/>
        <item m="1" x="2638"/>
        <item m="1" x="5109"/>
        <item m="1" x="205"/>
        <item m="1" x="3448"/>
        <item m="1" x="5818"/>
        <item m="1" x="1333"/>
        <item m="1" x="4205"/>
        <item m="1" x="6663"/>
        <item m="1" x="2482"/>
        <item m="1" x="4994"/>
        <item m="1" x="1643"/>
        <item m="1" x="4424"/>
        <item m="1" x="6942"/>
        <item m="1" x="2738"/>
        <item m="1" x="5182"/>
        <item m="1" x="309"/>
        <item m="1" x="3524"/>
        <item m="1" x="5908"/>
        <item m="1" x="1435"/>
        <item m="1" x="4275"/>
        <item m="1" x="1780"/>
        <item m="1" x="4500"/>
        <item m="1" x="7029"/>
        <item m="1" x="2825"/>
        <item m="1" x="5242"/>
        <item m="1" x="433"/>
        <item m="1" x="3601"/>
        <item m="1" x="5976"/>
        <item m="1" x="1535"/>
        <item m="1" x="4348"/>
        <item m="1" x="1923"/>
        <item m="1" x="4563"/>
        <item m="1" x="7127"/>
        <item m="1" x="2920"/>
        <item m="1" x="5317"/>
        <item m="1" x="554"/>
        <item m="1" x="3692"/>
        <item m="1" x="6088"/>
        <item m="1" x="1663"/>
        <item m="1" x="4434"/>
        <item m="1" x="2037"/>
        <item m="1" x="4647"/>
        <item m="1" x="7235"/>
        <item m="1" x="2996"/>
        <item m="1" x="5382"/>
        <item m="1" x="649"/>
        <item m="1" x="3771"/>
        <item m="1" x="6167"/>
        <item m="1" x="1804"/>
        <item m="1" x="4511"/>
        <item m="1" x="2144"/>
        <item m="1" x="4714"/>
        <item m="1" x="7381"/>
        <item m="1" x="3070"/>
        <item m="1" x="5496"/>
        <item m="1" x="742"/>
        <item m="1" x="3852"/>
        <item m="1" x="6271"/>
        <item m="1" x="1940"/>
        <item m="1" x="4573"/>
        <item m="1" x="2281"/>
        <item m="1" x="4798"/>
        <item m="1" x="7496"/>
        <item m="1" x="3151"/>
        <item m="1" x="5569"/>
        <item m="1" x="870"/>
        <item m="1" x="3927"/>
        <item m="1" x="6332"/>
        <item m="1" x="2057"/>
        <item m="1" x="4657"/>
        <item m="1" x="2372"/>
        <item m="1" x="4880"/>
        <item m="1" x="7594"/>
        <item m="1" x="3223"/>
        <item m="1" x="5642"/>
        <item m="1" x="998"/>
        <item m="1" x="3996"/>
        <item m="1" x="6393"/>
        <item m="1" x="2166"/>
        <item m="1" x="4731"/>
        <item m="1" x="2469"/>
        <item m="1" x="4985"/>
        <item m="1" x="7741"/>
        <item m="1" x="3303"/>
        <item m="1" x="5690"/>
        <item m="1" x="1084"/>
        <item m="1" x="4057"/>
        <item m="1" x="6477"/>
        <item m="1" x="2297"/>
        <item m="1" x="4814"/>
        <item m="1" x="2544"/>
        <item m="1" x="5050"/>
        <item m="1" x="85"/>
        <item m="1" x="3379"/>
        <item m="1" x="5757"/>
        <item m="1" x="1197"/>
        <item m="1" x="4125"/>
        <item m="1" x="6571"/>
        <item m="1" x="2388"/>
        <item m="1" x="4902"/>
        <item m="1" x="2645"/>
        <item m="1" x="5113"/>
        <item m="1" x="208"/>
        <item m="1" x="3451"/>
        <item m="1" x="5821"/>
        <item m="1" x="1336"/>
        <item m="1" x="4208"/>
        <item m="1" x="6671"/>
        <item m="1" x="2487"/>
        <item m="1" x="4999"/>
        <item m="1" x="1649"/>
        <item m="1" x="4428"/>
        <item m="1" x="6943"/>
        <item m="1" x="2740"/>
        <item m="1" x="5185"/>
        <item m="1" x="314"/>
        <item m="1" x="3528"/>
        <item m="1" x="5910"/>
        <item m="1" x="1439"/>
        <item m="1" x="4278"/>
        <item m="1" x="1791"/>
        <item m="1" x="4504"/>
        <item m="1" x="7033"/>
        <item m="1" x="2831"/>
        <item m="1" x="5247"/>
        <item m="1" x="441"/>
        <item m="1" x="3605"/>
        <item m="1" x="5983"/>
        <item m="1" x="1547"/>
        <item m="1" x="4354"/>
        <item m="1" x="1931"/>
        <item m="1" x="4566"/>
        <item m="1" x="7130"/>
        <item m="1" x="2924"/>
        <item m="1" x="5321"/>
        <item m="1" x="559"/>
        <item m="1" x="3695"/>
        <item m="1" x="6094"/>
        <item m="1" x="1670"/>
        <item m="1" x="4437"/>
        <item m="1" x="2044"/>
        <item m="1" x="4650"/>
        <item m="1" x="7239"/>
        <item m="1" x="3000"/>
        <item m="1" x="5386"/>
        <item m="1" x="653"/>
        <item m="1" x="3775"/>
        <item m="1" x="6179"/>
        <item m="1" x="1813"/>
        <item m="1" x="4513"/>
        <item m="1" x="2155"/>
        <item m="1" x="4722"/>
        <item m="1" x="7385"/>
        <item m="1" x="3073"/>
        <item m="1" x="5504"/>
        <item m="1" x="746"/>
        <item m="1" x="3857"/>
        <item m="1" x="6274"/>
        <item m="1" x="1945"/>
        <item m="1" x="4575"/>
        <item m="1" x="2289"/>
        <item m="1" x="4804"/>
        <item m="1" x="7501"/>
        <item m="1" x="3154"/>
        <item m="1" x="5570"/>
        <item m="1" x="871"/>
        <item m="1" x="3931"/>
        <item m="1" x="6337"/>
        <item m="1" x="2061"/>
        <item m="1" x="4660"/>
        <item m="1" x="2379"/>
        <item m="1" x="4890"/>
        <item m="1" x="7604"/>
        <item m="1" x="3230"/>
        <item m="1" x="5647"/>
        <item m="1" x="1002"/>
        <item m="1" x="3999"/>
        <item m="1" x="6396"/>
        <item m="1" x="2172"/>
        <item m="1" x="4735"/>
        <item m="1" x="2477"/>
        <item m="1" x="4989"/>
        <item m="1" x="7749"/>
        <item m="1" x="3308"/>
        <item m="1" x="5693"/>
        <item m="1" x="1090"/>
        <item m="1" x="4061"/>
        <item m="1" x="6482"/>
        <item m="1" x="2302"/>
        <item m="1" x="4819"/>
        <item m="1" x="2549"/>
        <item m="1" x="5055"/>
        <item m="1" x="92"/>
        <item m="1" x="3383"/>
        <item m="1" x="5760"/>
        <item m="1" x="1201"/>
        <item m="1" x="4128"/>
        <item m="1" x="6576"/>
        <item m="1" x="2392"/>
        <item m="1" x="4906"/>
        <item m="1" x="2651"/>
        <item m="1" x="5119"/>
        <item m="1" x="213"/>
        <item m="1" x="3455"/>
        <item m="1" x="5823"/>
        <item m="1" x="1342"/>
        <item m="1" x="4212"/>
        <item m="1" x="6673"/>
        <item m="1" x="2489"/>
        <item m="1" x="5000"/>
        <item m="1" x="1186"/>
        <item m="1" x="4117"/>
        <item m="1" x="6561"/>
        <item m="1" x="2378"/>
        <item m="1" x="4888"/>
        <item m="1" x="7597"/>
        <item m="1" x="3224"/>
        <item m="1" x="5645"/>
        <item m="1" x="1001"/>
        <item m="1" x="3998"/>
        <item m="1" x="1733"/>
        <item m="1" x="1325"/>
        <item m="1" x="4197"/>
        <item m="1" x="6655"/>
        <item m="1" x="2473"/>
        <item m="1" x="4987"/>
        <item m="1" x="7743"/>
        <item m="1" x="3304"/>
        <item m="1" x="5692"/>
        <item m="1" x="1088"/>
        <item m="1" x="4059"/>
        <item m="1" x="1888"/>
        <item m="1" x="1420"/>
        <item m="1" x="4264"/>
        <item m="1" x="6742"/>
        <item m="1" x="2548"/>
        <item m="1" x="5053"/>
        <item m="1" x="88"/>
        <item m="1" x="3380"/>
        <item m="1" x="5759"/>
        <item m="1" x="1200"/>
        <item m="1" x="4126"/>
        <item m="1" x="1992"/>
        <item m="1" x="1512"/>
        <item m="1" x="4335"/>
        <item m="1" x="6827"/>
        <item m="1" x="2649"/>
        <item m="1" x="5117"/>
        <item m="1" x="210"/>
        <item m="1" x="3453"/>
        <item m="1" x="5822"/>
        <item m="1" x="1340"/>
        <item m="1" x="4209"/>
        <item m="1" x="2092"/>
        <item m="1" x="1639"/>
        <item m="1" x="4422"/>
        <item m="1" x="6940"/>
        <item m="1" x="2736"/>
        <item m="1" x="5179"/>
        <item m="1" x="305"/>
        <item m="1" x="3523"/>
        <item m="1" x="5904"/>
        <item m="1" x="1432"/>
        <item m="1" x="4273"/>
        <item m="1" x="2229"/>
        <item m="1" x="1776"/>
        <item m="1" x="4497"/>
        <item m="1" x="7027"/>
        <item m="1" x="2823"/>
        <item m="1" x="5241"/>
        <item m="1" x="430"/>
        <item m="1" x="3597"/>
        <item m="1" x="5974"/>
        <item m="1" x="1534"/>
        <item m="1" x="4347"/>
        <item m="1" x="2340"/>
        <item m="1" x="1920"/>
        <item m="1" x="4561"/>
        <item m="1" x="7124"/>
        <item m="1" x="2917"/>
        <item m="1" x="5316"/>
        <item m="1" x="552"/>
        <item m="1" x="3690"/>
        <item m="1" x="6086"/>
        <item m="1" x="1661"/>
        <item m="1" x="4433"/>
        <item m="1" x="2427"/>
        <item m="1" x="2033"/>
        <item m="1" x="4645"/>
        <item m="1" x="7232"/>
        <item m="1" x="2995"/>
        <item m="1" x="5381"/>
        <item m="1" x="648"/>
        <item m="1" x="3769"/>
        <item m="1" x="6165"/>
        <item m="1" x="1803"/>
        <item m="1" x="4510"/>
        <item m="1" x="2513"/>
        <item m="1" x="2141"/>
        <item m="1" x="4712"/>
        <item m="1" x="7378"/>
        <item m="1" x="3068"/>
        <item m="1" x="5494"/>
        <item m="1" x="741"/>
        <item m="1" x="3851"/>
        <item m="1" x="6269"/>
        <item m="1" x="1939"/>
        <item m="1" x="4571"/>
        <item m="1" x="2612"/>
        <item m="1" x="2278"/>
        <item m="1" x="4795"/>
        <item m="1" x="7493"/>
        <item m="1" x="3149"/>
        <item m="1" x="5568"/>
        <item m="1" x="869"/>
        <item m="1" x="3925"/>
        <item m="1" x="6331"/>
        <item m="1" x="2056"/>
        <item m="1" x="4656"/>
        <item m="1" x="1610"/>
        <item m="1" x="1190"/>
        <item m="1" x="4121"/>
        <item m="1" x="6564"/>
        <item m="1" x="2382"/>
        <item m="1" x="4894"/>
        <item m="1" x="7607"/>
        <item m="1" x="3231"/>
        <item m="1" x="5649"/>
        <item m="1" x="1003"/>
        <item m="1" x="4000"/>
        <item m="1" x="1737"/>
        <item m="1" x="1329"/>
        <item m="1" x="4202"/>
        <item m="1" x="6660"/>
        <item m="1" x="2479"/>
        <item m="1" x="4992"/>
        <item m="1" x="7752"/>
        <item m="1" x="3311"/>
        <item m="1" x="5695"/>
        <item m="1" x="1091"/>
        <item m="1" x="4062"/>
        <item m="1" x="1891"/>
        <item m="1" x="1424"/>
        <item m="1" x="4266"/>
        <item m="1" x="6746"/>
        <item m="1" x="2552"/>
        <item m="1" x="5057"/>
        <item m="1" x="95"/>
        <item m="1" x="3385"/>
        <item m="1" x="1996"/>
        <item m="1" x="2099"/>
        <item m="1" x="2237"/>
        <item m="1" x="2344"/>
        <item m="1" x="2429"/>
        <item m="1" x="2516"/>
        <item m="1" x="2614"/>
        <item m="1" x="1612"/>
        <item m="1" x="1741"/>
        <item m="1" x="1893"/>
        <item m="1" x="1998"/>
        <item m="1" x="2103"/>
        <item m="1" x="2240"/>
        <item m="1" x="2347"/>
        <item m="1" x="2436"/>
        <item m="1" x="2520"/>
        <item m="1" x="2620"/>
        <item m="1" x="1617"/>
        <item m="1" x="1746"/>
        <item m="1" x="1897"/>
        <item m="1" x="2004"/>
        <item m="1" x="2112"/>
        <item m="1" x="2248"/>
        <item m="1" x="2350"/>
        <item m="1" x="2438"/>
        <item m="1" x="2523"/>
        <item m="1" x="2622"/>
        <item m="1" x="1623"/>
        <item m="1" x="1751"/>
        <item m="1" x="1900"/>
        <item m="1" x="2006"/>
        <item m="1" x="2118"/>
        <item m="1" x="2252"/>
        <item m="1" x="2352"/>
        <item m="1" x="2443"/>
        <item m="1" x="2528"/>
        <item m="1" x="2627"/>
        <item m="1" x="1627"/>
        <item m="1" x="1759"/>
        <item m="1" x="1906"/>
        <item m="1" x="2015"/>
        <item m="1" x="2127"/>
        <item m="1" x="2262"/>
        <item m="1" x="2358"/>
        <item m="1" x="2448"/>
        <item m="1" x="2532"/>
        <item m="1" x="2629"/>
        <item m="1" x="1630"/>
        <item m="1" x="1762"/>
        <item m="1" x="1910"/>
        <item m="1" x="2019"/>
        <item m="1" x="2130"/>
        <item m="1" x="2265"/>
        <item m="1" x="2361"/>
        <item m="1" x="2454"/>
        <item m="1" x="2535"/>
        <item m="1" x="2634"/>
        <item m="1" x="1634"/>
        <item m="1" x="1771"/>
        <item m="1" x="1916"/>
        <item m="1" x="2029"/>
        <item m="1" x="2137"/>
        <item m="1" x="2274"/>
        <item m="1" x="2367"/>
        <item m="1" x="2460"/>
        <item m="1" x="2539"/>
        <item m="1" x="2636"/>
        <item m="1" x="1641"/>
        <item m="1" x="1777"/>
        <item m="1" x="1921"/>
        <item m="1" x="2035"/>
        <item m="1" x="2142"/>
        <item m="1" x="2279"/>
        <item m="1" x="2370"/>
        <item m="1" x="2467"/>
        <item m="1" x="2543"/>
        <item m="1" x="2644"/>
        <item m="1" x="1647"/>
        <item m="1" x="1788"/>
        <item m="1" x="1929"/>
        <item m="1" x="2041"/>
        <item m="1" x="2153"/>
        <item m="1" x="2287"/>
        <item m="1" x="2376"/>
        <item m="1" x="2471"/>
        <item m="1" x="2547"/>
        <item m="1" x="2648"/>
        <item m="1" x="1182"/>
        <item m="1" x="1322"/>
        <item m="1" x="1419"/>
        <item m="1" x="1511"/>
        <item m="1" x="1638"/>
        <item m="1" x="1774"/>
        <item m="1" x="1919"/>
        <item m="1" x="2032"/>
        <item m="1" x="2140"/>
        <item m="1" x="2277"/>
        <item m="1" x="1188"/>
        <item m="1" x="1327"/>
        <item m="1" x="1423"/>
        <item m="1" x="1518"/>
        <item m="1" x="1646"/>
        <item m="1" x="1785"/>
        <item m="1" x="1926"/>
        <item m="1" x="2038"/>
        <item m="1" x="2145"/>
        <item m="1" x="2282"/>
        <item m="1" x="1191"/>
        <item m="1" x="1331"/>
        <item m="1" x="1426"/>
        <item m="1" x="1520"/>
        <item m="1" x="1650"/>
        <item m="1" x="1792"/>
        <item m="1" x="1932"/>
        <item m="1" x="2045"/>
        <item m="1" x="2156"/>
        <item m="1" x="2290"/>
        <item m="1" x="1196"/>
        <item m="1" x="1335"/>
        <item m="1" x="1429"/>
        <item m="1" x="1529"/>
        <item m="1" x="1657"/>
        <item m="1" x="1798"/>
        <item m="1" x="1936"/>
        <item m="1" x="2050"/>
        <item m="1" x="2160"/>
        <item m="1" x="2292"/>
        <item m="1" x="1199"/>
        <item m="1" x="1339"/>
        <item m="1" x="1431"/>
        <item m="1" x="1533"/>
        <item m="1" x="1660"/>
        <item m="1" x="1802"/>
        <item m="1" x="1938"/>
        <item m="1" x="2055"/>
        <item m="1" x="2165"/>
        <item m="1" x="2296"/>
        <item m="1" x="1204"/>
        <item m="1" x="1345"/>
        <item m="1" x="1438"/>
        <item m="1" x="1545"/>
        <item m="1" x="1668"/>
        <item m="1" x="1811"/>
        <item m="1" x="1944"/>
        <item m="1" x="2058"/>
        <item m="1" x="2168"/>
        <item m="1" x="2298"/>
        <item m="1" x="1208"/>
        <item m="1" x="1346"/>
        <item m="1" x="1441"/>
        <item m="1" x="1548"/>
        <item m="1" x="1671"/>
        <item m="1" x="1814"/>
        <item m="1" x="1946"/>
        <item m="1" x="2062"/>
        <item m="1" x="2173"/>
        <item m="1" x="2303"/>
        <item m="1" x="1211"/>
        <item m="1" x="1351"/>
        <item m="1" x="1446"/>
        <item m="1" x="1558"/>
        <item m="1" x="1678"/>
        <item m="1" x="1823"/>
        <item m="1" x="1949"/>
        <item m="1" x="2064"/>
        <item m="1" x="2175"/>
        <item m="1" x="2304"/>
        <item m="1" x="1213"/>
        <item m="1" x="1353"/>
        <item m="1" x="1448"/>
        <item m="1" x="1560"/>
        <item m="1" x="1680"/>
        <item m="1" x="1828"/>
        <item m="1" x="1950"/>
        <item m="1" x="2067"/>
        <item m="1" x="2180"/>
        <item m="1" x="2308"/>
        <item m="1" x="1219"/>
        <item m="1" x="1358"/>
        <item m="1" x="1453"/>
        <item m="1" x="1569"/>
        <item m="1" x="1689"/>
        <item m="1" x="1834"/>
        <item m="1" x="1953"/>
        <item m="1" x="2068"/>
        <item m="1" x="2182"/>
        <item m="1" x="2312"/>
        <item m="1" x="750"/>
        <item m="1" x="875"/>
        <item m="1" x="1011"/>
        <item m="1" x="1095"/>
        <item m="1" x="1212"/>
        <item m="1" x="1352"/>
        <item m="1" x="1447"/>
        <item m="1" x="1559"/>
        <item m="1" x="1679"/>
        <item m="1" x="1826"/>
        <item m="1" x="754"/>
        <item m="1" x="877"/>
        <item m="1" x="1015"/>
        <item m="1" x="1097"/>
        <item m="1" x="1218"/>
        <item m="1" x="1357"/>
        <item m="1" x="1450"/>
        <item m="1" x="1561"/>
        <item m="1" x="1681"/>
        <item m="1" x="1829"/>
        <item m="1" x="755"/>
        <item m="1" x="878"/>
        <item m="1" x="1016"/>
        <item m="1" x="1099"/>
        <item m="1" x="1221"/>
        <item m="1" x="1359"/>
        <item m="1" x="1454"/>
        <item m="1" x="1570"/>
        <item m="1" x="1690"/>
        <item m="1" x="1836"/>
        <item m="1" x="758"/>
        <item m="1" x="880"/>
        <item m="1" x="1019"/>
        <item m="1" x="1102"/>
        <item m="1" x="1228"/>
        <item m="1" x="1363"/>
        <item m="1" x="1457"/>
        <item m="1" x="1572"/>
        <item m="1" x="1691"/>
        <item m="1" x="1839"/>
        <item m="1" x="759"/>
        <item m="1" x="882"/>
        <item m="1" x="1020"/>
        <item m="1" x="1105"/>
        <item m="1" x="1230"/>
        <item m="1" x="1365"/>
        <item m="1" x="1460"/>
        <item m="1" x="1575"/>
        <item m="1" x="1696"/>
        <item m="1" x="1848"/>
        <item m="1" x="762"/>
        <item m="1" x="884"/>
        <item m="1" x="1024"/>
        <item m="1" x="1112"/>
        <item m="1" x="1236"/>
        <item m="1" x="1369"/>
        <item m="1" x="1465"/>
        <item m="1" x="1576"/>
        <item m="1" x="1699"/>
        <item m="1" x="1849"/>
        <item m="1" x="765"/>
        <item m="1" x="885"/>
        <item m="1" x="1025"/>
        <item m="1" x="1117"/>
        <item m="1" x="1237"/>
        <item m="1" x="1371"/>
        <item m="1" x="1467"/>
        <item m="1" x="1580"/>
        <item m="1" x="1703"/>
        <item m="1" x="1856"/>
        <item m="1" x="768"/>
        <item m="1" x="891"/>
        <item m="1" x="1030"/>
        <item m="1" x="1124"/>
        <item m="1" x="1244"/>
        <item m="1" x="1377"/>
        <item m="1" x="1472"/>
        <item m="1" x="1581"/>
        <item m="1" x="1707"/>
        <item m="1" x="1858"/>
        <item m="1" x="772"/>
        <item m="1" x="893"/>
        <item m="1" x="1032"/>
        <item m="1" x="1126"/>
        <item m="1" x="1247"/>
        <item m="1" x="1379"/>
        <item m="1" x="1474"/>
        <item m="1" x="1586"/>
        <item m="1" x="1711"/>
        <item m="1" x="1864"/>
        <item m="1" x="779"/>
        <item m="1" x="904"/>
        <item m="1" x="1039"/>
        <item m="1" x="1133"/>
        <item m="1" x="1255"/>
        <item m="1" x="1382"/>
        <item m="1" x="1477"/>
        <item m="1" x="1587"/>
        <item m="1" x="1713"/>
        <item m="1" x="1866"/>
        <item m="1" x="334"/>
        <item m="1" x="480"/>
        <item m="1" x="578"/>
        <item m="1" x="666"/>
        <item m="1" x="770"/>
        <item m="1" x="892"/>
        <item m="1" x="1031"/>
        <item m="1" x="1125"/>
        <item m="1" x="1246"/>
        <item m="1" x="1378"/>
        <item m="1" x="337"/>
        <item m="1" x="483"/>
        <item m="1" x="581"/>
        <item m="1" x="670"/>
        <item m="1" x="777"/>
        <item m="1" x="900"/>
        <item m="1" x="1035"/>
        <item m="1" x="1128"/>
        <item m="1" x="1248"/>
        <item m="1" x="1380"/>
        <item m="1" x="338"/>
        <item m="1" x="485"/>
        <item m="1" x="582"/>
        <item m="1" x="672"/>
        <item m="1" x="780"/>
        <item m="1" x="905"/>
        <item m="1" x="1040"/>
        <item m="1" x="1134"/>
        <item m="1" x="1257"/>
        <item m="1" x="1384"/>
        <item m="1" x="339"/>
        <item m="1" x="487"/>
        <item m="1" x="584"/>
        <item m="1" x="676"/>
        <item m="1" x="788"/>
        <item m="1" x="911"/>
        <item m="1" x="1043"/>
        <item m="1" x="1135"/>
        <item m="1" x="1259"/>
        <item m="1" x="1385"/>
        <item m="1" x="341"/>
        <item m="1" x="489"/>
        <item m="1" x="586"/>
        <item m="1" x="678"/>
        <item m="1" x="791"/>
        <item m="1" x="915"/>
        <item m="1" x="1046"/>
        <item m="1" x="1139"/>
        <item m="1" x="1267"/>
        <item m="1" x="1389"/>
        <item m="1" x="345"/>
        <item m="1" x="490"/>
        <item m="1" x="590"/>
        <item m="1" x="684"/>
        <item m="1" x="799"/>
        <item m="1" x="923"/>
        <item m="1" x="1051"/>
        <item m="1" x="1140"/>
        <item m="1" x="1271"/>
        <item m="1" x="1391"/>
        <item m="1" x="347"/>
        <item m="1" x="491"/>
        <item m="1" x="591"/>
        <item m="1" x="686"/>
        <item m="1" x="800"/>
        <item m="1" x="928"/>
        <item m="1" x="1052"/>
        <item m="1" x="1145"/>
        <item m="1" x="1277"/>
        <item m="1" x="1394"/>
        <item m="1" x="350"/>
        <item m="1" x="494"/>
        <item m="1" x="597"/>
        <item m="1" x="692"/>
        <item m="1" x="809"/>
        <item m="1" x="936"/>
        <item m="1" x="1055"/>
        <item m="1" x="1146"/>
        <item m="1" x="1280"/>
        <item m="1" x="1396"/>
        <item m="1" x="353"/>
        <item m="1" x="496"/>
        <item m="1" x="599"/>
        <item m="1" x="695"/>
        <item m="1" x="811"/>
        <item m="1" x="939"/>
        <item m="1" x="1056"/>
        <item m="1" x="1151"/>
        <item m="1" x="1286"/>
        <item m="1" x="1399"/>
        <item m="1" x="361"/>
        <item m="1" x="503"/>
        <item m="1" x="609"/>
        <item m="1" x="701"/>
        <item m="1" x="819"/>
        <item m="1" x="948"/>
        <item m="1" x="1060"/>
        <item m="1" x="1154"/>
        <item m="1" x="1288"/>
        <item m="1" x="1402"/>
        <item m="1" x="7692"/>
        <item m="1" x="32"/>
        <item m="1" x="166"/>
        <item m="1" x="243"/>
        <item m="1" x="352"/>
        <item m="1" x="495"/>
        <item m="1" x="598"/>
        <item m="1" x="693"/>
        <item m="1" x="810"/>
        <item m="1" x="938"/>
        <item m="1" x="7698"/>
        <item m="1" x="38"/>
        <item m="1" x="170"/>
        <item m="1" x="247"/>
        <item m="1" x="360"/>
        <item m="1" x="501"/>
        <item m="1" x="603"/>
        <item m="1" x="697"/>
        <item m="1" x="812"/>
        <item m="1" x="940"/>
        <item m="1" x="7699"/>
        <item m="1" x="39"/>
        <item m="1" x="172"/>
        <item m="1" x="249"/>
        <item m="1" x="362"/>
        <item m="1" x="504"/>
        <item m="1" x="610"/>
        <item m="1" x="702"/>
        <item m="1" x="821"/>
        <item m="1" x="949"/>
        <item m="1" x="7705"/>
        <item m="1" x="41"/>
        <item m="1" x="175"/>
        <item m="1" x="256"/>
        <item m="1" x="371"/>
        <item m="1" x="506"/>
        <item m="1" x="613"/>
        <item m="1" x="704"/>
        <item m="1" x="822"/>
        <item m="1" x="950"/>
        <item m="1" x="7707"/>
        <item m="1" x="44"/>
        <item m="1" x="178"/>
        <item m="1" x="257"/>
        <item m="1" x="375"/>
        <item m="1" x="510"/>
        <item m="1" x="616"/>
        <item m="1" x="708"/>
        <item m="1" x="831"/>
        <item m="1" x="958"/>
        <item m="1" x="7710"/>
        <item m="1" x="48"/>
        <item m="1" x="182"/>
        <item m="1" x="267"/>
        <item m="1" x="386"/>
        <item m="1" x="515"/>
        <item m="1" x="619"/>
        <item m="1" x="710"/>
        <item m="1" x="834"/>
        <item m="1" x="962"/>
        <item m="1" x="7712"/>
        <item m="1" x="50"/>
        <item m="1" x="186"/>
        <item m="1" x="270"/>
        <item m="1" x="389"/>
        <item m="1" x="520"/>
        <item m="1" x="623"/>
        <item m="1" x="717"/>
        <item m="1" x="843"/>
        <item m="1" x="971"/>
        <item m="1" x="7715"/>
        <item m="1" x="57"/>
        <item m="1" x="190"/>
        <item m="1" x="279"/>
        <item m="1" x="397"/>
        <item m="1" x="527"/>
        <item m="1" x="626"/>
        <item m="1" x="719"/>
        <item m="1" x="845"/>
        <item m="1" x="973"/>
        <item m="1" x="7718"/>
        <item m="1" x="61"/>
        <item m="1" x="194"/>
        <item m="1" x="283"/>
        <item m="1" x="401"/>
        <item m="1" x="534"/>
        <item m="1" x="630"/>
        <item m="1" x="726"/>
        <item m="1" x="851"/>
        <item m="1" x="981"/>
        <item m="1" x="7726"/>
        <item m="1" x="72"/>
        <item m="1" x="199"/>
        <item m="1" x="291"/>
        <item m="1" x="412"/>
        <item m="1" x="539"/>
        <item m="1" x="636"/>
        <item m="1" x="730"/>
        <item m="1" x="854"/>
        <item m="1" x="984"/>
        <item m="1" x="7213"/>
        <item m="1" x="7366"/>
        <item m="1" x="7483"/>
        <item m="1" x="7576"/>
        <item m="1" x="7716"/>
        <item m="1" x="59"/>
        <item m="1" x="191"/>
        <item m="1" x="281"/>
        <item m="1" x="399"/>
        <item m="1" x="531"/>
        <item m="1" x="7219"/>
        <item m="1" x="7370"/>
        <item m="1" x="7486"/>
        <item m="1" x="7581"/>
        <item m="1" x="7724"/>
        <item m="1" x="67"/>
        <item m="1" x="196"/>
        <item m="1" x="287"/>
        <item m="1" x="402"/>
        <item m="1" x="535"/>
        <item m="1" x="7223"/>
        <item m="1" x="7372"/>
        <item m="1" x="7488"/>
        <item m="1" x="7583"/>
        <item m="1" x="7728"/>
        <item m="1" x="73"/>
        <item m="1" x="200"/>
        <item m="1" x="292"/>
        <item m="1" x="414"/>
        <item m="1" x="543"/>
        <item m="1" x="7229"/>
        <item m="1" x="7376"/>
        <item m="1" x="7491"/>
        <item m="1" x="7589"/>
        <item m="1" x="7734"/>
        <item m="1" x="80"/>
        <item m="1" x="204"/>
        <item m="1" x="296"/>
        <item m="1" x="417"/>
        <item m="1" x="545"/>
        <item m="1" x="7234"/>
        <item m="1" x="7380"/>
        <item m="1" x="7495"/>
        <item m="1" x="7593"/>
        <item m="1" x="7740"/>
        <item m="1" x="84"/>
        <item m="1" x="207"/>
        <item m="1" x="302"/>
        <item m="1" x="427"/>
        <item m="1" x="549"/>
        <item m="1" x="7238"/>
        <item m="1" x="7384"/>
        <item m="1" x="7500"/>
        <item m="1" x="7603"/>
        <item m="1" x="7748"/>
        <item m="1" x="91"/>
        <item m="1" x="212"/>
        <item m="1" x="306"/>
        <item m="1" x="432"/>
        <item m="1" x="553"/>
        <item m="1" x="7241"/>
        <item m="1" x="7387"/>
        <item m="1" x="7503"/>
        <item m="1" x="7608"/>
        <item m="1" x="7753"/>
        <item m="1" x="96"/>
        <item m="1" x="214"/>
        <item m="1" x="313"/>
        <item m="1" x="440"/>
        <item m="1" x="558"/>
        <item m="1" x="7244"/>
        <item m="1" x="7393"/>
        <item m="1" x="7506"/>
        <item m="1" x="7615"/>
        <item m="1" x="7759"/>
        <item m="1" x="101"/>
        <item m="1" x="216"/>
        <item m="1" x="315"/>
        <item m="1" x="443"/>
        <item m="1" x="560"/>
        <item m="1" x="7247"/>
        <item m="1" x="7395"/>
        <item m="1" x="7508"/>
        <item m="1" x="7618"/>
        <item m="1" x="7762"/>
        <item m="1" x="105"/>
        <item m="1" x="217"/>
        <item m="1" x="319"/>
        <item m="1" x="452"/>
        <item m="1" x="563"/>
        <item m="1" x="7256"/>
        <item m="1" x="7402"/>
        <item m="1" x="7513"/>
        <item m="1" x="7628"/>
        <item m="1" x="7769"/>
        <item m="1" x="110"/>
        <item m="1" x="219"/>
        <item m="1" x="320"/>
        <item m="1" x="454"/>
        <item m="1" x="566"/>
        <item m="1" x="6837"/>
        <item m="1" x="6946"/>
        <item m="1" x="7040"/>
        <item m="1" x="7132"/>
        <item m="1" x="7245"/>
        <item m="1" x="7394"/>
        <item m="1" x="7507"/>
        <item m="1" x="7617"/>
        <item m="1" x="7761"/>
        <item m="1" x="104"/>
        <item m="1" x="6840"/>
        <item m="1" x="6947"/>
        <item m="1" x="7045"/>
        <item m="1" x="7135"/>
        <item m="1" x="7255"/>
        <item m="1" x="7398"/>
        <item m="1" x="7510"/>
        <item m="1" x="7619"/>
        <item m="1" x="7764"/>
        <item m="1" x="106"/>
        <item m="1" x="6842"/>
        <item m="1" x="6950"/>
        <item m="1" x="7047"/>
        <item m="1" x="7138"/>
        <item m="1" x="7257"/>
        <item m="1" x="7403"/>
        <item m="1" x="7515"/>
        <item m="1" x="7629"/>
        <item m="1" x="7771"/>
        <item m="1" x="113"/>
        <item m="1" x="6846"/>
        <item m="1" x="6952"/>
        <item m="1" x="7053"/>
        <item m="1" x="7142"/>
        <item m="1" x="7267"/>
        <item m="1" x="7406"/>
        <item m="1" x="7518"/>
        <item m="1" x="7631"/>
        <item m="1" x="7773"/>
        <item m="1" x="115"/>
        <item m="1" x="6848"/>
        <item m="1" x="6954"/>
        <item m="1" x="7054"/>
        <item m="1" x="7144"/>
        <item m="1" x="7270"/>
        <item m="1" x="7412"/>
        <item m="1" x="7521"/>
        <item m="1" x="7639"/>
        <item m="1" x="7779"/>
        <item m="1" x="121"/>
        <item m="1" x="6851"/>
        <item m="1" x="6955"/>
        <item m="1" x="7057"/>
        <item m="1" x="7151"/>
        <item m="1" x="7279"/>
        <item m="1" x="7414"/>
        <item m="1" x="7526"/>
        <item m="1" x="7641"/>
        <item m="1" x="2"/>
        <item m="1" x="125"/>
        <item m="1" x="6853"/>
        <item m="1" x="6956"/>
        <item m="1" x="7058"/>
        <item m="1" x="7152"/>
        <item m="1" x="7282"/>
        <item m="1" x="7421"/>
        <item m="1" x="7530"/>
        <item m="1" x="7650"/>
        <item m="1" x="9"/>
        <item m="1" x="131"/>
        <item m="1" x="6857"/>
        <item m="1" x="6959"/>
        <item m="1" x="7064"/>
        <item m="1" x="7159"/>
        <item m="1" x="7289"/>
        <item m="1" x="7429"/>
        <item m="1" x="7532"/>
        <item m="1" x="7654"/>
        <item m="1" x="10"/>
        <item m="1" x="132"/>
        <item m="1" x="6859"/>
        <item m="1" x="6961"/>
        <item m="1" x="7066"/>
        <item m="1" x="7162"/>
        <item m="1" x="7291"/>
        <item m="1" x="7435"/>
        <item m="1" x="7536"/>
        <item m="1" x="7664"/>
        <item m="1" x="14"/>
        <item m="1" x="138"/>
        <item m="1" x="6867"/>
        <item m="1" x="6966"/>
        <item m="1" x="7070"/>
        <item m="1" x="7167"/>
        <item m="1" x="7301"/>
        <item m="1" x="7439"/>
        <item m="1" x="7539"/>
        <item m="1" x="7668"/>
        <item m="1" x="15"/>
        <item m="1" x="140"/>
        <item m="1" x="6497"/>
        <item m="1" x="6589"/>
        <item m="1" x="6688"/>
        <item m="1" x="6767"/>
        <item m="1" x="6858"/>
        <item m="1" x="6960"/>
        <item m="1" x="7065"/>
        <item m="1" x="7161"/>
        <item m="1" x="7290"/>
        <item m="1" x="7434"/>
        <item m="1" x="6501"/>
        <item m="1" x="6591"/>
        <item m="1" x="6690"/>
        <item m="1" x="6769"/>
        <item m="1" x="6864"/>
        <item m="1" x="6963"/>
        <item m="1" x="7067"/>
        <item m="1" x="7163"/>
        <item m="1" x="7294"/>
        <item m="1" x="7438"/>
        <item m="1" x="6503"/>
        <item m="1" x="6592"/>
        <item m="1" x="6692"/>
        <item m="1" x="6770"/>
        <item m="1" x="6868"/>
        <item m="1" x="6967"/>
        <item m="1" x="7071"/>
        <item m="1" x="7169"/>
        <item m="1" x="7303"/>
        <item m="1" x="7445"/>
        <item m="1" x="6505"/>
        <item m="1" x="6594"/>
        <item m="1" x="6696"/>
        <item m="1" x="6775"/>
        <item m="1" x="6874"/>
        <item m="1" x="6970"/>
        <item m="1" x="7074"/>
        <item m="1" x="7171"/>
        <item m="1" x="7305"/>
        <item m="1" x="7446"/>
        <item m="1" x="6507"/>
        <item m="1" x="6595"/>
        <item m="1" x="6698"/>
        <item m="1" x="6776"/>
        <item m="1" x="6878"/>
        <item m="1" x="6974"/>
        <item m="1" x="7077"/>
        <item m="1" x="7175"/>
        <item m="1" x="7314"/>
        <item m="1" x="7451"/>
        <item m="1" x="6509"/>
        <item m="1" x="6596"/>
        <item m="1" x="6704"/>
        <item m="1" x="6783"/>
        <item m="1" x="6884"/>
        <item m="1" x="6976"/>
        <item m="1" x="7080"/>
        <item m="1" x="7176"/>
        <item m="1" x="7317"/>
        <item m="1" x="7453"/>
        <item m="1" x="6510"/>
        <item m="1" x="6597"/>
        <item m="1" x="6705"/>
        <item m="1" x="6784"/>
        <item m="1" x="6890"/>
        <item m="1" x="6980"/>
        <item m="1" x="7086"/>
        <item m="1" x="7181"/>
        <item m="1" x="7326"/>
        <item m="1" x="7459"/>
        <item m="1" x="6512"/>
        <item m="1" x="6603"/>
        <item m="1" x="6711"/>
        <item m="1" x="6791"/>
        <item m="1" x="6894"/>
        <item m="1" x="6985"/>
        <item m="1" x="7091"/>
        <item m="1" x="7182"/>
        <item m="1" x="7327"/>
        <item m="1" x="7462"/>
        <item m="1" x="6513"/>
        <item m="1" x="6604"/>
        <item m="1" x="6713"/>
        <item m="1" x="6792"/>
        <item m="1" x="6896"/>
        <item m="1" x="6987"/>
        <item m="1" x="7096"/>
        <item m="1" x="7186"/>
        <item m="1" x="7336"/>
        <item m="1" x="7467"/>
        <item m="1" x="6519"/>
        <item m="1" x="6612"/>
        <item m="1" x="6721"/>
        <item m="1" x="6800"/>
        <item m="1" x="6902"/>
        <item m="1" x="6990"/>
        <item m="1" x="7098"/>
        <item m="1" x="7188"/>
        <item m="1" x="7337"/>
        <item m="1" x="7469"/>
        <item m="1" x="2027"/>
        <item m="1" x="1556"/>
        <item m="1" x="1567"/>
        <item m="1" x="1109"/>
        <item m="1" x="1123"/>
        <item m="1" x="1132"/>
        <item m="1" x="1138"/>
        <item m="1" x="1143"/>
        <item m="1" x="1149"/>
        <item m="1" x="1157"/>
        <item m="1" x="1163"/>
        <item m="1" x="254"/>
        <item m="1" x="330"/>
        <item m="1" x="7683"/>
        <item m="1" x="6154"/>
        <item m="1" x="6169"/>
        <item m="1" x="262"/>
        <item m="1" x="277"/>
        <item m="1" x="290"/>
        <item m="1" x="300"/>
        <item m="1" x="310"/>
        <item m="1" x="318"/>
        <item m="1" x="7598"/>
        <item m="1" x="7610"/>
        <item m="1" x="7622"/>
        <item m="1" x="7633"/>
        <item m="1" x="7643"/>
        <item m="1" x="7656"/>
        <item m="1" x="7677"/>
        <item m="1" x="6787"/>
        <item m="1" x="6795"/>
        <item m="1" x="6803"/>
        <item m="1" x="6830"/>
        <item m="1" x="6155"/>
        <item m="1" x="6183"/>
        <item m="1" x="6195"/>
        <item m="1" x="6212"/>
        <item m="1" x="6226"/>
        <item m="1" x="7148"/>
        <item m="1" x="7164"/>
        <item m="1" x="7172"/>
        <item m="1" x="7177"/>
        <item m="1" x="7183"/>
        <item m="1" x="7190"/>
        <item m="1" x="7196"/>
        <item m="1" x="7203"/>
        <item m="1" x="6424"/>
        <item m="1" x="6428"/>
        <item m="1" x="6434"/>
        <item m="1" x="6441"/>
        <item m="1" x="6450"/>
        <item m="1" x="6460"/>
        <item m="1" x="6471"/>
        <item m="1" x="6478"/>
        <item m="1" x="6484"/>
        <item m="1" x="6491"/>
        <item m="1" x="5827"/>
        <item m="1" x="5835"/>
        <item m="1" x="5843"/>
        <item m="1" x="5849"/>
        <item m="1" x="5854"/>
        <item m="1" x="5858"/>
        <item m="1" x="5866"/>
        <item m="1" x="5872"/>
        <item m="1" x="5274"/>
        <item m="1" x="6429"/>
        <item m="1" x="6435"/>
        <item m="1" x="6442"/>
        <item m="1" x="6451"/>
        <item m="1" x="6472"/>
        <item m="1" x="6479"/>
        <item m="1" x="6485"/>
        <item m="1" x="5828"/>
        <item m="1" x="5832"/>
        <item m="1" x="3729"/>
        <item m="1" x="3733"/>
        <item m="1" x="3739"/>
        <item m="1" x="3744"/>
        <item m="1" x="3759"/>
        <item m="1" x="3764"/>
        <item m="1" x="3774"/>
        <item m="1" x="3780"/>
        <item m="1" x="3153"/>
        <item m="1" x="3440"/>
        <item m="1" x="3446"/>
        <item m="1" x="3461"/>
        <item m="1" x="3467"/>
        <item m="1" x="3473"/>
        <item m="1" x="3479"/>
        <item m="1" x="2850"/>
        <item m="1" x="2854"/>
        <item m="1" x="2888"/>
        <item m="1" x="2896"/>
        <item m="1" x="2903"/>
        <item m="1" x="2096"/>
        <item m="1" x="2108"/>
        <item m="1" x="2123"/>
        <item m="1" x="2135"/>
        <item m="1" x="2146"/>
        <item m="1" x="2161"/>
        <item m="1" x="2169"/>
        <item m="1" x="2184"/>
        <item m="1" x="2193"/>
        <item m="1" x="1214"/>
        <item m="1" x="1222"/>
        <item m="1" x="1232"/>
        <item m="1" x="1238"/>
        <item m="1" x="1260"/>
        <item m="1" x="1272"/>
        <item m="1" x="1290"/>
        <item m="1" x="1297"/>
        <item m="1" x="354"/>
        <item m="1" x="363"/>
        <item m="1" x="378"/>
        <item m="1" x="391"/>
        <item m="1" x="404"/>
        <item m="1" x="419"/>
        <item m="1" x="434"/>
        <item m="1" x="444"/>
        <item m="1" x="456"/>
        <item m="1" x="465"/>
        <item m="1" x="7248"/>
        <item m="1" x="7258"/>
        <item m="1" x="7271"/>
        <item m="1" x="3158"/>
        <item m="1" x="3162"/>
        <item m="1" x="3164"/>
        <item m="1" x="2855"/>
        <item m="1" x="2860"/>
        <item m="1" x="2865"/>
        <item m="1" x="2871"/>
        <item m="1" x="2876"/>
        <item m="1" x="2883"/>
        <item m="1" x="2889"/>
        <item m="1" x="2897"/>
        <item m="1" x="2124"/>
        <item m="1" x="2136"/>
        <item m="1" x="2147"/>
        <item m="1" x="2162"/>
        <item m="1" x="2170"/>
        <item m="1" x="2177"/>
        <item m="1" x="2185"/>
        <item m="1" x="2194"/>
        <item m="1" x="1215"/>
        <item m="1" x="1291"/>
        <item m="1" x="1298"/>
        <item m="1" x="420"/>
        <item m="1" x="435"/>
        <item m="1" x="445"/>
        <item m="1" x="466"/>
        <item m="1" x="7283"/>
        <item m="1" x="7295"/>
        <item m="1" x="7307"/>
        <item m="1" x="7318"/>
        <item m="1" x="7328"/>
        <item m="1" x="7338"/>
        <item m="1" x="7344"/>
        <item m="1" x="6514"/>
        <item m="1" x="6520"/>
        <item m="1" x="6525"/>
        <item m="1" x="6532"/>
        <item m="1" x="6538"/>
        <item m="1" x="6548"/>
        <item m="1" x="6555"/>
        <item m="1" x="6565"/>
        <item m="1" x="6577"/>
        <item m="1" x="5905"/>
        <item m="1" x="5911"/>
        <item m="1" x="5930"/>
        <item m="1" x="5936"/>
        <item m="1" x="5940"/>
        <item m="1" x="5943"/>
        <item m="1" x="5947"/>
        <item m="1" x="5343"/>
        <item m="1" x="5361"/>
        <item m="1" x="5370"/>
        <item m="1" x="5375"/>
        <item m="1" x="5383"/>
        <item m="1" x="5389"/>
        <item m="1" x="4800"/>
        <item m="1" x="4809"/>
        <item m="1" x="4816"/>
        <item m="1" x="4820"/>
        <item m="1" x="4828"/>
        <item m="1" x="4832"/>
        <item m="1" x="4836"/>
        <item m="1" x="4841"/>
        <item m="1" x="4844"/>
        <item m="1" x="4847"/>
        <item m="1" x="4223"/>
        <item m="1" x="4227"/>
        <item m="1" x="4231"/>
        <item m="1" x="4234"/>
        <item m="1" x="4239"/>
        <item m="1" x="4243"/>
        <item m="1" x="4247"/>
        <item m="1" x="4255"/>
        <item m="1" x="4260"/>
        <item m="1" x="4268"/>
        <item m="1" x="5256"/>
        <item m="1" x="5259"/>
        <item m="1" x="5264"/>
        <item m="1" x="5267"/>
        <item m="1" x="5271"/>
        <item m="1" x="5277"/>
        <item m="1" x="5280"/>
        <item m="1" x="5283"/>
        <item m="1" x="5290"/>
        <item m="1" x="5301"/>
        <item m="1" x="2125"/>
        <item m="1" x="1652"/>
        <item m="1" x="1664"/>
        <item m="1" x="1673"/>
        <item m="1" x="1683"/>
        <item m="1" x="1692"/>
        <item m="1" x="1700"/>
        <item m="1" x="1708"/>
        <item m="1" x="1714"/>
        <item m="1" x="1719"/>
        <item m="1" x="773"/>
        <item m="1" x="782"/>
        <item m="1" x="793"/>
        <item m="1" x="803"/>
        <item m="1" x="846"/>
        <item m="1" x="855"/>
        <item m="1" x="861"/>
        <item m="1" x="7730"/>
        <item m="1" x="7744"/>
        <item m="1" x="7755"/>
        <item m="1" x="7765"/>
        <item m="1" x="7775"/>
        <item m="1" x="6860"/>
        <item m="1" x="6869"/>
        <item m="1" x="6880"/>
        <item m="1" x="6891"/>
        <item m="1" x="6898"/>
        <item m="1" x="6908"/>
        <item m="1" x="6916"/>
        <item m="1" x="6923"/>
        <item m="1" x="6929"/>
        <item m="1" x="6935"/>
        <item m="1" x="6249"/>
        <item m="1" x="6255"/>
        <item m="1" x="1223"/>
        <item m="1" x="1239"/>
        <item m="1" x="1261"/>
        <item m="1" x="1273"/>
        <item m="1" x="1282"/>
        <item m="1" x="1292"/>
        <item m="1" x="1299"/>
        <item m="1" x="355"/>
        <item m="1" x="364"/>
        <item m="1" x="379"/>
        <item m="1" x="392"/>
        <item m="1" x="405"/>
        <item m="1" x="421"/>
        <item m="1" x="436"/>
        <item m="1" x="446"/>
        <item m="1" x="458"/>
        <item m="1" x="467"/>
        <item m="1" x="7249"/>
        <item m="1" x="7259"/>
        <item m="1" x="7272"/>
        <item m="1" x="7284"/>
        <item m="1" x="7296"/>
        <item m="1" x="7308"/>
        <item m="1" x="7319"/>
        <item m="1" x="7329"/>
        <item m="1" x="7345"/>
        <item m="1" x="6515"/>
        <item m="1" x="6521"/>
        <item m="1" x="6526"/>
        <item m="1" x="6533"/>
        <item m="1" x="6539"/>
        <item m="1" x="6549"/>
        <item m="1" x="6556"/>
        <item m="1" x="6566"/>
        <item m="1" x="783"/>
        <item m="1" x="794"/>
        <item m="1" x="804"/>
        <item m="1" x="815"/>
        <item m="1" x="824"/>
        <item m="1" x="836"/>
        <item m="1" x="847"/>
        <item m="1" x="856"/>
        <item m="1" x="862"/>
        <item m="1" x="7720"/>
        <item m="1" x="7731"/>
        <item m="1" x="7745"/>
        <item m="1" x="7756"/>
        <item m="1" x="7766"/>
        <item m="1" x="7776"/>
        <item m="1" x="4"/>
        <item m="1" x="11"/>
        <item m="1" x="17"/>
        <item m="1" x="20"/>
        <item m="1" x="6861"/>
        <item m="1" x="6870"/>
        <item m="1" x="6881"/>
        <item m="1" x="6892"/>
        <item m="1" x="6899"/>
        <item m="1" x="6909"/>
        <item m="1" x="6917"/>
        <item m="1" x="6924"/>
        <item m="1" x="6930"/>
        <item m="1" x="6936"/>
        <item m="1" x="6250"/>
        <item m="1" x="6256"/>
        <item m="1" x="6261"/>
        <item m="1" x="6266"/>
        <item m="1" x="6272"/>
        <item m="1" x="6276"/>
        <item m="1" x="6279"/>
        <item m="1" x="6283"/>
        <item m="1" x="6285"/>
        <item m="1" x="6287"/>
        <item m="1" x="5656"/>
        <item m="1" x="5657"/>
        <item m="1" x="5659"/>
        <item m="1" x="5661"/>
        <item m="1" x="5664"/>
        <item m="1" x="5666"/>
        <item m="1" x="5669"/>
        <item m="1" x="5671"/>
        <item m="1" x="5673"/>
        <item m="1" x="5678"/>
        <item m="1" x="5087"/>
        <item m="1" x="5093"/>
        <item m="1" x="5100"/>
        <item m="1" x="5108"/>
        <item m="1" x="5118"/>
        <item m="1" x="5124"/>
        <item m="1" x="5127"/>
        <item m="1" x="5130"/>
        <item m="1" x="5131"/>
        <item m="1" x="5132"/>
        <item m="1" x="4516"/>
        <item m="1" x="4520"/>
        <item m="1" x="4525"/>
        <item m="1" x="4529"/>
        <item m="1" x="4530"/>
        <item m="1" x="4532"/>
        <item m="1" x="4534"/>
        <item m="1" x="4537"/>
        <item m="1" x="4541"/>
        <item m="1" x="4546"/>
        <item m="1" x="3963"/>
        <item m="1" x="3968"/>
        <item m="1" x="3975"/>
        <item m="1" x="3981"/>
        <item m="1" x="3987"/>
        <item m="1" x="3992"/>
        <item m="1" x="3997"/>
        <item m="1" x="4001"/>
        <item m="1" x="4004"/>
        <item m="1" x="4007"/>
        <item m="1" x="3392"/>
        <item m="1" x="3395"/>
        <item m="1" x="3397"/>
        <item m="1" x="3399"/>
        <item m="1" x="3404"/>
        <item m="1" x="3409"/>
        <item m="1" x="3413"/>
        <item m="1" x="3418"/>
        <item m="1" x="3421"/>
        <item m="1" x="3426"/>
        <item m="1" x="2794"/>
        <item m="1" x="2799"/>
        <item m="1" x="2803"/>
        <item m="1" x="2808"/>
        <item m="1" x="2812"/>
        <item m="1" x="2819"/>
        <item m="1" x="2824"/>
        <item m="1" x="2832"/>
        <item m="1" x="2838"/>
        <item m="1" x="2841"/>
        <item m="1" x="3876"/>
        <item m="1" x="3880"/>
        <item m="1" x="3883"/>
        <item m="1" x="3887"/>
        <item m="1" x="3893"/>
        <item m="1" x="3900"/>
        <item m="1" x="3905"/>
        <item m="1" x="3910"/>
        <item m="1" x="3916"/>
        <item m="1" x="3923"/>
        <item m="1" x="3292"/>
        <item m="1" x="3298"/>
        <item m="1" x="3305"/>
        <item m="1" x="3313"/>
        <item m="1" x="3317"/>
        <item m="1" x="3321"/>
        <item m="1" x="3325"/>
        <item m="1" x="3329"/>
        <item m="1" x="3333"/>
        <item m="1" x="3337"/>
        <item m="1" x="2674"/>
        <item m="1" x="2682"/>
        <item m="1" x="2688"/>
        <item m="1" x="2692"/>
        <item m="1" x="2698"/>
        <item m="1" x="2701"/>
        <item m="1" x="2705"/>
        <item m="1" x="2713"/>
        <item m="1" x="2720"/>
        <item m="1" x="2728"/>
        <item m="1" x="1903"/>
        <item m="1" x="1913"/>
        <item m="1" x="1924"/>
        <item m="1" x="1934"/>
        <item m="1" x="1941"/>
        <item m="1" x="1948"/>
        <item m="1" x="1952"/>
        <item m="1" x="1955"/>
        <item m="1" x="1959"/>
        <item m="1" x="1962"/>
        <item m="1" x="1022"/>
        <item m="1" x="1026"/>
        <item m="1" x="1033"/>
        <item m="1" x="1041"/>
        <item m="1" x="1049"/>
        <item m="1" x="1053"/>
        <item m="1" x="1059"/>
        <item m="1" x="1062"/>
        <item m="1" x="1064"/>
        <item m="1" x="1068"/>
        <item m="1" x="179"/>
        <item m="1" x="187"/>
        <item m="1" x="195"/>
        <item m="1" x="202"/>
        <item m="1" x="211"/>
        <item m="1" x="215"/>
        <item m="1" x="218"/>
        <item m="1" x="365"/>
        <item m="1" x="380"/>
        <item m="1" x="393"/>
        <item m="1" x="406"/>
        <item m="1" x="447"/>
        <item m="1" x="459"/>
        <item m="1" x="468"/>
        <item m="1" x="7250"/>
        <item m="1" x="7260"/>
        <item m="1" x="7273"/>
        <item m="1" x="7285"/>
        <item m="1" x="7297"/>
        <item m="1" x="7309"/>
        <item m="1" x="7320"/>
        <item m="1" x="7330"/>
        <item m="1" x="7340"/>
        <item m="1" x="7346"/>
        <item m="1" x="6516"/>
        <item m="1" x="6540"/>
        <item m="1" x="6557"/>
        <item m="1" x="6567"/>
        <item m="1" x="6573"/>
        <item m="1" x="6578"/>
        <item m="1" x="5906"/>
        <item m="1" x="5912"/>
        <item m="1" x="5916"/>
        <item m="1" x="5920"/>
        <item m="1" x="5941"/>
        <item m="1" x="5944"/>
        <item m="1" x="5948"/>
        <item m="1" x="5344"/>
        <item m="1" x="5349"/>
        <item m="1" x="5351"/>
        <item m="1" x="5355"/>
        <item m="1" x="5362"/>
        <item m="1" x="5366"/>
        <item m="1" x="5371"/>
        <item m="1" x="5376"/>
        <item m="1" x="5384"/>
        <item m="1" x="5390"/>
        <item m="1" x="4801"/>
        <item m="1" x="4810"/>
        <item m="1" x="4817"/>
        <item m="1" x="4821"/>
        <item m="1" x="4829"/>
        <item m="1" x="4837"/>
        <item m="1" x="4842"/>
        <item m="1" x="4845"/>
        <item m="1" x="4848"/>
        <item m="1" x="4224"/>
        <item m="1" x="4228"/>
        <item m="1" x="4232"/>
        <item m="1" x="4235"/>
        <item m="1" x="4240"/>
        <item m="1" x="4244"/>
        <item m="1" x="4248"/>
        <item m="1" x="4256"/>
        <item m="1" x="4261"/>
        <item m="1" x="3691"/>
        <item m="1" x="3697"/>
        <item m="1" x="3703"/>
        <item m="1" x="3709"/>
        <item m="1" x="3714"/>
        <item m="1" x="3717"/>
        <item m="1" x="3719"/>
        <item m="1" x="3097"/>
        <item m="1" x="3109"/>
        <item m="1" x="3116"/>
        <item m="1" x="3121"/>
        <item m="1" x="3128"/>
        <item m="1" x="3143"/>
        <item m="1" x="2447"/>
        <item m="1" x="2457"/>
        <item m="1" x="2470"/>
        <item m="1" x="2481"/>
        <item m="1" x="2488"/>
        <item m="1" x="2494"/>
        <item m="1" x="2496"/>
        <item m="1" x="2498"/>
        <item m="1" x="2503"/>
        <item m="1" x="2506"/>
        <item m="1" x="3565"/>
        <item m="1" x="3569"/>
        <item m="1" x="3572"/>
        <item m="1" x="3578"/>
        <item m="1" x="3585"/>
        <item m="1" x="3594"/>
        <item m="1" x="3602"/>
        <item m="1" x="3610"/>
        <item m="1" x="3615"/>
        <item m="1" x="3624"/>
        <item m="1" x="3005"/>
        <item m="1" x="3008"/>
        <item m="1" x="3011"/>
        <item m="1" x="3016"/>
        <item m="1" x="3021"/>
        <item m="1" x="3030"/>
        <item m="1" x="3033"/>
        <item m="1" x="3037"/>
        <item m="1" x="3040"/>
        <item m="1" x="2335"/>
        <item m="1" x="2337"/>
        <item m="1" x="2366"/>
        <item m="1" x="2375"/>
        <item m="1" x="2385"/>
        <item m="1" x="2391"/>
        <item m="1" x="2397"/>
        <item m="1" x="1433"/>
        <item m="1" x="1442"/>
        <item m="1" x="1449"/>
        <item m="1" x="1455"/>
        <item m="1" x="1462"/>
        <item m="1" x="1471"/>
        <item m="1" x="1476"/>
        <item m="1" x="1488"/>
        <item m="1" x="1492"/>
        <item m="1" x="587"/>
        <item m="1" x="592"/>
        <item m="1" x="602"/>
        <item m="1" x="612"/>
        <item m="1" x="618"/>
        <item m="1" x="625"/>
        <item m="1" x="635"/>
        <item m="1" x="642"/>
        <item m="1" x="650"/>
        <item m="1" x="654"/>
        <item m="1" x="7497"/>
        <item m="1" x="7504"/>
        <item m="1" x="7509"/>
        <item m="1" x="7517"/>
        <item m="1" x="7524"/>
        <item m="1" x="7531"/>
        <item m="1" x="7537"/>
        <item m="1" x="7544"/>
        <item m="1" x="7548"/>
        <item m="1" x="7551"/>
        <item m="1" x="6699"/>
        <item m="1" x="6706"/>
        <item m="1" x="6715"/>
        <item m="1" x="6725"/>
        <item m="1" x="6730"/>
        <item m="1" x="6736"/>
        <item m="1" x="6737"/>
        <item m="1" x="6739"/>
        <item m="1" x="6741"/>
        <item m="1" x="6747"/>
        <item m="1" x="6071"/>
        <item m="1" x="6078"/>
        <item m="1" x="6087"/>
        <item m="1" x="6097"/>
        <item m="1" x="6102"/>
        <item m="1" x="6106"/>
        <item m="1" x="6108"/>
        <item m="1" x="6111"/>
        <item m="1" x="6114"/>
        <item m="1" x="6116"/>
        <item m="1" x="5532"/>
        <item m="1" x="5542"/>
        <item m="1" x="5547"/>
        <item m="1" x="5548"/>
        <item m="1" x="5554"/>
        <item m="1" x="5556"/>
        <item m="1" x="5559"/>
        <item m="1" x="5562"/>
        <item m="1" x="4952"/>
        <item m="1" x="4956"/>
        <item m="1" x="4962"/>
        <item m="1" x="4345"/>
        <item m="1" x="4351"/>
        <item m="1" x="4357"/>
        <item m="1" x="4361"/>
        <item m="1" x="4365"/>
        <item m="1" x="4369"/>
        <item m="1" x="4376"/>
        <item m="1" x="4382"/>
        <item m="1" x="4387"/>
        <item m="1" x="4394"/>
        <item m="1" x="3800"/>
        <item m="1" x="3804"/>
        <item m="1" x="3808"/>
        <item m="1" x="3813"/>
        <item m="1" x="3819"/>
        <item m="1" x="3826"/>
        <item m="1" x="3834"/>
        <item m="1" x="3840"/>
        <item m="1" x="3848"/>
        <item m="1" x="3854"/>
        <item m="1" x="3217"/>
        <item m="1" x="4642"/>
        <item m="1" x="4352"/>
        <item m="1" x="3820"/>
        <item m="1" x="3827"/>
        <item m="1" x="3855"/>
        <item m="1" x="3218"/>
        <item m="1" x="3225"/>
        <item m="1" x="3234"/>
        <item m="1" x="3240"/>
        <item m="1" x="3246"/>
        <item m="1" x="3253"/>
        <item m="1" x="3257"/>
        <item m="1" x="3260"/>
        <item m="1" x="3267"/>
        <item m="1" x="3270"/>
        <item m="1" x="2625"/>
        <item m="1" x="2631"/>
        <item m="1" x="2639"/>
        <item m="1" x="1842"/>
        <item m="1" x="1851"/>
        <item m="1" x="1868"/>
        <item m="1" x="887"/>
        <item m="1" x="896"/>
        <item m="1" x="917"/>
        <item m="1" x="931"/>
        <item m="1" x="942"/>
        <item m="1" x="953"/>
        <item m="1" x="986"/>
        <item m="1" x="53"/>
        <item m="1" x="64"/>
        <item m="1" x="76"/>
        <item m="1" x="89"/>
        <item m="1" x="99"/>
        <item m="1" x="108"/>
        <item m="1" x="117"/>
        <item m="1" x="127"/>
        <item m="1" x="143"/>
        <item m="1" x="3504"/>
        <item m="1" x="3509"/>
        <item m="1" x="3514"/>
        <item m="1" x="3518"/>
        <item m="1" x="3529"/>
        <item m="1" x="2945"/>
        <item m="1" x="2962"/>
        <item m="1" x="2966"/>
        <item m="1" x="2225"/>
        <item m="1" x="2232"/>
        <item m="1" x="2243"/>
        <item m="1" x="2256"/>
        <item m="1" x="2299"/>
        <item m="1" x="2305"/>
        <item m="1" x="2313"/>
        <item m="1" x="1349"/>
        <item m="1" x="1355"/>
        <item m="1" x="1361"/>
        <item m="1" x="1366"/>
        <item m="1" x="1374"/>
        <item m="1" x="1381"/>
        <item m="1" x="1386"/>
        <item m="1" x="1392"/>
        <item m="1" x="1397"/>
        <item m="1" x="1403"/>
        <item m="1" x="492"/>
        <item m="1" x="499"/>
        <item m="1" x="513"/>
        <item m="1" x="524"/>
        <item m="1" x="567"/>
        <item m="1" x="7388"/>
        <item m="1" x="7396"/>
        <item m="1" x="7405"/>
        <item m="1" x="7413"/>
        <item m="1" x="7426"/>
        <item m="1" x="7470"/>
        <item m="1" x="6598"/>
        <item m="1" x="6605"/>
        <item m="1" x="6613"/>
        <item m="1" x="6622"/>
        <item m="1" x="6628"/>
        <item m="1" x="6636"/>
        <item m="1" x="6653"/>
        <item m="1" x="6661"/>
        <item m="1" x="6672"/>
        <item m="1" x="5967"/>
        <item m="1" x="5975"/>
        <item m="1" x="5984"/>
        <item m="1" x="5992"/>
        <item m="1" x="6004"/>
        <item m="1" x="6028"/>
        <item m="1" x="6035"/>
        <item m="1" x="5417"/>
        <item m="1" x="5429"/>
        <item m="1" x="5439"/>
        <item m="1" x="5450"/>
        <item m="1" x="5459"/>
        <item m="1" x="5468"/>
        <item m="1" x="5475"/>
        <item m="1" x="5486"/>
        <item m="1" x="5497"/>
        <item m="1" x="4869"/>
        <item m="1" x="4881"/>
        <item m="1" x="4895"/>
        <item m="1" x="4903"/>
        <item m="1" x="4908"/>
        <item m="1" x="4915"/>
        <item m="1" x="4921"/>
        <item m="1" x="4928"/>
        <item m="1" x="4933"/>
        <item m="1" x="4939"/>
        <item m="1" x="5878"/>
        <item m="1" x="5884"/>
        <item m="1" x="5892"/>
        <item m="1" x="5897"/>
        <item m="1" x="5901"/>
        <item m="1" x="5909"/>
        <item m="1" x="5914"/>
        <item m="1" x="5917"/>
        <item m="1" x="5921"/>
        <item m="1" x="5927"/>
        <item m="1" x="5330"/>
        <item m="1" x="2967"/>
        <item m="1" x="2972"/>
        <item m="1" x="2226"/>
        <item m="1" x="2233"/>
        <item m="1" x="2244"/>
        <item m="1" x="2257"/>
        <item m="1" x="2268"/>
        <item m="1" x="2588"/>
        <item m="1" x="2594"/>
        <item m="1" x="2600"/>
        <item m="1" x="2607"/>
        <item m="1" x="2617"/>
        <item m="1" x="2632"/>
        <item m="1" x="2640"/>
        <item m="1" x="2652"/>
        <item m="1" x="1766"/>
        <item m="1" x="1781"/>
        <item m="1" x="1795"/>
        <item m="1" x="1806"/>
        <item m="1" x="1817"/>
        <item m="1" x="1831"/>
        <item m="1" x="1843"/>
        <item m="1" x="1852"/>
        <item m="1" x="1860"/>
        <item m="1" x="897"/>
        <item m="1" x="908"/>
        <item m="1" x="918"/>
        <item m="1" x="932"/>
        <item m="1" x="943"/>
        <item m="1" x="954"/>
        <item m="1" x="964"/>
        <item m="1" x="975"/>
        <item m="1" x="987"/>
        <item m="1" x="54"/>
        <item m="1" x="65"/>
        <item m="1" x="77"/>
        <item m="1" x="2234"/>
        <item m="1" x="2245"/>
        <item m="1" x="2258"/>
        <item m="1" x="2269"/>
        <item m="1" x="2283"/>
        <item m="1" x="2293"/>
        <item m="1" x="6128"/>
        <item m="1" x="6133"/>
        <item m="1" x="5808"/>
        <item m="1" x="5814"/>
        <item m="1" x="5820"/>
        <item m="1" x="5571"/>
        <item m="1" x="5574"/>
        <item m="1" x="5578"/>
        <item m="1" x="5260"/>
        <item m="1" x="5265"/>
        <item m="1" x="5268"/>
        <item m="1" x="5272"/>
        <item m="1" x="5278"/>
        <item m="1" x="5281"/>
        <item m="1" x="5284"/>
        <item m="1" x="5291"/>
        <item m="1" x="5302"/>
        <item m="1" x="4688"/>
        <item m="1" x="4693"/>
        <item m="1" x="4700"/>
        <item m="1" x="4708"/>
        <item m="1" x="4718"/>
        <item m="1" x="4739"/>
        <item m="1" x="4746"/>
        <item m="1" x="4133"/>
        <item m="1" x="4139"/>
        <item m="1" x="4145"/>
        <item m="1" x="4147"/>
        <item m="1" x="4158"/>
        <item m="1" x="4694"/>
        <item m="1" x="4140"/>
        <item m="1" x="7697"/>
        <item m="1" x="7736"/>
        <item m="1" x="7750"/>
        <item m="1" x="7760"/>
        <item m="1" x="7770"/>
        <item m="1" x="6836"/>
        <item m="1" x="6845"/>
        <item m="1" x="6850"/>
        <item m="1" x="6855"/>
        <item m="1" x="6865"/>
        <item m="1" x="6875"/>
        <item m="1" x="6885"/>
        <item m="1" x="6895"/>
        <item m="1" x="6903"/>
        <item m="1" x="6231"/>
        <item m="1" x="6234"/>
        <item m="1" x="6241"/>
        <item m="1" x="6856"/>
        <item m="1" x="6866"/>
        <item m="1" x="6876"/>
        <item m="1" x="6886"/>
        <item m="1" x="6242"/>
        <item m="1" x="5885"/>
        <item m="1" x="5893"/>
        <item m="1" x="5646"/>
        <item m="1" x="5331"/>
        <item m="1" x="5078"/>
        <item m="1" x="5080"/>
        <item m="1" x="5082"/>
        <item m="1" x="5084"/>
        <item m="1" x="5089"/>
        <item m="1" x="5095"/>
        <item m="1" x="5102"/>
        <item m="1" x="5110"/>
        <item m="1" x="5120"/>
        <item m="1" x="4493"/>
        <item m="1" x="1835"/>
        <item m="1" x="1855"/>
        <item m="1" x="1863"/>
        <item m="1" x="890"/>
        <item m="1" x="902"/>
        <item m="1" x="924"/>
        <item m="1" x="937"/>
        <item m="1" x="968"/>
        <item m="1" x="989"/>
        <item m="1" x="70"/>
        <item m="1" x="135"/>
        <item m="1" x="146"/>
        <item m="1" x="6958"/>
        <item m="1" x="6964"/>
        <item m="1" x="6971"/>
        <item m="1" x="6977"/>
        <item m="1" x="6986"/>
        <item m="1" x="6991"/>
        <item m="1" x="6995"/>
        <item m="1" x="7002"/>
        <item m="1" x="7010"/>
        <item m="1" x="7018"/>
        <item m="1" x="6300"/>
        <item m="1" x="6305"/>
        <item m="1" x="6312"/>
        <item m="1" x="6320"/>
        <item m="1" x="516"/>
        <item m="1" x="903"/>
        <item m="1" x="1544"/>
        <item m="1" x="1557"/>
        <item m="1" x="1568"/>
        <item m="1" x="1579"/>
        <item m="1" x="1585"/>
        <item m="1" x="1599"/>
        <item m="1" x="681"/>
        <item m="1" x="690"/>
        <item m="1" x="713"/>
        <item m="1" x="721"/>
        <item m="1" x="732"/>
        <item m="1" x="738"/>
        <item m="1" x="7587"/>
        <item m="1" x="7599"/>
        <item m="1" x="7611"/>
        <item m="1" x="7623"/>
        <item m="1" x="7634"/>
        <item m="1" x="7644"/>
        <item m="1" x="7657"/>
        <item m="1" x="7672"/>
        <item m="1" x="7678"/>
        <item m="1" x="7684"/>
        <item m="1" x="6772"/>
        <item m="1" x="6778"/>
        <item m="1" x="6788"/>
        <item m="1" x="6796"/>
        <item m="1" x="6804"/>
        <item m="1" x="6810"/>
        <item m="1" x="6815"/>
        <item m="1" x="6817"/>
        <item m="1" x="6821"/>
        <item m="1" x="6831"/>
        <item m="1" x="6137"/>
        <item m="1" x="6145"/>
        <item m="1" x="6156"/>
        <item m="1" x="6171"/>
        <item m="1" x="6184"/>
        <item m="1" x="6196"/>
        <item m="1" x="6205"/>
        <item m="1" x="6213"/>
        <item m="1" x="6219"/>
        <item m="1" x="6227"/>
        <item m="1" x="5582"/>
        <item m="1" x="5588"/>
        <item m="1" x="5592"/>
        <item m="1" x="5598"/>
        <item m="1" x="5603"/>
        <item m="1" x="5609"/>
        <item m="1" x="5616"/>
        <item m="1" x="5623"/>
        <item m="1" x="1150"/>
        <item m="1" x="263"/>
        <item m="1" x="7156"/>
        <item m="1" x="5322"/>
        <item m="1" x="5325"/>
        <item m="1" x="4726"/>
        <item m="1" x="4732"/>
        <item m="1" x="4737"/>
        <item m="1" x="4744"/>
        <item m="1" x="4155"/>
        <item m="1" x="4162"/>
        <item m="1" x="3598"/>
        <item m="1" x="3606"/>
        <item m="1" x="3612"/>
        <item m="1" x="3621"/>
        <item m="1" x="3627"/>
        <item m="1" x="3632"/>
        <item m="1" x="3641"/>
        <item m="1" x="714"/>
        <item m="1" x="722"/>
        <item m="1" x="733"/>
        <item m="1" x="739"/>
        <item m="1" x="744"/>
        <item m="1" x="7588"/>
        <item m="1" x="7600"/>
        <item m="1" x="7612"/>
        <item m="1" x="7624"/>
        <item m="1" x="7635"/>
        <item m="1" x="7645"/>
        <item m="1" x="7658"/>
        <item m="1" x="6779"/>
        <item m="1" x="6789"/>
        <item m="1" x="6797"/>
        <item m="1" x="6805"/>
        <item m="1" x="6172"/>
        <item m="1" x="6197"/>
        <item m="1" x="7197"/>
        <item m="1" x="7204"/>
        <item m="1" x="6425"/>
        <item m="1" x="6430"/>
        <item m="1" x="6436"/>
        <item m="1" x="6443"/>
        <item m="1" x="6452"/>
        <item m="1" x="6473"/>
        <item m="1" x="6486"/>
        <item m="1" x="4194"/>
        <item m="1" x="4203"/>
        <item m="1" x="4210"/>
        <item m="1" x="3591"/>
        <item m="1" x="3599"/>
        <item m="1" x="3607"/>
        <item m="1" x="3613"/>
        <item m="1" x="3622"/>
        <item m="1" x="3628"/>
        <item m="1" x="3633"/>
        <item m="1" x="4458"/>
        <item m="1" x="4461"/>
        <item m="1" x="4467"/>
        <item m="1" x="3904"/>
        <item m="1" x="3908"/>
        <item m="1" x="3915"/>
        <item m="1" x="3922"/>
        <item m="1" x="3928"/>
        <item m="1" x="7149"/>
        <item m="1" x="7157"/>
        <item m="1" x="7165"/>
        <item m="1" x="6474"/>
        <item m="1" x="6780"/>
        <item m="1" x="6790"/>
        <item m="1" x="6798"/>
        <item m="1" x="6806"/>
        <item m="1" x="6811"/>
        <item m="1" x="6818"/>
        <item m="1" x="6822"/>
        <item m="1" x="6138"/>
        <item m="1" x="6146"/>
        <item m="1" x="6157"/>
        <item m="1" x="6173"/>
        <item m="1" x="6185"/>
        <item m="1" x="6198"/>
        <item m="1" x="6206"/>
        <item m="1" x="6220"/>
        <item m="1" x="6431"/>
        <item m="1" x="6437"/>
        <item m="1" x="6444"/>
        <item m="1" x="6453"/>
        <item m="1" x="6463"/>
        <item m="1" x="6475"/>
        <item m="1" x="6481"/>
        <item m="1" x="6488"/>
        <item m="1" x="6492"/>
        <item m="1" x="5829"/>
        <item m="1" x="5833"/>
        <item m="1" x="5836"/>
        <item m="1" x="5840"/>
        <item m="1" x="5844"/>
        <item m="1" x="5850"/>
        <item m="1" x="5855"/>
        <item m="1" x="5859"/>
        <item m="1" x="5867"/>
        <item m="1" x="5873"/>
        <item m="1" x="5276"/>
        <item m="1" x="5279"/>
        <item m="1" x="5282"/>
        <item m="1" x="5288"/>
        <item m="1" x="5299"/>
        <item m="1" x="5306"/>
        <item m="1" x="5313"/>
        <item m="1" x="5318"/>
        <item m="1" x="5323"/>
        <item m="1" x="5326"/>
        <item m="1" x="4727"/>
        <item m="1" x="4733"/>
        <item m="1" x="4738"/>
        <item m="1" x="4745"/>
        <item m="1" x="4748"/>
        <item m="1" x="4752"/>
        <item m="1" x="4755"/>
        <item m="1" x="4760"/>
        <item m="1" x="4765"/>
        <item m="1" x="4769"/>
        <item m="1" x="4156"/>
        <item m="1" x="4163"/>
        <item m="1" x="4168"/>
        <item m="1" x="4172"/>
        <item m="1" x="4178"/>
        <item m="1" x="4181"/>
        <item m="1" x="4187"/>
        <item m="1" x="4195"/>
        <item m="1" x="4204"/>
        <item m="1" x="4211"/>
        <item m="1" x="3592"/>
        <item m="1" x="3600"/>
        <item m="1" x="3608"/>
        <item m="1" x="3614"/>
        <item m="1" x="3623"/>
        <item m="1" x="3629"/>
        <item m="1" x="3634"/>
        <item m="1" x="3642"/>
        <item m="1" x="3646"/>
        <item m="1" x="3650"/>
        <item m="1" x="3024"/>
        <item m="1" x="3029"/>
        <item m="1" x="3032"/>
        <item m="1" x="3036"/>
        <item m="1" x="3039"/>
        <item m="1" x="3044"/>
        <item m="1" x="3050"/>
        <item m="1" x="3056"/>
        <item m="1" x="3064"/>
        <item m="1" x="3071"/>
        <item m="1" x="2364"/>
        <item m="1" x="2373"/>
        <item m="1" x="2384"/>
        <item m="1" x="2390"/>
        <item m="1" x="2395"/>
        <item m="1" x="2401"/>
        <item m="1" x="6147"/>
        <item m="1" x="6158"/>
        <item m="1" x="6174"/>
        <item m="1" x="6186"/>
        <item m="1" x="6199"/>
        <item m="1" x="6207"/>
        <item m="1" x="6214"/>
        <item m="1" x="6221"/>
        <item m="1" x="6228"/>
        <item m="1" x="5583"/>
        <item m="1" x="5589"/>
        <item m="1" x="5593"/>
        <item m="1" x="5599"/>
        <item m="1" x="5604"/>
        <item m="1" x="5610"/>
        <item m="1" x="5617"/>
        <item m="1" x="5624"/>
        <item m="1" x="5630"/>
        <item m="1" x="5634"/>
        <item m="1" x="5031"/>
        <item m="1" x="5038"/>
        <item m="1" x="5045"/>
        <item m="1" x="2541"/>
        <item m="1" x="2550"/>
        <item m="1" x="2555"/>
        <item m="1" x="1644"/>
        <item m="1" x="1653"/>
        <item m="1" x="1665"/>
        <item m="1" x="1674"/>
        <item m="1" x="1684"/>
        <item m="1" x="1715"/>
        <item m="1" x="1720"/>
        <item m="1" x="774"/>
        <item m="1" x="784"/>
        <item m="1" x="795"/>
        <item m="1" x="805"/>
        <item m="1" x="816"/>
        <item m="1" x="825"/>
        <item m="1" x="2856"/>
        <item m="1" x="2866"/>
        <item m="1" x="2877"/>
        <item m="1" x="2890"/>
        <item m="1" x="2109"/>
        <item m="1" x="2186"/>
        <item m="1" x="2195"/>
        <item m="1" x="1224"/>
        <item m="1" x="1234"/>
        <item m="1" x="1240"/>
        <item m="1" x="1250"/>
        <item m="1" x="1262"/>
        <item m="1" x="1274"/>
        <item m="1" x="1283"/>
        <item m="1" x="1293"/>
        <item m="1" x="1300"/>
        <item m="1" x="356"/>
        <item m="1" x="366"/>
        <item m="1" x="381"/>
        <item m="1" x="394"/>
        <item m="1" x="407"/>
        <item m="1" x="422"/>
        <item m="1" x="437"/>
        <item m="1" x="448"/>
        <item m="1" x="460"/>
        <item m="1" x="469"/>
        <item m="1" x="7251"/>
        <item m="1" x="7261"/>
        <item m="1" x="7274"/>
        <item m="1" x="7286"/>
        <item m="1" x="7298"/>
        <item m="1" x="7310"/>
        <item m="1" x="7321"/>
        <item m="1" x="7331"/>
        <item m="1" x="7341"/>
        <item m="1" x="2518"/>
        <item m="1" x="2526"/>
        <item m="1" x="1654"/>
        <item m="1" x="1675"/>
        <item m="1" x="1685"/>
        <item m="1" x="1693"/>
        <item m="1" x="1701"/>
        <item m="1" x="1709"/>
        <item m="1" x="1716"/>
        <item m="1" x="796"/>
        <item m="1" x="806"/>
        <item m="1" x="817"/>
        <item m="1" x="826"/>
        <item m="1" x="837"/>
        <item m="1" x="848"/>
        <item m="1" x="857"/>
        <item m="1" x="863"/>
        <item m="1" x="7721"/>
        <item m="1" x="7732"/>
        <item m="1" x="7746"/>
        <item m="1" x="7757"/>
        <item m="1" x="7767"/>
        <item m="1" x="7777"/>
        <item m="1" x="5"/>
        <item m="1" x="12"/>
        <item m="1" x="18"/>
        <item m="1" x="21"/>
        <item m="1" x="6862"/>
        <item m="1" x="6871"/>
        <item m="1" x="6882"/>
        <item m="1" x="2110"/>
        <item m="1" x="2148"/>
        <item m="1" x="1225"/>
        <item m="1" x="1251"/>
        <item m="1" x="1263"/>
        <item m="1" x="1301"/>
        <item m="1" x="357"/>
        <item m="1" x="367"/>
        <item m="1" x="382"/>
        <item m="1" x="395"/>
        <item m="1" x="408"/>
        <item m="1" x="423"/>
        <item m="1" x="438"/>
        <item m="1" x="449"/>
        <item m="1" x="461"/>
        <item m="1" x="470"/>
        <item m="1" x="7252"/>
        <item m="1" x="7262"/>
        <item m="1" x="7275"/>
        <item m="1" x="7287"/>
        <item m="1" x="7299"/>
        <item m="1" x="7311"/>
        <item m="1" x="7322"/>
        <item m="1" x="7332"/>
        <item m="1" x="7342"/>
        <item m="1" x="7347"/>
        <item m="1" x="6517"/>
        <item m="1" x="6522"/>
        <item m="1" x="6527"/>
        <item m="1" x="6534"/>
        <item m="1" x="6541"/>
        <item m="1" x="6550"/>
        <item m="1" x="6558"/>
        <item m="1" x="6568"/>
        <item m="1" x="6574"/>
        <item m="1" x="6579"/>
        <item m="1" x="5907"/>
        <item m="1" x="5913"/>
        <item m="1" x="1655"/>
        <item m="1" x="1666"/>
        <item m="1" x="1676"/>
        <item m="1" x="1686"/>
        <item m="1" x="1694"/>
        <item m="1" x="1702"/>
        <item m="1" x="1710"/>
        <item m="1" x="1717"/>
        <item m="1" x="1721"/>
        <item m="1" x="775"/>
        <item m="1" x="785"/>
        <item m="1" x="797"/>
        <item m="1" x="807"/>
        <item m="1" x="818"/>
        <item m="1" x="827"/>
        <item m="1" x="838"/>
        <item m="1" x="849"/>
        <item m="1" x="858"/>
        <item m="1" x="864"/>
        <item m="1" x="7722"/>
        <item m="1" x="1241"/>
        <item m="1" x="1252"/>
        <item m="1" x="1264"/>
        <item m="1" x="1275"/>
        <item m="1" x="1284"/>
        <item m="1" x="1294"/>
        <item m="1" x="1302"/>
        <item m="1" x="358"/>
        <item m="1" x="368"/>
        <item m="1" x="383"/>
        <item m="1" x="786"/>
        <item m="1" x="798"/>
        <item m="1" x="808"/>
        <item m="1" x="828"/>
        <item m="1" x="839"/>
        <item m="1" x="865"/>
        <item m="1" x="7758"/>
        <item m="1" x="6910"/>
        <item m="1" x="369"/>
        <item m="1" x="384"/>
        <item m="1" x="409"/>
        <item m="1" x="424"/>
        <item m="1" x="450"/>
        <item m="1" x="462"/>
        <item m="1" x="7276"/>
        <item m="1" x="7323"/>
        <item m="1" x="6528"/>
        <item m="1" x="4659"/>
        <item m="1" x="4664"/>
        <item m="1" x="4667"/>
        <item m="1" x="4672"/>
        <item m="1" x="4676"/>
        <item m="1" x="4072"/>
        <item m="1" x="4076"/>
        <item m="1" x="4084"/>
        <item m="1" x="4086"/>
        <item m="1" x="4089"/>
        <item m="1" x="4094"/>
        <item m="1" x="4353"/>
        <item m="1" x="4358"/>
        <item m="1" x="4362"/>
        <item m="1" x="4366"/>
        <item m="1" x="4370"/>
        <item m="1" x="4377"/>
        <item m="1" x="4383"/>
        <item m="1" x="4077"/>
        <item m="1" x="4085"/>
        <item m="1" x="4087"/>
        <item m="1" x="4090"/>
        <item m="1" x="4095"/>
        <item m="1" x="4098"/>
        <item m="1" x="4100"/>
        <item m="1" x="4102"/>
        <item m="1" x="4109"/>
        <item m="1" x="3501"/>
        <item m="1" x="3505"/>
        <item m="1" x="3510"/>
        <item m="1" x="3515"/>
        <item m="1" x="3519"/>
        <item m="1" x="3525"/>
        <item m="1" x="3530"/>
        <item m="1" x="3532"/>
        <item m="1" x="3536"/>
        <item m="1" x="3542"/>
        <item m="1" x="2935"/>
        <item m="1" x="2939"/>
        <item m="1" x="2946"/>
        <item m="1" x="2950"/>
        <item m="1" x="2954"/>
        <item m="1" x="2957"/>
        <item m="1" x="2958"/>
        <item m="1" x="2963"/>
        <item m="1" x="2968"/>
        <item m="1" x="2973"/>
        <item m="1" x="2227"/>
        <item m="1" x="2235"/>
        <item m="1" x="2246"/>
        <item m="1" x="2259"/>
        <item m="1" x="2270"/>
        <item m="1" x="2284"/>
        <item m="1" x="2294"/>
        <item m="1" x="2300"/>
        <item m="1" x="2306"/>
        <item m="1" x="2314"/>
        <item m="1" x="3805"/>
        <item m="1" x="3809"/>
        <item m="1" x="3814"/>
        <item m="1" x="3821"/>
        <item m="1" x="3828"/>
        <item m="1" x="3835"/>
        <item m="1" x="3841"/>
        <item m="1" x="3849"/>
        <item m="1" x="3856"/>
        <item m="1" x="3219"/>
        <item m="1" x="3226"/>
        <item m="1" x="3235"/>
        <item m="1" x="3241"/>
        <item m="1" x="3247"/>
        <item m="1" x="3254"/>
        <item m="1" x="3258"/>
        <item m="1" x="3261"/>
        <item m="1" x="3268"/>
        <item m="1" x="3271"/>
        <item m="1" x="2584"/>
        <item m="1" x="2589"/>
        <item m="1" x="2595"/>
        <item m="1" x="2601"/>
        <item m="1" x="2608"/>
        <item m="1" x="2618"/>
        <item m="1" x="2626"/>
        <item m="1" x="2633"/>
        <item m="1" x="2641"/>
        <item m="1" x="2653"/>
        <item m="1" x="1767"/>
        <item m="1" x="1782"/>
        <item m="1" x="1796"/>
        <item m="1" x="1807"/>
        <item m="1" x="1818"/>
        <item m="1" x="1832"/>
        <item m="1" x="1844"/>
        <item m="1" x="1853"/>
        <item m="1" x="1861"/>
        <item m="1" x="1869"/>
        <item m="1" x="888"/>
        <item m="1" x="898"/>
        <item m="1" x="909"/>
        <item m="1" x="919"/>
        <item m="1" x="933"/>
        <item m="1" x="944"/>
        <item m="1" x="955"/>
        <item m="1" x="965"/>
        <item m="1" x="976"/>
        <item m="1" x="988"/>
        <item m="1" x="55"/>
        <item m="1" x="66"/>
        <item m="1" x="78"/>
        <item m="1" x="90"/>
        <item m="1" x="100"/>
        <item m="1" x="109"/>
        <item m="1" x="118"/>
        <item m="1" x="128"/>
        <item m="1" x="134"/>
        <item m="1" x="144"/>
        <item m="1" x="6957"/>
        <item m="1" x="6962"/>
        <item m="1" x="6968"/>
        <item m="1" x="6975"/>
        <item m="1" x="6984"/>
        <item m="1" x="6989"/>
        <item m="1" x="6994"/>
        <item m="1" x="7000"/>
        <item m="1" x="7008"/>
        <item m="1" x="7016"/>
        <item m="1" x="6298"/>
        <item m="1" x="6303"/>
        <item m="1" x="6311"/>
        <item m="1" x="6319"/>
        <item m="1" x="6328"/>
        <item m="1" x="1388"/>
        <item m="1" x="1393"/>
        <item m="1" x="1405"/>
        <item m="1" x="493"/>
        <item m="1" x="502"/>
        <item m="1" x="528"/>
        <item m="1" x="540"/>
        <item m="1" x="547"/>
        <item m="1" x="555"/>
        <item m="1" x="568"/>
        <item m="1" x="7390"/>
        <item m="1" x="7399"/>
        <item m="1" x="7407"/>
        <item m="1" x="7415"/>
        <item m="1" x="7430"/>
        <item m="1" x="7440"/>
        <item m="1" x="7454"/>
        <item m="1" x="7463"/>
        <item m="1" x="6599"/>
        <item m="1" x="6606"/>
        <item m="1" x="6614"/>
        <item m="1" x="507"/>
        <item m="1" x="517"/>
        <item m="1" x="529"/>
        <item m="1" x="541"/>
        <item m="1" x="548"/>
        <item m="1" x="556"/>
        <item m="1" x="561"/>
        <item m="1" x="569"/>
        <item m="1" x="7400"/>
        <item m="1" x="7408"/>
        <item m="1" x="7416"/>
        <item m="1" x="7431"/>
        <item m="1" x="7441"/>
        <item m="1" x="7448"/>
        <item m="1" x="7464"/>
        <item m="1" x="6600"/>
        <item m="1" x="6607"/>
        <item m="1" x="6615"/>
        <item m="1" x="6638"/>
        <item m="1" x="6656"/>
        <item m="1" x="6664"/>
        <item m="1" x="6674"/>
        <item m="1" x="5977"/>
        <item m="1" x="5999"/>
        <item m="1" x="6005"/>
        <item m="1" x="6017"/>
        <item m="1" x="6023"/>
        <item m="1" x="6036"/>
        <item m="1" x="5408"/>
        <item m="1" x="5419"/>
        <item m="1" x="5430"/>
        <item m="1" x="5440"/>
        <item m="1" x="5451"/>
        <item m="1" x="5498"/>
        <item m="1" x="4871"/>
        <item m="1" x="4883"/>
        <item m="1" x="4916"/>
        <item m="1" x="4922"/>
        <item m="1" x="4929"/>
        <item m="1" x="4941"/>
        <item m="1" x="4292"/>
        <item m="1" x="4298"/>
        <item m="1" x="4305"/>
        <item m="1" x="4313"/>
        <item m="1" x="4318"/>
        <item m="1" x="4323"/>
        <item m="1" x="4326"/>
        <item m="1" x="4329"/>
        <item m="1" x="4336"/>
        <item m="1" x="3748"/>
        <item m="1" x="3756"/>
        <item m="1" x="3763"/>
        <item m="1" x="3776"/>
        <item m="1" x="3782"/>
        <item m="1" x="3785"/>
        <item m="1" x="3789"/>
        <item m="1" x="3792"/>
        <item m="1" x="3795"/>
        <item m="1" x="3168"/>
        <item m="1" x="3179"/>
        <item m="1" x="3180"/>
        <item m="1" x="3183"/>
        <item m="1" x="3204"/>
        <item m="1" x="3209"/>
        <item m="1" x="2530"/>
        <item m="1" x="2537"/>
        <item m="1" x="2545"/>
        <item m="1" x="2553"/>
        <item m="1" x="2558"/>
        <item m="1" x="2562"/>
        <item m="1" x="2566"/>
        <item m="1" x="2571"/>
        <item m="1" x="2579"/>
        <item m="1" x="3653"/>
        <item m="1" x="3656"/>
        <item m="1" x="3660"/>
        <item m="1" x="3666"/>
        <item m="1" x="3671"/>
        <item m="1" x="3679"/>
        <item m="1" x="3684"/>
        <item m="1" x="3693"/>
        <item m="1" x="3699"/>
        <item m="1" x="3705"/>
        <item m="1" x="3075"/>
        <item m="1" x="3080"/>
        <item m="1" x="3085"/>
        <item m="1" x="3090"/>
        <item m="1" x="3094"/>
        <item m="1" x="3099"/>
        <item m="1" x="3105"/>
        <item m="1" x="3110"/>
        <item m="1" x="3117"/>
        <item m="1" x="3122"/>
        <item m="1" x="2413"/>
        <item m="1" x="2416"/>
        <item m="1" x="2422"/>
        <item m="1" x="2430"/>
        <item m="1" x="2439"/>
        <item m="1" x="2450"/>
        <item m="1" x="2462"/>
        <item m="1" x="2474"/>
        <item m="1" x="2483"/>
        <item m="1" x="2490"/>
        <item m="1" x="1523"/>
        <item m="1" x="1536"/>
        <item m="1" x="1550"/>
        <item m="1" x="1562"/>
        <item m="1" x="1573"/>
        <item m="1" x="1577"/>
        <item m="1" x="1582"/>
        <item m="1" x="1588"/>
        <item m="1" x="1593"/>
        <item m="1" x="1596"/>
        <item m="1" x="673"/>
        <item m="1" x="679"/>
        <item m="1" x="687"/>
        <item m="1" x="698"/>
        <item m="1" x="705"/>
        <item m="1" x="711"/>
        <item m="1" x="93"/>
        <item m="1" x="102"/>
        <item m="1" x="7409"/>
        <item m="1" x="7442"/>
        <item m="1" x="7471"/>
        <item m="1" x="6608"/>
        <item m="1" x="6616"/>
        <item m="1" x="6624"/>
        <item m="1" x="6629"/>
        <item m="1" x="6657"/>
        <item m="1" x="6665"/>
        <item m="1" x="6675"/>
        <item m="1" x="5969"/>
        <item m="1" x="5978"/>
        <item m="1" x="5986"/>
        <item m="1" x="5993"/>
        <item m="1" x="6006"/>
        <item m="1" x="6024"/>
        <item m="1" x="6037"/>
        <item m="1" x="5409"/>
        <item m="1" x="5420"/>
        <item m="1" x="5431"/>
        <item m="1" x="5441"/>
        <item m="1" x="5452"/>
        <item m="1" x="5460"/>
        <item m="1" x="5476"/>
        <item m="1" x="5487"/>
        <item m="1" x="4872"/>
        <item m="1" x="4884"/>
        <item m="1" x="4896"/>
        <item m="1" x="4909"/>
        <item m="1" x="4917"/>
        <item m="1" x="4923"/>
        <item m="1" x="4930"/>
        <item m="1" x="4934"/>
        <item m="1" x="4942"/>
        <item m="1" x="4293"/>
        <item m="1" x="4299"/>
        <item m="1" x="4306"/>
        <item m="1" x="4314"/>
        <item m="1" x="4319"/>
        <item m="1" x="4324"/>
        <item m="1" x="4325"/>
        <item m="1" x="4330"/>
        <item m="1" x="4337"/>
        <item m="1" x="3749"/>
        <item m="1" x="3757"/>
        <item m="1" x="3772"/>
        <item m="1" x="3786"/>
        <item m="1" x="3169"/>
        <item m="1" x="3172"/>
        <item m="1" x="3175"/>
        <item m="1" x="3184"/>
        <item m="1" x="2522"/>
        <item m="1" x="2531"/>
        <item m="1" x="2538"/>
        <item m="1" x="2554"/>
        <item m="1" x="2559"/>
        <item m="1" x="2567"/>
        <item m="1" x="2572"/>
        <item m="1" x="2580"/>
        <item m="1" x="1697"/>
        <item m="1" x="1706"/>
        <item m="1" x="1712"/>
        <item m="1" x="1718"/>
        <item m="1" x="1723"/>
        <item m="1" x="1727"/>
        <item m="1" x="1732"/>
        <item m="1" x="1750"/>
        <item m="1" x="3076"/>
        <item m="1" x="3081"/>
        <item m="1" x="3086"/>
        <item m="1" x="3091"/>
        <item m="1" x="3100"/>
        <item m="1" x="3106"/>
        <item m="1" x="3111"/>
        <item m="1" x="3123"/>
        <item m="1" x="2414"/>
        <item m="1" x="2431"/>
        <item m="1" x="2440"/>
        <item m="1" x="2451"/>
        <item m="1" x="2463"/>
        <item m="1" x="2475"/>
        <item m="1" x="2484"/>
        <item m="1" x="2491"/>
        <item m="1" x="1524"/>
        <item m="1" x="1537"/>
        <item m="1" x="1551"/>
        <item m="1" x="1563"/>
        <item m="1" x="1578"/>
        <item m="1" x="1583"/>
        <item m="1" x="1589"/>
        <item m="1" x="1594"/>
        <item m="1" x="1597"/>
        <item m="1" x="674"/>
        <item m="1" x="680"/>
        <item m="1" x="688"/>
        <item m="1" x="699"/>
        <item m="1" x="706"/>
        <item m="1" x="712"/>
        <item m="1" x="720"/>
        <item m="1" x="731"/>
        <item m="1" x="737"/>
        <item m="1" x="743"/>
        <item m="1" x="7586"/>
        <item m="1" x="7596"/>
        <item m="1" x="7609"/>
        <item m="1" x="7620"/>
        <item m="1" x="7632"/>
        <item m="1" x="7642"/>
        <item m="1" x="7655"/>
        <item m="1" x="7669"/>
        <item m="1" x="7682"/>
        <item m="1" x="6771"/>
        <item m="1" x="6777"/>
        <item m="1" x="6785"/>
        <item m="1" x="6794"/>
        <item m="1" x="6802"/>
        <item m="1" x="6809"/>
        <item m="1" x="6814"/>
        <item m="1" x="6819"/>
        <item m="1" x="6828"/>
        <item m="1" x="6136"/>
        <item m="1" x="6144"/>
        <item m="1" x="6153"/>
        <item m="1" x="6168"/>
        <item m="1" x="6181"/>
        <item m="1" x="6193"/>
        <item m="1" x="6204"/>
        <item m="1" x="6211"/>
        <item m="1" x="6218"/>
        <item m="1" x="6225"/>
        <item m="1" x="5581"/>
        <item m="1" x="5587"/>
        <item m="1" x="5591"/>
        <item m="1" x="5596"/>
        <item m="1" x="5601"/>
        <item m="1" x="5608"/>
        <item m="1" x="5614"/>
        <item m="1" x="5622"/>
        <item m="1" x="5629"/>
        <item m="1" x="5633"/>
        <item m="1" x="5030"/>
        <item m="1" x="5037"/>
        <item m="1" x="5044"/>
        <item m="1" x="5052"/>
        <item m="1" x="5058"/>
        <item m="1" x="6965"/>
        <item m="1" x="6972"/>
        <item m="1" x="6978"/>
        <item m="1" x="6996"/>
        <item m="1" x="7003"/>
        <item m="1" x="7011"/>
        <item m="1" x="7019"/>
        <item m="1" x="6301"/>
        <item m="1" x="6306"/>
        <item m="1" x="6313"/>
        <item m="1" x="6321"/>
        <item m="1" x="6329"/>
        <item m="1" x="6333"/>
        <item m="1" x="6339"/>
        <item m="1" x="6345"/>
        <item m="1" x="6348"/>
        <item m="1" x="5699"/>
        <item m="1" x="5703"/>
        <item m="1" x="5707"/>
        <item m="1" x="5711"/>
        <item m="1" x="5714"/>
        <item m="1" x="5719"/>
        <item m="1" x="5726"/>
        <item m="1" x="5732"/>
        <item m="1" x="5736"/>
        <item m="1" x="5147"/>
        <item m="1" x="5151"/>
        <item m="1" x="5157"/>
        <item m="1" x="5164"/>
        <item m="1" x="5170"/>
        <item m="1" x="5180"/>
        <item m="1" x="5186"/>
        <item m="1" x="5191"/>
        <item m="1" x="6609"/>
        <item m="1" x="6617"/>
        <item m="1" x="6639"/>
        <item m="1" x="6645"/>
        <item m="1" x="6666"/>
        <item m="1" x="6676"/>
        <item m="1" x="5970"/>
        <item m="1" x="5979"/>
        <item m="1" x="5987"/>
        <item m="1" x="5994"/>
        <item m="1" x="6000"/>
        <item m="1" x="6007"/>
        <item m="1" x="6018"/>
        <item m="1" x="6025"/>
        <item m="1" x="6029"/>
        <item m="1" x="5410"/>
        <item m="1" x="5442"/>
        <item m="1" x="5453"/>
        <item m="1" x="5461"/>
        <item m="1" x="6307"/>
        <item m="1" x="6314"/>
        <item m="1" x="6322"/>
        <item m="1" x="6334"/>
        <item m="1" x="6346"/>
        <item m="1" x="6349"/>
        <item m="1" x="6351"/>
        <item m="1" x="5700"/>
        <item m="1" x="5704"/>
        <item m="1" x="5708"/>
        <item m="1" x="5712"/>
        <item m="1" x="5715"/>
        <item m="1" x="5720"/>
        <item m="1" x="5727"/>
        <item m="1" x="5733"/>
        <item m="1" x="5737"/>
        <item m="1" x="5148"/>
        <item m="1" x="5152"/>
        <item m="1" x="5158"/>
        <item m="1" x="5165"/>
        <item m="1" x="5171"/>
        <item m="1" x="5181"/>
        <item m="1" x="5187"/>
        <item m="1" x="5196"/>
        <item m="1" x="5200"/>
        <item m="1" x="4579"/>
        <item m="1" x="4584"/>
        <item m="1" x="4586"/>
        <item m="1" x="4591"/>
        <item m="1" x="4594"/>
        <item m="1" x="4600"/>
        <item m="1" x="4609"/>
        <item m="1" x="4614"/>
        <item m="1" x="4618"/>
        <item m="1" x="4022"/>
        <item m="1" x="4027"/>
        <item m="1" x="4031"/>
        <item m="1" x="4036"/>
        <item m="1" x="4048"/>
        <item m="1" x="4054"/>
        <item m="1" x="4058"/>
        <item m="1" x="4064"/>
        <item m="1" x="4068"/>
        <item m="1" x="3458"/>
        <item m="1" x="3459"/>
        <item m="1" x="3465"/>
        <item m="1" x="3470"/>
        <item m="1" x="3475"/>
        <item m="1" x="3480"/>
        <item m="1" x="3488"/>
        <item m="1" x="3491"/>
        <item m="1" x="3496"/>
        <item m="1" x="2873"/>
        <item m="1" x="2885"/>
        <item m="1" x="2892"/>
        <item m="1" x="2899"/>
        <item m="1" x="2906"/>
        <item m="1" x="2911"/>
        <item m="1" x="2918"/>
        <item m="1" x="2925"/>
        <item m="1" x="2929"/>
        <item m="1" x="2159"/>
        <item m="1" x="2174"/>
        <item m="1" x="2181"/>
        <item m="1" x="2190"/>
        <item m="1" x="2196"/>
        <item m="1" x="2201"/>
        <item m="1" x="2205"/>
        <item m="1" x="2211"/>
        <item m="1" x="2218"/>
        <item m="1" x="1258"/>
        <item m="1" x="1270"/>
        <item m="1" x="1279"/>
        <item m="1" x="1287"/>
        <item m="1" x="1295"/>
        <item m="1" x="1306"/>
        <item m="1" x="1313"/>
        <item m="1" x="1321"/>
        <item m="1" x="1330"/>
        <item m="1" x="1338"/>
        <item m="1" x="416"/>
        <item m="1" x="431"/>
        <item m="1" x="442"/>
        <item m="1" x="453"/>
        <item m="1" x="463"/>
        <item m="1" x="471"/>
        <item m="1" x="475"/>
        <item m="1" x="479"/>
        <item m="1" x="484"/>
        <item m="1" x="488"/>
        <item m="1" x="2001"/>
        <item m="1" x="2010"/>
        <item m="1" x="2022"/>
        <item m="1" x="2039"/>
        <item m="1" x="2051"/>
        <item m="1" x="2059"/>
        <item m="1" x="2065"/>
        <item m="1" x="5980"/>
        <item m="1" x="5988"/>
        <item m="1" x="5995"/>
        <item m="1" x="6001"/>
        <item m="1" x="6008"/>
        <item m="1" x="6019"/>
        <item m="1" x="6026"/>
        <item m="1" x="6030"/>
        <item m="1" x="6039"/>
        <item m="1" x="5411"/>
        <item m="1" x="5422"/>
        <item m="1" x="5433"/>
        <item m="1" x="5443"/>
        <item m="1" x="5462"/>
        <item m="1" x="5477"/>
        <item m="1" x="5488"/>
        <item m="1" x="5500"/>
        <item m="1" x="4873"/>
        <item m="1" x="4885"/>
        <item m="1" x="4897"/>
        <item m="1" x="4904"/>
        <item m="1" x="4910"/>
        <item m="1" x="3301"/>
        <item m="1" x="3309"/>
        <item m="1" x="3315"/>
        <item m="1" x="3320"/>
        <item m="1" x="3323"/>
        <item m="1" x="3327"/>
        <item m="1" x="3331"/>
        <item m="1" x="3338"/>
        <item m="1" x="2678"/>
        <item m="1" x="1110"/>
        <item m="1" x="1144"/>
        <item m="1" x="1172"/>
        <item m="1" x="255"/>
        <item m="1" x="264"/>
        <item m="1" x="311"/>
        <item m="1" x="682"/>
        <item m="1" x="4447"/>
        <item m="1" x="4451"/>
        <item m="1" x="4454"/>
        <item m="1" x="4459"/>
        <item m="1" x="4462"/>
        <item m="1" x="4464"/>
        <item m="1" x="4468"/>
        <item m="1" x="4474"/>
        <item m="1" x="4479"/>
        <item m="1" x="4486"/>
        <item m="1" x="265"/>
        <item m="1" x="278"/>
        <item m="1" x="312"/>
        <item m="1" x="323"/>
        <item m="1" x="331"/>
        <item m="1" x="7141"/>
        <item m="1" x="7150"/>
        <item m="1" x="7158"/>
        <item m="1" x="7166"/>
        <item m="1" x="7173"/>
        <item m="1" x="7178"/>
        <item m="1" x="7184"/>
        <item m="1" x="7191"/>
        <item m="1" x="7198"/>
        <item m="1" x="7205"/>
        <item m="1" x="6426"/>
        <item m="1" x="6432"/>
        <item m="1" x="6438"/>
        <item m="1" x="7601"/>
        <item m="1" x="7613"/>
        <item m="1" x="7625"/>
        <item m="1" x="7636"/>
        <item m="1" x="7659"/>
        <item m="1" x="7679"/>
        <item m="1" x="7685"/>
        <item m="1" x="6773"/>
        <item m="1" x="6781"/>
        <item m="1" x="6148"/>
        <item m="1" x="6159"/>
        <item m="1" x="6175"/>
        <item m="1" x="6187"/>
        <item m="1" x="6215"/>
        <item m="1" x="6222"/>
        <item m="1" x="5590"/>
        <item m="1" x="2861"/>
        <item m="1" x="2867"/>
        <item m="1" x="2872"/>
        <item m="1" x="2884"/>
        <item m="1" x="2149"/>
        <item m="1" x="410"/>
        <item m="1" x="7747"/>
        <item m="1" x="7324"/>
        <item m="1" x="7333"/>
        <item m="1" x="2590"/>
        <item m="1" x="518"/>
        <item m="1" x="542"/>
        <item m="1" x="557"/>
        <item m="1" x="7392"/>
        <item m="1" x="7401"/>
        <item m="1" x="7410"/>
        <item m="1" x="7418"/>
        <item m="1" x="7432"/>
        <item m="1" x="7443"/>
        <item m="1" x="7449"/>
        <item m="1" x="7456"/>
        <item m="1" x="71"/>
        <item m="1" x="82"/>
        <item m="1" x="94"/>
        <item m="1" x="103"/>
        <item m="1" x="111"/>
        <item m="1" x="7419"/>
        <item m="1" x="7433"/>
        <item m="1" x="7444"/>
        <item m="1" x="7450"/>
        <item m="1" x="7457"/>
        <item m="1" x="7465"/>
        <item m="1" x="7472"/>
        <item m="1" x="6602"/>
        <item m="1" x="6610"/>
        <item m="1" x="6618"/>
        <item m="1" x="6625"/>
        <item m="1" x="6630"/>
        <item m="1" x="6640"/>
        <item m="1" x="6646"/>
        <item m="1" x="6658"/>
        <item m="1" x="6667"/>
        <item m="1" x="6677"/>
        <item m="1" x="5989"/>
        <item m="1" x="6009"/>
        <item m="1" x="6020"/>
        <item m="1" x="6031"/>
        <item m="1" x="5423"/>
        <item m="1" x="5434"/>
        <item m="1" x="5444"/>
        <item m="1" x="5455"/>
        <item m="1" x="5463"/>
        <item m="1" x="5470"/>
        <item m="1" x="5478"/>
        <item m="1" x="5489"/>
        <item m="1" x="5501"/>
        <item m="1" x="4874"/>
        <item m="1" x="6611"/>
        <item m="1" x="6619"/>
        <item m="1" x="6626"/>
        <item m="1" x="6631"/>
        <item m="1" x="6641"/>
        <item m="1" x="6647"/>
        <item m="1" x="6668"/>
        <item m="1" x="6678"/>
        <item m="1" x="5971"/>
        <item m="1" x="5981"/>
        <item m="1" x="5990"/>
        <item m="1" x="5996"/>
        <item m="1" x="6002"/>
        <item m="1" x="6010"/>
        <item m="1" x="6021"/>
        <item m="1" x="6027"/>
        <item m="1" x="6032"/>
        <item m="1" x="6040"/>
        <item m="1" x="5412"/>
        <item m="1" x="5424"/>
        <item m="1" x="5435"/>
        <item m="1" x="5445"/>
        <item m="1" x="6308"/>
        <item m="1" x="6315"/>
        <item m="1" x="6323"/>
        <item m="1" x="6335"/>
        <item m="1" x="6341"/>
        <item m="1" x="6347"/>
        <item m="1" x="6350"/>
        <item m="1" x="5982"/>
        <item m="1" x="5991"/>
        <item m="1" x="5997"/>
        <item m="1" x="6011"/>
        <item m="1" x="6033"/>
        <item m="1" x="5413"/>
        <item m="1" x="5436"/>
        <item m="1" x="5446"/>
        <item m="1" x="5456"/>
        <item m="1" x="5464"/>
        <item m="1" x="5471"/>
        <item m="1" x="5479"/>
        <item m="1" x="5490"/>
        <item m="1" x="4886"/>
        <item m="1" x="4898"/>
        <item m="1" x="4905"/>
        <item m="1" x="4911"/>
        <item m="1" x="4918"/>
        <item m="1" x="4924"/>
        <item m="1" x="4931"/>
        <item m="1" x="4935"/>
        <item m="1" x="4943"/>
        <item m="1" x="4294"/>
        <item m="1" x="4300"/>
        <item m="1" x="4307"/>
        <item m="1" x="5701"/>
        <item m="1" x="5705"/>
        <item m="1" x="5713"/>
        <item m="1" x="5716"/>
        <item m="1" x="5721"/>
        <item m="1" x="5728"/>
        <item m="1" x="5738"/>
        <item m="1" x="5149"/>
        <item m="1" x="5153"/>
        <item m="1" x="5159"/>
        <item m="1" x="5166"/>
        <item m="1" x="5172"/>
        <item m="1" x="5188"/>
        <item m="1" x="5192"/>
        <item m="1" x="5197"/>
        <item m="1" x="5201"/>
        <item m="1" x="4580"/>
        <item m="1" x="4587"/>
        <item m="1" x="4592"/>
        <item m="1" x="4595"/>
        <item m="1" x="4601"/>
        <item m="1" x="4604"/>
        <item m="1" x="4610"/>
        <item m="1" x="4615"/>
        <item m="1" x="4619"/>
        <item m="1" x="4023"/>
        <item m="1" x="4028"/>
        <item m="1" x="3010"/>
        <item m="1" x="3013"/>
        <item m="1" x="3018"/>
        <item m="1" x="3023"/>
        <item m="1" x="2687"/>
        <item m="1" x="2690"/>
        <item m="1" x="2694"/>
        <item m="1" x="2703"/>
        <item m="1" x="2339"/>
        <item m="1" x="2345"/>
        <item m="1" x="1915"/>
        <item m="1" x="1927"/>
        <item m="1" x="1444"/>
        <item m="1" x="1451"/>
        <item m="1" x="1473"/>
        <item m="1" x="1478"/>
        <item m="1" x="1483"/>
        <item m="1" x="1489"/>
        <item m="1" x="1493"/>
        <item m="1" x="589"/>
        <item m="1" x="605"/>
        <item m="1" x="614"/>
        <item m="1" x="620"/>
        <item m="1" x="627"/>
        <item m="1" x="637"/>
        <item m="1" x="643"/>
        <item m="1" x="1028"/>
        <item m="1" x="1037"/>
        <item m="1" x="595"/>
        <item m="1" x="606"/>
        <item m="1" x="621"/>
        <item m="1" x="628"/>
        <item m="1" x="644"/>
        <item m="1" x="189"/>
        <item m="1" x="198"/>
        <item m="1" x="206"/>
        <item m="1" x="7505"/>
        <item m="1" x="7511"/>
        <item m="1" x="7519"/>
        <item m="1" x="7527"/>
        <item m="1" x="7533"/>
        <item m="1" x="7540"/>
        <item m="1" x="7545"/>
        <item m="1" x="7549"/>
        <item m="1" x="7552"/>
        <item m="1" x="6701"/>
        <item m="1" x="6707"/>
        <item m="1" x="6716"/>
        <item m="1" x="7061"/>
        <item m="1" x="7068"/>
        <item m="1" x="7075"/>
        <item m="1" x="7081"/>
        <item m="1" x="7092"/>
        <item m="1" x="4220"/>
        <item m="1" x="4225"/>
        <item m="1" x="4229"/>
        <item m="1" x="4233"/>
        <item m="1" x="4237"/>
        <item m="1" x="3654"/>
        <item m="1" x="3657"/>
        <item m="1" x="3661"/>
        <item m="1" x="3667"/>
        <item m="1" x="3672"/>
        <item m="1" x="3680"/>
        <item m="1" x="3685"/>
        <item m="1" x="3694"/>
        <item m="1" x="3700"/>
        <item m="1" x="3706"/>
        <item m="1" x="3077"/>
        <item m="1" x="3082"/>
        <item m="1" x="3949"/>
        <item m="1" x="3953"/>
        <item m="1" x="3955"/>
        <item m="1" x="3960"/>
        <item m="1" x="3965"/>
        <item m="1" x="3970"/>
        <item m="1" x="3977"/>
        <item m="1" x="3982"/>
        <item m="1" x="3988"/>
        <item m="1" x="3362"/>
        <item m="1" x="3370"/>
        <item m="1" x="3377"/>
        <item m="1" x="3384"/>
        <item m="1" x="3389"/>
        <item m="1" x="3396"/>
        <item m="1" x="3398"/>
        <item m="1" x="3401"/>
        <item m="1" x="3405"/>
        <item m="1" x="2767"/>
        <item m="1" x="2773"/>
        <item m="1" x="2780"/>
        <item m="1" x="2785"/>
        <item m="1" x="3658"/>
        <item m="1" x="3662"/>
        <item m="1" x="3673"/>
        <item m="1" x="3686"/>
        <item m="1" x="3707"/>
        <item m="1" x="3078"/>
        <item m="1" x="3087"/>
        <item m="1" x="3371"/>
        <item m="1" x="3378"/>
        <item m="1" x="3390"/>
        <item m="1" x="3393"/>
        <item m="1" x="3406"/>
        <item m="1" x="2768"/>
        <item m="1" x="2774"/>
        <item m="1" x="2781"/>
        <item m="1" x="2786"/>
        <item m="1" x="2791"/>
        <item m="1" x="2795"/>
        <item m="1" x="2801"/>
        <item m="1" x="3083"/>
        <item m="1" x="3088"/>
        <item m="1" x="2814"/>
        <item m="1" x="2002"/>
        <item m="1" x="2011"/>
        <item m="1" x="2023"/>
        <item m="1" x="2417"/>
        <item m="1" x="2432"/>
        <item m="1" x="2452"/>
        <item m="1" x="2464"/>
        <item m="1" x="2476"/>
        <item m="1" x="2485"/>
        <item m="1" x="2492"/>
        <item m="1" x="1525"/>
        <item m="1" x="1538"/>
        <item m="1" x="1552"/>
        <item m="1" x="1564"/>
        <item m="1" x="2012"/>
        <item m="1" x="2024"/>
        <item m="1" x="2040"/>
        <item m="1" x="2052"/>
        <item m="1" x="2060"/>
        <item m="1" x="2066"/>
        <item m="1" x="2069"/>
        <item m="1" x="2071"/>
        <item m="1" x="2073"/>
        <item m="1" x="1100"/>
        <item m="1" x="1106"/>
        <item m="1" x="1119"/>
        <item m="1" x="1129"/>
        <item m="1" x="1136"/>
        <item m="1" x="1141"/>
        <item m="1" x="1147"/>
        <item m="1" x="1155"/>
        <item m="1" x="1159"/>
        <item m="1" x="1167"/>
        <item m="1" x="252"/>
        <item m="1" x="259"/>
        <item m="1" x="273"/>
        <item m="1" x="297"/>
        <item m="1" x="307"/>
        <item m="1" x="316"/>
        <item m="1" x="321"/>
        <item m="1" x="324"/>
        <item m="1" x="328"/>
        <item m="1" x="1539"/>
        <item m="1" x="1553"/>
        <item m="1" x="1565"/>
        <item m="1" x="1574"/>
        <item m="1" x="1584"/>
        <item m="1" x="1590"/>
        <item m="1" x="1107"/>
        <item m="1" x="1120"/>
        <item m="1" x="1130"/>
        <item m="1" x="1137"/>
        <item m="1" x="1142"/>
        <item m="1" x="1148"/>
        <item m="1" x="1156"/>
        <item m="1" x="1160"/>
        <item m="1" x="1168"/>
        <item m="1" x="253"/>
        <item m="1" x="260"/>
        <item m="1" x="274"/>
        <item m="1" x="288"/>
        <item m="1" x="308"/>
        <item m="1" x="317"/>
        <item m="1" x="322"/>
        <item m="1" x="325"/>
        <item m="1" x="329"/>
        <item m="1" x="7139"/>
        <item m="1" x="7146"/>
        <item m="1" x="7154"/>
        <item m="1" x="5395"/>
        <item m="1" x="5399"/>
        <item m="1" x="5400"/>
        <item m="1" x="5403"/>
        <item m="1" x="5415"/>
        <item m="1" x="5426"/>
        <item m="1" x="5438"/>
        <item m="1" x="5447"/>
        <item m="1" x="5138"/>
        <item m="1" x="5142"/>
        <item m="1" x="5145"/>
        <item m="1" x="5150"/>
        <item m="1" x="5168"/>
        <item m="1" x="4850"/>
        <item m="1" x="4854"/>
        <item m="1" x="4857"/>
        <item m="1" x="4863"/>
        <item m="1" x="4876"/>
        <item m="1" x="4889"/>
        <item m="1" x="4900"/>
        <item m="1" x="4907"/>
        <item m="1" x="4912"/>
        <item m="1" x="4276"/>
        <item m="1" x="4281"/>
        <item m="1" x="4284"/>
        <item m="1" x="4286"/>
        <item m="1" x="4289"/>
        <item m="1" x="4295"/>
        <item m="1" x="4301"/>
        <item m="1" x="4308"/>
        <item m="1" x="4315"/>
        <item m="1" x="4320"/>
        <item m="1" x="3721"/>
        <item m="1" x="3724"/>
        <item m="1" x="3730"/>
        <item m="1" x="3735"/>
        <item m="1" x="4557"/>
        <item m="1" x="4564"/>
        <item m="1" x="4569"/>
        <item m="1" x="4574"/>
        <item m="1" x="4581"/>
        <item m="1" x="4585"/>
        <item m="1" x="4588"/>
        <item m="1" x="4596"/>
        <item m="1" x="4011"/>
        <item m="1" x="4015"/>
        <item m="1" x="4018"/>
        <item m="1" x="4021"/>
        <item m="1" x="4024"/>
        <item m="1" x="4029"/>
        <item m="1" x="4032"/>
        <item m="1" x="4037"/>
        <item m="1" x="4042"/>
        <item m="1" x="3431"/>
        <item m="1" x="3449"/>
        <item m="1" x="3456"/>
        <item m="1" x="3460"/>
        <item m="1" x="3471"/>
        <item m="1" x="2851"/>
        <item m="1" x="2863"/>
        <item m="1" x="2869"/>
        <item m="1" x="2874"/>
        <item m="1" x="2881"/>
        <item m="1" x="2886"/>
        <item m="1" x="2894"/>
        <item m="1" x="2901"/>
        <item m="1" x="2094"/>
        <item m="1" x="2106"/>
        <item m="1" x="4282"/>
        <item m="1" x="4285"/>
        <item m="1" x="4296"/>
        <item m="1" x="4302"/>
        <item m="1" x="4309"/>
        <item m="1" x="4316"/>
        <item m="1" x="4321"/>
        <item m="1" x="3722"/>
        <item m="1" x="3725"/>
        <item m="1" x="3731"/>
        <item m="1" x="3736"/>
        <item m="1" x="3742"/>
        <item m="1" x="3750"/>
        <item m="1" x="4016"/>
        <item m="1" x="3726"/>
        <item m="1" x="3732"/>
        <item m="1" x="3737"/>
        <item m="1" x="3743"/>
        <item m="1" x="3751"/>
        <item m="1" x="3758"/>
        <item m="1" x="3773"/>
        <item m="1" x="3778"/>
        <item m="1" x="3155"/>
        <item m="1" x="3181"/>
        <item m="1" x="2524"/>
        <item m="1" x="3438"/>
        <item m="1" x="3443"/>
        <item m="1" x="3450"/>
        <item m="1" x="3457"/>
        <item m="1" x="3156"/>
        <item m="1" x="3160"/>
        <item m="1" x="3163"/>
        <item m="1" x="3166"/>
        <item m="1" x="3170"/>
        <item m="1" x="3173"/>
        <item m="1" x="3177"/>
        <item m="1" x="2852"/>
        <item m="1" x="2858"/>
        <item m="1" x="2864"/>
        <item m="1" x="2870"/>
        <item m="1" x="2875"/>
        <item m="1" x="2882"/>
        <item m="1" x="6685"/>
        <item m="1" x="6687"/>
        <item m="1" x="6695"/>
        <item m="1" x="6703"/>
        <item m="1" x="6710"/>
        <item m="1" x="6728"/>
        <item m="1" x="6732"/>
        <item m="1" x="6046"/>
        <item m="1" x="6075"/>
        <item m="1" x="6081"/>
        <item m="1" x="6091"/>
        <item m="1" x="6360"/>
        <item m="1" x="6366"/>
        <item m="1" x="6369"/>
        <item m="1" x="6373"/>
        <item m="1" x="6377"/>
        <item m="1" x="6383"/>
        <item m="1" x="5748"/>
        <item m="1" x="5755"/>
        <item m="1" x="5761"/>
        <item m="1" x="5767"/>
        <item m="1" x="5770"/>
        <item m="1" x="5772"/>
        <item m="1" x="5775"/>
        <item m="1" x="5776"/>
        <item m="1" x="5779"/>
        <item m="1" x="6050"/>
        <item m="1" x="6054"/>
        <item m="1" x="6060"/>
        <item m="1" x="6067"/>
        <item m="1" x="6076"/>
        <item m="1" x="6082"/>
        <item m="1" x="6092"/>
        <item m="1" x="6099"/>
        <item m="1" x="6103"/>
        <item m="1" x="5507"/>
        <item m="1" x="5511"/>
        <item m="1" x="5518"/>
        <item m="1" x="5525"/>
        <item m="1" x="5529"/>
        <item m="1" x="5535"/>
        <item m="1" x="5539"/>
        <item m="1" x="5545"/>
        <item m="1" x="5550"/>
        <item m="1" x="4947"/>
        <item m="1" x="4950"/>
        <item m="1" x="4954"/>
        <item m="1" x="4958"/>
        <item m="1" x="4965"/>
        <item m="1" x="4971"/>
        <item m="1" x="4979"/>
        <item m="1" x="4995"/>
        <item m="1" x="5001"/>
        <item m="1" x="4343"/>
        <item m="1" x="4349"/>
        <item m="1" x="4360"/>
        <item m="1" x="4363"/>
        <item m="1" x="4367"/>
        <item m="1" x="4374"/>
        <item m="1" x="4380"/>
        <item m="1" x="4391"/>
        <item m="1" x="3799"/>
        <item m="1" x="3803"/>
        <item m="1" x="3811"/>
        <item m="1" x="3818"/>
        <item m="1" x="3824"/>
        <item m="1" x="3832"/>
        <item m="1" x="3838"/>
        <item m="1" x="3846"/>
        <item m="1" x="3216"/>
        <item m="1" x="3244"/>
        <item m="1" x="3249"/>
        <item m="1" x="3256"/>
        <item m="1" x="3259"/>
        <item m="1" x="3265"/>
        <item m="1" x="3269"/>
        <item m="1" x="2583"/>
        <item m="1" x="2587"/>
        <item m="1" x="2593"/>
        <item m="1" x="2605"/>
        <item m="1" x="2615"/>
        <item m="1" x="2623"/>
        <item m="1" x="2637"/>
        <item m="1" x="2650"/>
        <item m="1" x="1764"/>
        <item m="1" x="1779"/>
        <item m="1" x="1794"/>
        <item m="1" x="1805"/>
        <item m="1" x="1830"/>
        <item m="1" x="1840"/>
        <item m="1" x="1850"/>
        <item m="1" x="1859"/>
        <item m="1" x="1867"/>
        <item m="1" x="886"/>
        <item m="1" x="895"/>
        <item m="1" x="907"/>
        <item m="1" x="916"/>
        <item m="1" x="930"/>
        <item m="1" x="941"/>
        <item m="1" x="951"/>
        <item m="1" x="963"/>
        <item m="1" x="974"/>
        <item m="1" x="985"/>
        <item m="1" x="51"/>
        <item m="1" x="63"/>
        <item m="1" x="75"/>
        <item m="1" x="86"/>
        <item m="1" x="98"/>
        <item m="1" x="107"/>
        <item m="1" x="116"/>
        <item m="1" x="126"/>
        <item m="1" x="133"/>
        <item m="1" x="142"/>
        <item m="1" x="1602"/>
        <item m="1" x="1607"/>
        <item m="1" x="1615"/>
        <item m="1" x="5749"/>
        <item m="1" x="5756"/>
        <item m="1" x="5512"/>
        <item m="1" x="5206"/>
        <item m="1" x="5209"/>
        <item m="1" x="5213"/>
        <item m="1" x="5221"/>
        <item m="1" x="4630"/>
        <item m="1" x="4951"/>
        <item m="1" x="4955"/>
        <item m="1" x="4959"/>
        <item m="1" x="4966"/>
        <item m="1" x="4972"/>
        <item m="1" x="4980"/>
        <item m="1" x="4988"/>
        <item m="1" x="4996"/>
        <item m="1" x="5002"/>
        <item m="1" x="4344"/>
        <item m="1" x="4631"/>
        <item m="1" x="4639"/>
        <item m="1" x="4648"/>
        <item m="1" x="4652"/>
        <item m="1" x="4663"/>
        <item m="1" x="4666"/>
        <item m="1" x="4670"/>
        <item m="1" x="4673"/>
        <item m="1" x="4350"/>
        <item m="1" x="4356"/>
        <item m="1" x="4364"/>
        <item m="1" x="4375"/>
        <item m="1" x="4381"/>
        <item m="1" x="4386"/>
        <item m="1" x="4392"/>
        <item m="1" x="3807"/>
        <item m="1" x="3812"/>
        <item m="1" x="3825"/>
        <item m="1" x="3833"/>
        <item m="1" x="3839"/>
        <item m="1" x="3847"/>
        <item m="1" x="4074"/>
        <item m="1" x="4081"/>
        <item m="1" x="4088"/>
        <item m="1" x="4092"/>
        <item m="1" x="4097"/>
        <item m="1" x="4099"/>
        <item m="1" x="4101"/>
        <item m="1" x="4105"/>
        <item m="1" x="662"/>
        <item m="1" x="665"/>
        <item m="1" x="669"/>
        <item m="1" x="675"/>
        <item m="1" x="683"/>
        <item m="1" x="691"/>
        <item m="1" x="700"/>
        <item m="1" x="707"/>
        <item m="1" x="7557"/>
        <item m="1" x="7560"/>
        <item m="1" x="7566"/>
        <item m="1" x="7602"/>
        <item m="1" x="7614"/>
        <item m="1" x="7626"/>
        <item m="1" x="7637"/>
        <item m="1" x="6749"/>
        <item m="1" x="6751"/>
        <item m="1" x="6758"/>
        <item m="1" x="6761"/>
        <item m="1" x="6768"/>
        <item m="1" x="6782"/>
        <item m="1" x="7561"/>
        <item m="1" x="6445"/>
        <item m="1" x="6454"/>
        <item m="1" x="6121"/>
        <item m="1" x="6123"/>
        <item m="1" x="6127"/>
        <item m="1" x="6132"/>
        <item m="1" x="6139"/>
        <item m="1" x="6149"/>
        <item m="1" x="6160"/>
        <item m="1" x="6176"/>
        <item m="1" x="5805"/>
        <item m="1" x="5573"/>
        <item m="1" x="5576"/>
        <item m="1" x="5580"/>
        <item m="1" x="5584"/>
        <item m="1" x="5262"/>
        <item m="1" x="2497"/>
        <item m="1" x="2501"/>
        <item m="1" x="2080"/>
        <item m="1" x="2083"/>
        <item m="1" x="2086"/>
        <item m="1" x="2090"/>
        <item m="1" x="2097"/>
        <item m="1" x="2111"/>
        <item m="1" x="2126"/>
        <item m="1" x="2150"/>
        <item m="1" x="1178"/>
        <item m="1" x="1187"/>
        <item m="1" x="1193"/>
        <item m="1" x="1202"/>
        <item m="1" x="1209"/>
        <item m="1" x="1216"/>
        <item m="1" x="1226"/>
        <item m="1" x="1235"/>
        <item m="1" x="1242"/>
        <item m="1" x="1253"/>
        <item m="1" x="333"/>
        <item m="1" x="335"/>
        <item m="1" x="342"/>
        <item m="1" x="385"/>
        <item m="1" x="396"/>
        <item m="1" x="411"/>
        <item m="1" x="7210"/>
        <item m="1" x="7216"/>
        <item m="1" x="7226"/>
        <item m="1" x="7236"/>
        <item m="1" x="7242"/>
        <item m="1" x="7253"/>
        <item m="1" x="7263"/>
        <item m="1" x="7277"/>
        <item m="1" x="7288"/>
        <item m="1" x="7300"/>
        <item m="1" x="6494"/>
        <item m="1" x="6498"/>
        <item m="1" x="1608"/>
        <item m="1" x="1616"/>
        <item m="1" x="1626"/>
        <item m="1" x="1633"/>
        <item m="1" x="1645"/>
        <item m="1" x="1656"/>
        <item m="1" x="1667"/>
        <item m="1" x="1677"/>
        <item m="1" x="1687"/>
        <item m="1" x="748"/>
        <item m="1" x="752"/>
        <item m="1" x="756"/>
        <item m="1" x="761"/>
        <item m="1" x="766"/>
        <item m="1" x="776"/>
        <item m="1" x="787"/>
        <item m="1" x="1194"/>
        <item m="1" x="1203"/>
        <item m="1" x="1210"/>
        <item m="1" x="1217"/>
        <item m="1" x="1227"/>
        <item m="1" x="336"/>
        <item m="1" x="343"/>
        <item m="1" x="349"/>
        <item m="1" x="359"/>
        <item m="1" x="370"/>
        <item m="1" x="7694"/>
        <item m="1" x="7700"/>
        <item m="1" x="7708"/>
        <item m="1" x="7713"/>
        <item m="1" x="7723"/>
        <item m="1" x="7733"/>
        <item m="1" x="7217"/>
        <item m="1" x="7227"/>
        <item m="1" x="7237"/>
        <item m="1" x="7243"/>
        <item m="1" x="7254"/>
        <item m="1" x="7264"/>
        <item m="1" x="7278"/>
        <item m="1" x="6839"/>
        <item m="1" x="6843"/>
        <item m="1" x="6849"/>
        <item m="1" x="6854"/>
        <item m="1" x="6863"/>
        <item m="1" x="6872"/>
        <item m="1" x="6883"/>
        <item m="1" x="6499"/>
        <item m="1" x="6504"/>
        <item m="1" x="6508"/>
        <item m="1" x="6511"/>
        <item m="1" x="6518"/>
        <item m="1" x="3787"/>
        <item m="1" x="3791"/>
        <item m="1" x="3794"/>
        <item m="1" x="3797"/>
        <item m="1" x="3801"/>
        <item m="1" x="3810"/>
        <item m="1" x="3815"/>
        <item m="1" x="3186"/>
        <item m="1" x="3193"/>
        <item m="1" x="3200"/>
        <item m="1" x="3212"/>
        <item m="1" x="3220"/>
        <item m="1" x="3228"/>
        <item m="1" x="3237"/>
        <item m="1" x="3242"/>
        <item m="1" x="3490"/>
        <item m="1" x="3194"/>
        <item m="1" x="3201"/>
        <item m="1" x="3213"/>
        <item m="1" x="3221"/>
        <item m="1" x="3229"/>
        <item m="1" x="3238"/>
        <item m="1" x="3243"/>
        <item m="1" x="2569"/>
        <item m="1" x="2573"/>
        <item m="1" x="2581"/>
        <item m="1" x="2585"/>
        <item m="1" x="2591"/>
        <item m="1" x="2596"/>
        <item m="1" x="2602"/>
        <item m="1" x="2609"/>
        <item m="1" x="1725"/>
        <item m="1" x="1743"/>
        <item m="1" x="1754"/>
        <item m="1" x="1768"/>
        <item m="1" x="1808"/>
        <item m="1" x="1819"/>
        <item m="1" x="872"/>
        <item m="1" x="876"/>
        <item m="1" x="879"/>
        <item m="1" x="883"/>
        <item m="1" x="889"/>
        <item m="1" x="899"/>
        <item m="1" x="910"/>
        <item m="1" x="920"/>
        <item m="1" x="934"/>
        <item m="1" x="26"/>
        <item m="1" x="28"/>
        <item m="1" x="35"/>
        <item m="1" x="40"/>
        <item m="1" x="2915"/>
        <item m="1" x="2922"/>
        <item m="1" x="2936"/>
        <item m="1" x="2940"/>
        <item m="1" x="2947"/>
        <item m="1" x="2951"/>
        <item m="1" x="2955"/>
        <item m="1" x="2199"/>
        <item m="1" x="2202"/>
        <item m="1" x="2207"/>
        <item m="1" x="2214"/>
        <item m="1" x="2564"/>
        <item m="1" x="2570"/>
        <item m="1" x="2574"/>
        <item m="1" x="2582"/>
        <item m="1" x="2586"/>
        <item m="1" x="2592"/>
        <item m="1" x="2597"/>
        <item m="1" x="2603"/>
        <item m="1" x="2610"/>
        <item m="1" x="1726"/>
        <item m="1" x="1728"/>
        <item m="1" x="1735"/>
        <item m="1" x="1744"/>
        <item m="1" x="1755"/>
        <item m="1" x="1769"/>
        <item m="1" x="1783"/>
        <item m="1" x="1797"/>
        <item m="1" x="1809"/>
        <item m="1" x="1820"/>
        <item m="1" x="2203"/>
        <item m="1" x="2208"/>
        <item m="1" x="2215"/>
        <item m="1" x="2220"/>
        <item m="1" x="2228"/>
        <item m="1" x="2236"/>
        <item m="1" x="2247"/>
        <item m="1" x="2260"/>
        <item m="1" x="2271"/>
        <item m="1" x="1729"/>
        <item m="1" x="1736"/>
        <item m="1" x="1745"/>
        <item m="1" x="1756"/>
        <item m="1" x="1770"/>
        <item m="1" x="1784"/>
        <item m="1" x="1317"/>
        <item m="1" x="1334"/>
        <item m="1" x="1343"/>
        <item m="1" x="1350"/>
        <item m="1" x="1356"/>
        <item m="1" x="1362"/>
        <item m="1" x="1367"/>
        <item m="1" x="1375"/>
        <item m="1" x="474"/>
        <item m="1" x="476"/>
        <item m="1" x="482"/>
        <item m="1" x="486"/>
        <item m="1" x="500"/>
        <item m="1" x="505"/>
        <item m="1" x="514"/>
        <item m="1" x="525"/>
        <item m="1" x="7383"/>
        <item m="1" x="7389"/>
        <item m="1" x="7397"/>
        <item m="1" x="7427"/>
        <item m="1" x="6582"/>
        <item m="1" x="6584"/>
        <item m="1" x="873"/>
        <item m="1" x="477"/>
        <item m="1" x="5006"/>
        <item m="1" x="5010"/>
        <item m="1" x="5011"/>
        <item m="1" x="5012"/>
        <item m="1" x="5014"/>
        <item m="1" x="5018"/>
        <item m="1" x="5019"/>
        <item m="1" x="4398"/>
        <item m="1" x="4403"/>
        <item m="1" x="4409"/>
        <item m="1" x="4417"/>
        <item m="1" x="4425"/>
        <item m="1" x="4430"/>
        <item m="1" x="4435"/>
        <item m="1" x="4439"/>
        <item m="1" x="4443"/>
        <item m="1" x="3863"/>
        <item m="1" x="3867"/>
        <item m="1" x="3869"/>
        <item m="1" x="3873"/>
        <item m="1" x="3877"/>
        <item m="1" x="3881"/>
        <item m="1" x="3884"/>
        <item m="1" x="3888"/>
        <item m="1" x="3894"/>
        <item m="1" x="3274"/>
        <item m="1" x="3276"/>
        <item m="1" x="3282"/>
        <item m="1" x="3288"/>
        <item m="1" x="3293"/>
        <item m="1" x="3299"/>
        <item m="1" x="3306"/>
        <item m="1" x="3314"/>
        <item m="1" x="3318"/>
        <item m="1" x="2655"/>
        <item m="1" x="2659"/>
        <item m="1" x="2663"/>
        <item m="1" x="2666"/>
        <item m="1" x="2669"/>
        <item m="1" x="2675"/>
        <item m="1" x="2683"/>
        <item m="1" x="2689"/>
        <item m="1" x="2693"/>
        <item m="1" x="2699"/>
        <item m="1" x="1874"/>
        <item m="1" x="1877"/>
        <item m="1" x="1882"/>
        <item m="1" x="1890"/>
        <item m="1" x="1896"/>
        <item m="1" x="1904"/>
        <item m="1" x="1914"/>
        <item m="1" x="1925"/>
        <item m="1" x="1935"/>
        <item m="1" x="1942"/>
        <item m="1" x="994"/>
        <item m="1" x="999"/>
        <item m="1" x="1007"/>
        <item m="1" x="1012"/>
        <item m="1" x="1017"/>
        <item m="1" x="1023"/>
        <item m="1" x="1027"/>
        <item m="1" x="1034"/>
        <item m="1" x="1042"/>
        <item m="1" x="1050"/>
        <item m="1" x="150"/>
        <item m="1" x="156"/>
        <item m="1" x="162"/>
        <item m="1" x="4678"/>
        <item m="1" x="4683"/>
        <item m="1" x="4685"/>
        <item m="1" x="4689"/>
        <item m="1" x="4695"/>
        <item m="1" x="4701"/>
        <item m="1" x="4709"/>
        <item m="1" x="4719"/>
        <item m="1" x="4113"/>
        <item m="1" x="4118"/>
        <item m="1" x="4124"/>
        <item m="1" x="4129"/>
        <item m="1" x="4131"/>
        <item m="1" x="4134"/>
        <item m="1" x="4141"/>
        <item m="1" x="4146"/>
        <item m="1" x="4148"/>
        <item m="1" x="4151"/>
        <item m="1" x="3546"/>
        <item m="1" x="3552"/>
        <item m="1" x="3554"/>
        <item m="1" x="3558"/>
        <item m="1" x="3561"/>
        <item m="1" x="3566"/>
        <item m="1" x="3570"/>
        <item m="1" x="3573"/>
        <item m="1" x="3579"/>
        <item m="1" x="3586"/>
        <item m="1" x="2978"/>
        <item m="1" x="2984"/>
        <item m="1" x="2990"/>
        <item m="1" x="2997"/>
        <item m="1" x="3003"/>
        <item m="1" x="3006"/>
        <item m="1" x="3009"/>
        <item m="1" x="3012"/>
        <item m="1" x="3017"/>
        <item m="1" x="4404"/>
        <item m="1" x="4410"/>
        <item m="1" x="4418"/>
        <item m="1" x="4426"/>
        <item m="1" x="4431"/>
        <item m="1" x="4436"/>
        <item m="1" x="4119"/>
        <item m="1" x="3864"/>
        <item m="1" x="3868"/>
        <item m="1" x="3870"/>
        <item m="1" x="3874"/>
        <item m="1" x="3878"/>
        <item m="1" x="3882"/>
        <item m="1" x="3885"/>
        <item m="1" x="3889"/>
        <item m="1" x="3895"/>
        <item m="1" x="3275"/>
        <item m="1" x="3553"/>
        <item m="1" x="3555"/>
        <item m="1" x="3562"/>
        <item m="1" x="3277"/>
        <item m="1" x="3284"/>
        <item m="1" x="3289"/>
        <item m="1" x="3294"/>
        <item m="1" x="2670"/>
        <item m="1" x="2676"/>
        <item m="1" x="2684"/>
        <item m="1" x="2991"/>
        <item m="1" x="2998"/>
        <item m="1" x="2664"/>
        <item m="1" x="2667"/>
        <item m="1" x="2671"/>
        <item m="1" x="2677"/>
        <item m="1" x="2685"/>
        <item m="1" x="2700"/>
        <item m="1" x="1878"/>
        <item m="1" x="1883"/>
        <item m="1" x="1943"/>
        <item m="1" x="1000"/>
        <item m="1" x="1008"/>
        <item m="1" x="1013"/>
        <item m="1" x="1018"/>
        <item m="1" x="157"/>
        <item m="1" x="163"/>
        <item m="1" x="203"/>
        <item m="1" x="7022"/>
        <item m="1" x="7028"/>
        <item m="1" x="7035"/>
        <item m="1" x="7041"/>
        <item m="1" x="7049"/>
        <item m="1" x="7055"/>
        <item m="1" x="7060"/>
        <item m="1" x="7072"/>
        <item m="1" x="7078"/>
        <item m="1" x="6355"/>
        <item m="1" x="2325"/>
        <item m="1" x="2329"/>
        <item m="1" x="2331"/>
        <item m="1" x="2334"/>
        <item m="1" x="2336"/>
        <item m="1" x="2338"/>
        <item m="1" x="2343"/>
        <item m="1" x="2349"/>
        <item m="1" x="2356"/>
        <item m="1" x="1407"/>
        <item m="1" x="1411"/>
        <item m="1" x="1416"/>
        <item m="1" x="1427"/>
        <item m="1" x="1434"/>
        <item m="1" x="1443"/>
        <item m="1" x="1456"/>
        <item m="1" x="1463"/>
        <item m="1" x="571"/>
        <item m="1" x="572"/>
        <item m="1" x="575"/>
        <item m="1" x="579"/>
        <item m="1" x="583"/>
        <item m="1" x="588"/>
        <item m="1" x="593"/>
        <item m="1" x="6209"/>
        <item m="1" x="5857"/>
        <item m="1" x="5861"/>
        <item m="1" x="5876"/>
        <item m="1" x="5879"/>
        <item m="1" x="5619"/>
        <item m="1" x="5064"/>
        <item m="1" x="5069"/>
        <item m="1" x="5073"/>
        <item m="1" x="5075"/>
        <item m="1" x="5083"/>
        <item m="1" x="5085"/>
        <item m="1" x="4465"/>
        <item m="1" x="4469"/>
        <item m="1" x="4481"/>
        <item m="1" x="4494"/>
        <item m="1" x="4501"/>
        <item m="1" x="4512"/>
        <item m="1" x="3929"/>
        <item m="1" x="3937"/>
        <item m="1" x="3954"/>
        <item m="1" x="3959"/>
        <item m="1" x="3342"/>
        <item m="1" x="3351"/>
        <item m="1" x="3360"/>
        <item m="1" x="3375"/>
        <item m="1" x="3381"/>
        <item m="1" x="2743"/>
        <item m="1" x="2749"/>
        <item m="1" x="2755"/>
        <item m="1" x="2761"/>
        <item m="1" x="2772"/>
        <item m="1" x="2783"/>
        <item m="1" x="2789"/>
        <item m="1" x="1968"/>
        <item m="1" x="1972"/>
        <item m="1" x="1985"/>
        <item m="1" x="2000"/>
        <item m="1" x="2049"/>
        <item m="1" x="1074"/>
        <item m="1" x="1079"/>
        <item m="1" x="1086"/>
        <item m="1" x="1118"/>
        <item m="1" x="1127"/>
        <item m="1" x="229"/>
        <item m="1" x="235"/>
        <item m="1" x="244"/>
        <item m="1" x="250"/>
        <item m="1" x="258"/>
        <item m="1" x="272"/>
        <item m="1" x="286"/>
        <item m="1" x="295"/>
        <item m="1" x="7113"/>
        <item m="1" x="7118"/>
        <item m="1" x="7125"/>
        <item m="1" x="7131"/>
        <item m="1" x="7133"/>
        <item m="1" x="7145"/>
        <item m="1" x="7153"/>
        <item m="1" x="7170"/>
        <item m="1" x="6408"/>
        <item m="1" x="6416"/>
        <item m="1" x="6419"/>
        <item m="1" x="6421"/>
        <item m="1" x="6423"/>
        <item m="1" x="6427"/>
        <item m="1" x="6433"/>
        <item m="1" x="6440"/>
        <item m="1" x="6449"/>
        <item m="1" x="112"/>
        <item m="1" x="119"/>
        <item m="1" x="130"/>
        <item m="1" x="136"/>
        <item m="1" x="147"/>
        <item m="1" x="152"/>
        <item m="1" x="158"/>
        <item m="1" x="164"/>
        <item m="1" x="167"/>
        <item m="1" x="173"/>
        <item m="1" x="6992"/>
        <item m="1" x="6997"/>
        <item m="1" x="7004"/>
        <item m="1" x="7012"/>
        <item m="1" x="7020"/>
        <item m="1" x="7024"/>
        <item m="1" x="7030"/>
        <item m="1" x="7036"/>
        <item m="1" x="7043"/>
        <item m="1" x="7051"/>
        <item m="1" x="6336"/>
        <item m="1" x="6342"/>
        <item m="1" x="4757"/>
        <item m="1" x="4761"/>
        <item m="1" x="4770"/>
        <item m="1" x="4773"/>
        <item m="1" x="4189"/>
        <item m="1" x="4198"/>
        <item m="1" x="4206"/>
        <item m="1" x="4214"/>
        <item m="1" x="4216"/>
        <item m="1" x="4217"/>
        <item m="1" x="4219"/>
        <item m="1" x="4222"/>
        <item m="1" x="3630"/>
        <item m="1" x="3635"/>
        <item m="1" x="3643"/>
        <item m="1" x="3647"/>
        <item m="1" x="3651"/>
        <item m="1" x="3655"/>
        <item m="1" x="3933"/>
        <item m="1" x="3938"/>
        <item m="1" x="3940"/>
        <item m="1" x="3952"/>
        <item m="1" x="3382"/>
        <item m="1" x="3387"/>
        <item m="1" x="2737"/>
        <item m="1" x="2744"/>
        <item m="1" x="2750"/>
        <item m="1" x="2756"/>
        <item m="1" x="2762"/>
        <item m="1" x="2766"/>
        <item m="1" x="2778"/>
        <item m="1" x="2784"/>
        <item m="1" x="2790"/>
        <item m="1" x="1973"/>
        <item m="1" x="1980"/>
        <item m="1" x="1986"/>
        <item m="1" x="1994"/>
        <item m="1" x="2009"/>
        <item m="1" x="1087"/>
        <item m="1" x="1092"/>
        <item m="1" x="3636"/>
        <item m="1" x="3648"/>
        <item m="1" x="3652"/>
        <item m="1" x="1406"/>
        <item m="1" x="1408"/>
        <item m="1" x="990"/>
        <item m="1" x="1009"/>
        <item m="1" x="570"/>
        <item m="1" x="148"/>
        <item m="1" x="153"/>
        <item m="1" x="159"/>
        <item m="1" x="168"/>
        <item m="1" x="174"/>
        <item m="1" x="181"/>
        <item m="1" x="7025"/>
        <item m="1" x="7031"/>
        <item m="1" x="7037"/>
        <item m="1" x="7044"/>
        <item m="1" x="7052"/>
        <item m="1" x="7056"/>
        <item m="1" x="7062"/>
        <item m="1" x="6679"/>
        <item m="1" x="6682"/>
        <item m="1" x="6684"/>
        <item m="1" x="6686"/>
        <item m="1" x="6689"/>
        <item m="1" x="6694"/>
        <item m="1" x="6702"/>
        <item m="1" x="6708"/>
        <item m="1" x="6717"/>
        <item m="1" x="6034"/>
        <item m="1" x="6041"/>
        <item m="1" x="6044"/>
        <item m="1" x="6048"/>
        <item m="1" x="6053"/>
        <item m="1" x="6065"/>
        <item m="1" x="6073"/>
        <item m="1" x="6089"/>
        <item m="1" x="5491"/>
        <item m="1" x="5502"/>
        <item m="1" x="5505"/>
        <item m="1" x="5509"/>
        <item m="1" x="5515"/>
        <item m="1" x="5522"/>
        <item m="1" x="5527"/>
        <item m="1" x="5533"/>
        <item m="1" x="5537"/>
        <item m="1" x="5543"/>
        <item m="1" x="4936"/>
        <item m="1" x="4944"/>
        <item m="1" x="4946"/>
        <item m="1" x="6352"/>
        <item m="1" x="6042"/>
        <item m="1" x="6045"/>
        <item m="1" x="6049"/>
        <item m="1" x="6057"/>
        <item m="1" x="6066"/>
        <item m="1" x="6074"/>
        <item m="1" x="6080"/>
        <item m="1" x="6090"/>
        <item m="1" x="5492"/>
        <item m="1" x="5503"/>
        <item m="1" x="5506"/>
        <item m="1" x="5510"/>
        <item m="1" x="5516"/>
        <item m="1" x="5523"/>
        <item m="1" x="5528"/>
        <item m="1" x="5534"/>
        <item m="1" x="5538"/>
        <item m="1" x="5544"/>
        <item m="1" x="5739"/>
        <item m="1" x="5742"/>
        <item m="1" x="5746"/>
        <item m="1" x="5753"/>
        <item m="1" x="5769"/>
        <item m="1" x="3041"/>
        <item m="1" x="3046"/>
        <item m="1" x="3051"/>
        <item m="1" x="3058"/>
        <item m="1" x="3065"/>
        <item m="1" x="3072"/>
        <item m="1" x="3079"/>
        <item m="1" x="3084"/>
        <item m="1" x="3089"/>
        <item m="1" x="2393"/>
        <item m="1" x="2398"/>
        <item m="1" x="2402"/>
        <item m="1" x="2405"/>
        <item m="1" x="2408"/>
        <item m="1" x="2409"/>
        <item m="1" x="2410"/>
        <item m="1" x="2415"/>
        <item m="1" x="2418"/>
        <item m="1" x="2423"/>
        <item m="1" x="1490"/>
        <item m="1" x="1494"/>
        <item m="1" x="1497"/>
        <item m="1" x="1500"/>
        <item m="1" x="1503"/>
        <item m="1" x="1507"/>
        <item m="1" x="1515"/>
        <item m="1" x="1526"/>
        <item m="1" x="1540"/>
        <item m="1" x="1554"/>
        <item m="1" x="651"/>
        <item m="1" x="655"/>
        <item m="1" x="658"/>
        <item m="1" x="663"/>
        <item m="1" x="664"/>
        <item m="1" x="668"/>
        <item m="1" x="2731"/>
        <item m="1" x="2739"/>
        <item m="1" x="2752"/>
        <item m="1" x="2757"/>
        <item m="1" x="2763"/>
        <item m="1" x="2769"/>
        <item m="1" x="2775"/>
        <item m="1" x="1963"/>
        <item m="1" x="1974"/>
        <item m="1" x="1982"/>
        <item m="1" x="2399"/>
        <item m="1" x="2403"/>
        <item m="1" x="1964"/>
        <item m="1" x="1975"/>
        <item m="1" x="1983"/>
        <item m="1" x="1988"/>
        <item m="1" x="1995"/>
        <item m="1" x="2003"/>
        <item m="1" x="2013"/>
        <item m="1" x="2025"/>
        <item m="1" x="1065"/>
        <item m="1" x="1069"/>
        <item m="1" x="1495"/>
        <item m="1" x="1498"/>
        <item m="1" x="1501"/>
        <item m="1" x="1504"/>
        <item m="1" x="1508"/>
        <item m="1" x="1516"/>
        <item m="1" x="1527"/>
        <item m="1" x="1541"/>
        <item m="1" x="1555"/>
        <item m="1" x="652"/>
        <item m="1" x="656"/>
        <item m="1" x="659"/>
        <item m="1" x="660"/>
        <item m="1" x="1070"/>
        <item m="1" x="1075"/>
        <item m="1" x="1080"/>
        <item m="1" x="1089"/>
        <item m="1" x="1093"/>
        <item m="1" x="1096"/>
        <item m="1" x="1101"/>
        <item m="1" x="1108"/>
        <item m="1" x="1121"/>
        <item m="1" x="222"/>
        <item m="1" x="224"/>
        <item m="1" x="227"/>
        <item m="1" x="230"/>
        <item m="1" x="236"/>
        <item m="1" x="241"/>
        <item m="1" x="245"/>
        <item m="1" x="225"/>
        <item m="1" x="228"/>
        <item m="1" x="231"/>
        <item m="1" x="237"/>
        <item m="1" x="7553"/>
        <item m="1" x="7555"/>
        <item m="1" x="7559"/>
        <item m="1" x="7565"/>
        <item m="1" x="7571"/>
        <item m="1" x="7109"/>
        <item m="1" x="7115"/>
        <item m="1" x="7120"/>
        <item m="1" x="7140"/>
        <item m="1" x="7147"/>
        <item m="1" x="7155"/>
        <item m="1" x="6401"/>
        <item m="1" x="6404"/>
        <item m="1" x="6409"/>
        <item m="1" x="6413"/>
        <item m="1" x="4251"/>
        <item m="1" x="4258"/>
        <item m="1" x="3989"/>
        <item m="1" x="3993"/>
        <item m="1" x="4002"/>
        <item m="1" x="4005"/>
        <item m="1" x="4008"/>
        <item m="1" x="4009"/>
        <item m="1" x="4012"/>
        <item m="1" x="4017"/>
        <item m="1" x="3402"/>
        <item m="1" x="3407"/>
        <item m="1" x="3414"/>
        <item m="1" x="3419"/>
        <item m="1" x="3422"/>
        <item m="1" x="3427"/>
        <item m="1" x="3432"/>
        <item m="1" x="3444"/>
        <item m="1" x="2826"/>
        <item m="1" x="2833"/>
        <item m="1" x="2844"/>
        <item m="1" x="2859"/>
        <item m="1" x="3708"/>
        <item m="1" x="3711"/>
        <item m="1" x="3408"/>
        <item m="1" x="3410"/>
        <item m="1" x="3415"/>
        <item m="1" x="3420"/>
        <item m="1" x="3423"/>
        <item m="1" x="3428"/>
        <item m="1" x="3433"/>
        <item m="1" x="3439"/>
        <item m="1" x="3445"/>
        <item m="1" x="2810"/>
        <item m="1" x="2815"/>
        <item m="1" x="2821"/>
        <item m="1" x="2834"/>
        <item m="1" x="2845"/>
        <item m="1" x="2848"/>
        <item m="1" x="2853"/>
        <item m="1" x="3124"/>
        <item m="1" x="3129"/>
        <item m="1" x="3134"/>
        <item m="1" x="3138"/>
        <item m="1" x="3144"/>
        <item m="1" x="3147"/>
        <item m="1" x="3152"/>
        <item m="1" x="3157"/>
        <item m="1" x="3161"/>
        <item m="1" x="2486"/>
        <item m="1" x="2499"/>
        <item m="1" x="2504"/>
        <item m="1" x="2816"/>
        <item m="1" x="2827"/>
        <item m="1" x="2835"/>
        <item m="1" x="2839"/>
        <item m="1" x="2493"/>
        <item m="1" x="2074"/>
        <item m="1" x="2075"/>
        <item m="1" x="2079"/>
        <item m="1" x="2082"/>
        <item m="1" x="2085"/>
        <item m="1" x="2088"/>
        <item m="1" x="2095"/>
        <item m="1" x="2107"/>
        <item m="1" x="2121"/>
        <item m="1" x="1161"/>
        <item m="1" x="1169"/>
        <item m="1" x="1598"/>
        <item m="1" x="1170"/>
        <item m="1" x="1176"/>
        <item m="1" x="1183"/>
        <item m="1" x="5457"/>
        <item m="1" x="5465"/>
        <item m="1" x="5175"/>
        <item m="1" x="5183"/>
        <item m="1" x="5190"/>
        <item m="1" x="5193"/>
        <item m="1" x="5199"/>
        <item m="1" x="5203"/>
        <item m="1" x="5204"/>
        <item m="1" x="5207"/>
        <item m="1" x="4925"/>
        <item m="1" x="4932"/>
        <item m="1" x="4597"/>
        <item m="1" x="4602"/>
        <item m="1" x="4605"/>
        <item m="1" x="4612"/>
        <item m="1" x="4616"/>
        <item m="1" x="4620"/>
        <item m="1" x="4626"/>
        <item m="1" x="4632"/>
        <item m="1" x="4640"/>
        <item m="1" x="4038"/>
        <item m="1" x="4043"/>
        <item m="1" x="4050"/>
        <item m="1" x="4055"/>
        <item m="1" x="4060"/>
        <item m="1" x="4065"/>
        <item m="1" x="4069"/>
        <item m="1" x="4071"/>
        <item m="1" x="4075"/>
        <item m="1" x="4082"/>
        <item m="1" x="3472"/>
        <item m="1" x="3476"/>
        <item m="1" x="3481"/>
        <item m="1" x="3486"/>
        <item m="1" x="3489"/>
        <item m="1" x="3492"/>
        <item m="1" x="3497"/>
        <item m="1" x="3500"/>
        <item m="1" x="3502"/>
        <item m="1" x="3507"/>
        <item m="1" x="2895"/>
        <item m="1" x="2908"/>
        <item m="1" x="2913"/>
        <item m="1" x="2921"/>
        <item m="1" x="2926"/>
        <item m="1" x="2930"/>
        <item m="1" x="2932"/>
        <item m="1" x="2937"/>
        <item m="1" x="2944"/>
        <item m="1" x="2183"/>
        <item m="1" x="2192"/>
        <item m="1" x="2197"/>
        <item m="1" x="2206"/>
        <item m="1" x="2213"/>
        <item m="1" x="2219"/>
        <item m="1" x="2224"/>
        <item m="1" x="2231"/>
        <item m="1" x="2242"/>
        <item m="1" x="1289"/>
        <item m="1" x="1296"/>
        <item m="1" x="1307"/>
        <item m="1" x="1314"/>
        <item m="1" x="1323"/>
        <item m="1" x="1332"/>
        <item m="1" x="1341"/>
        <item m="1" x="1347"/>
        <item m="1" x="1354"/>
        <item m="1" x="1360"/>
        <item m="1" x="455"/>
        <item m="1" x="464"/>
        <item m="1" x="473"/>
        <item m="1" x="4051"/>
        <item m="1" x="3779"/>
        <item m="1" x="3783"/>
        <item m="1" x="3477"/>
        <item m="1" x="3482"/>
        <item m="1" x="3487"/>
        <item m="1" x="3493"/>
        <item m="1" x="3498"/>
        <item m="1" x="3182"/>
        <item m="1" x="3185"/>
        <item m="1" x="3192"/>
        <item m="1" x="3199"/>
        <item m="1" x="3205"/>
        <item m="1" x="3211"/>
        <item m="1" x="2902"/>
        <item m="1" x="2909"/>
        <item m="1" x="2914"/>
        <item m="1" x="2931"/>
        <item m="1" x="2933"/>
        <item m="1" x="6733"/>
        <item m="1" x="6740"/>
        <item m="1" x="6744"/>
        <item m="1" x="6750"/>
        <item m="1" x="6752"/>
        <item m="1" x="6759"/>
        <item m="1" x="6100"/>
        <item m="1" x="6104"/>
        <item m="1" x="6384"/>
        <item m="1" x="6390"/>
        <item m="1" x="6399"/>
        <item m="1" x="6402"/>
        <item m="1" x="6405"/>
        <item m="1" x="6410"/>
        <item m="1" x="6414"/>
        <item m="1" x="6418"/>
        <item m="1" x="5780"/>
        <item m="1" x="5783"/>
        <item m="1" x="5789"/>
        <item m="1" x="5799"/>
        <item m="1" x="5806"/>
        <item m="1" x="5812"/>
        <item m="1" x="5224"/>
        <item m="1" x="5229"/>
        <item m="1" x="6105"/>
        <item m="1" x="6107"/>
        <item m="1" x="6109"/>
        <item m="1" x="6113"/>
        <item m="1" x="6117"/>
        <item m="1" x="6120"/>
        <item m="1" x="6122"/>
        <item m="1" x="5781"/>
        <item m="1" x="5784"/>
        <item m="1" x="5788"/>
        <item m="1" x="5790"/>
        <item m="1" x="5792"/>
        <item m="1" x="5795"/>
        <item m="1" x="5800"/>
        <item m="1" x="5807"/>
        <item m="1" x="5813"/>
        <item m="1" x="5225"/>
        <item m="1" x="5230"/>
        <item m="1" x="5243"/>
        <item m="1" x="5248"/>
        <item m="1" x="5250"/>
        <item m="1" x="5253"/>
        <item m="1" x="5255"/>
        <item m="1" x="5258"/>
        <item m="1" x="5263"/>
        <item m="1" x="4671"/>
        <item m="1" x="5244"/>
        <item m="1" x="5249"/>
        <item m="1" x="5251"/>
        <item m="1" x="5254"/>
        <item m="1" x="5003"/>
        <item m="1" x="4674"/>
        <item m="1" x="4677"/>
        <item m="1" x="4393"/>
        <item m="1" x="4395"/>
        <item m="1" x="4396"/>
        <item m="1" x="4106"/>
        <item m="1" x="4111"/>
        <item m="1" x="4115"/>
        <item m="1" x="4122"/>
        <item m="1" x="4127"/>
        <item m="1" x="4137"/>
        <item m="1" x="4144"/>
        <item m="1" x="3540"/>
        <item m="1" x="3545"/>
        <item m="1" x="3549"/>
        <item m="1" x="3559"/>
        <item m="1" x="3564"/>
        <item m="1" x="3568"/>
        <item m="1" x="2965"/>
        <item m="1" x="2970"/>
        <item m="1" x="715"/>
        <item m="1" x="723"/>
        <item m="1" x="734"/>
        <item m="1" x="745"/>
        <item m="1" x="749"/>
        <item m="1" x="753"/>
        <item m="1" x="757"/>
        <item m="1" x="7627"/>
        <item m="1" x="7638"/>
        <item m="1" x="7646"/>
        <item m="1" x="7660"/>
        <item m="1" x="7673"/>
        <item m="1" x="7680"/>
        <item m="1" x="7686"/>
        <item m="1" x="7688"/>
        <item m="1" x="7695"/>
        <item m="1" x="7701"/>
        <item m="1" x="6799"/>
        <item m="1" x="7661"/>
        <item m="1" x="7674"/>
        <item m="1" x="7681"/>
        <item m="1" x="7689"/>
        <item m="1" x="7696"/>
        <item m="1" x="7702"/>
        <item m="1" x="6807"/>
        <item m="1" x="6812"/>
        <item m="1" x="6823"/>
        <item m="1" x="6844"/>
        <item m="1" x="6177"/>
        <item m="1" x="6188"/>
        <item m="1" x="6200"/>
        <item m="1" x="6216"/>
        <item m="1" x="6223"/>
        <item m="1" x="6229"/>
        <item m="1" x="6240"/>
        <item m="1" x="5638"/>
        <item m="1" x="5651"/>
        <item m="1" x="5054"/>
        <item m="1" x="5059"/>
        <item m="1" x="7174"/>
        <item m="1" x="7206"/>
        <item m="1" x="7211"/>
        <item m="1" x="7218"/>
        <item m="1" x="6189"/>
        <item m="1" x="6201"/>
        <item m="1" x="6208"/>
        <item m="1" x="5845"/>
        <item m="1" x="5851"/>
        <item m="1" x="5856"/>
        <item m="1" x="5860"/>
        <item m="1" x="5868"/>
        <item m="1" x="5874"/>
        <item m="1" x="5877"/>
        <item m="1" x="5882"/>
        <item m="1" x="5890"/>
        <item m="1" x="5289"/>
        <item m="1" x="5605"/>
        <item m="1" x="5611"/>
        <item m="1" x="5618"/>
        <item m="1" x="5300"/>
        <item m="1" x="5307"/>
        <item m="1" x="2527"/>
        <item m="1" x="2534"/>
        <item m="1" x="2542"/>
        <item m="1" x="2551"/>
        <item m="1" x="2556"/>
        <item m="1" x="2560"/>
        <item m="1" x="2151"/>
        <item m="1" x="2163"/>
        <item m="1" x="2171"/>
        <item m="1" x="2178"/>
        <item m="1" x="2187"/>
        <item m="1" x="2200"/>
        <item m="1" x="1688"/>
        <item m="1" x="1695"/>
        <item m="1" x="1254"/>
        <item m="1" x="1265"/>
        <item m="1" x="1276"/>
        <item m="1" x="1285"/>
        <item m="1" x="829"/>
        <item m="1" x="840"/>
        <item m="1" x="425"/>
        <item m="1" x="439"/>
        <item m="1" x="451"/>
        <item m="1" x="7768"/>
        <item m="1" x="7778"/>
        <item m="1" x="6"/>
        <item m="1" x="13"/>
        <item m="1" x="19"/>
        <item m="1" x="22"/>
        <item m="1" x="27"/>
        <item m="1" x="29"/>
        <item m="1" x="36"/>
        <item m="1" x="6893"/>
        <item m="1" x="6900"/>
        <item m="1" x="6911"/>
        <item m="1" x="6918"/>
        <item m="1" x="6937"/>
        <item m="1" x="6941"/>
        <item m="1" x="6273"/>
        <item m="1" x="6280"/>
        <item m="1" x="6284"/>
        <item m="1" x="6286"/>
        <item m="1" x="6901"/>
        <item m="1" x="6542"/>
        <item m="1" x="6559"/>
        <item m="1" x="6569"/>
        <item m="1" x="6575"/>
        <item m="1" x="6580"/>
        <item m="1" x="6583"/>
        <item m="1" x="6585"/>
        <item m="1" x="6590"/>
        <item m="1" x="5931"/>
        <item m="1" x="5937"/>
        <item m="1" x="5942"/>
        <item m="1" x="5945"/>
        <item m="1" x="5949"/>
        <item m="1" x="5952"/>
        <item m="1" x="5956"/>
        <item m="1" x="5356"/>
        <item m="1" x="5363"/>
        <item m="1" x="5367"/>
        <item m="1" x="5377"/>
        <item m="1" x="5385"/>
        <item m="1" x="5391"/>
        <item m="1" x="5393"/>
        <item m="1" x="5394"/>
        <item m="1" x="5398"/>
        <item m="1" x="4822"/>
        <item m="1" x="4830"/>
        <item m="1" x="4833"/>
        <item m="1" x="4853"/>
        <item m="1" x="4236"/>
        <item m="1" x="4241"/>
        <item m="1" x="4245"/>
        <item m="1" x="4262"/>
        <item m="1" x="4269"/>
        <item m="1" x="4274"/>
        <item m="1" x="4280"/>
        <item m="1" x="4283"/>
        <item m="1" x="3698"/>
        <item m="1" x="3704"/>
        <item m="1" x="3710"/>
        <item m="1" x="3822"/>
        <item m="1" x="3829"/>
        <item m="1" x="3520"/>
        <item m="1" x="3526"/>
        <item m="1" x="3531"/>
        <item m="1" x="3533"/>
        <item m="1" x="3537"/>
        <item m="1" x="3543"/>
        <item m="1" x="3248"/>
        <item m="1" x="2956"/>
        <item m="1" x="2979"/>
        <item m="1" x="2985"/>
        <item m="1" x="2992"/>
        <item m="1" x="2261"/>
        <item m="1" x="2272"/>
        <item m="1" x="2285"/>
        <item m="1" x="2619"/>
        <item m="1" x="2656"/>
        <item m="1" x="2660"/>
        <item m="1" x="2665"/>
        <item m="1" x="1810"/>
        <item m="1" x="2273"/>
        <item m="1" x="2301"/>
        <item m="1" x="2307"/>
        <item m="1" x="2315"/>
        <item m="1" x="2319"/>
        <item m="1" x="2326"/>
        <item m="1" x="2330"/>
        <item m="1" x="1368"/>
        <item m="1" x="1821"/>
        <item m="1" x="1833"/>
        <item m="1" x="1854"/>
        <item m="1" x="1862"/>
        <item m="1" x="1875"/>
        <item m="1" x="1884"/>
        <item m="1" x="945"/>
        <item m="1" x="956"/>
        <item m="1" x="966"/>
        <item m="1" x="977"/>
        <item m="1" x="1387"/>
        <item m="1" x="1404"/>
        <item m="1" x="935"/>
        <item m="1" x="946"/>
        <item m="1" x="957"/>
        <item m="1" x="967"/>
        <item m="1" x="526"/>
        <item m="1" x="5028"/>
        <item m="1" x="5033"/>
        <item m="1" x="5070"/>
        <item m="1" x="4440"/>
        <item m="1" x="4444"/>
        <item m="1" x="4449"/>
        <item m="1" x="4452"/>
        <item m="1" x="4460"/>
        <item m="1" x="4463"/>
        <item m="1" x="4470"/>
        <item m="1" x="4476"/>
        <item m="1" x="3890"/>
        <item m="1" x="3901"/>
        <item m="1" x="4720"/>
        <item m="1" x="4729"/>
        <item m="1" x="4734"/>
        <item m="1" x="4740"/>
        <item m="1" x="4747"/>
        <item m="1" x="4750"/>
        <item m="1" x="4753"/>
        <item m="1" x="4758"/>
        <item m="1" x="4762"/>
        <item m="1" x="4149"/>
        <item m="1" x="4152"/>
        <item m="1" x="4159"/>
        <item m="1" x="4164"/>
        <item m="1" x="4169"/>
        <item m="1" x="4174"/>
        <item m="1" x="4179"/>
        <item m="1" x="4184"/>
        <item m="1" x="4190"/>
        <item m="1" x="4199"/>
        <item m="1" x="3580"/>
        <item m="1" x="3587"/>
        <item m="1" x="4445"/>
        <item m="1" x="4160"/>
        <item m="1" x="4165"/>
        <item m="1" x="3896"/>
        <item m="1" x="3902"/>
        <item m="1" x="3595"/>
        <item m="1" x="3603"/>
        <item m="1" x="3611"/>
        <item m="1" x="3616"/>
        <item m="1" x="3625"/>
        <item m="1" x="3631"/>
        <item m="1" x="3319"/>
        <item m="1" x="3322"/>
        <item m="1" x="3330"/>
        <item m="1" x="3334"/>
        <item m="1" x="3022"/>
        <item m="1" x="3025"/>
        <item m="1" x="3034"/>
        <item m="1" x="2702"/>
        <item m="1" x="2706"/>
        <item m="1" x="2714"/>
        <item m="1" x="2721"/>
        <item m="1" x="2729"/>
        <item m="1" x="2357"/>
        <item m="1" x="6244"/>
        <item m="1" x="6252"/>
        <item m="1" x="6257"/>
        <item m="1" x="6262"/>
        <item m="1" x="5902"/>
        <item m="1" x="5342"/>
        <item m="1" x="5345"/>
        <item m="1" x="5350"/>
        <item m="1" x="5352"/>
        <item m="1" x="5090"/>
        <item m="1" x="5096"/>
        <item m="1" x="5103"/>
        <item m="1" x="5111"/>
        <item m="1" x="5121"/>
        <item m="1" x="4790"/>
        <item m="1" x="4802"/>
        <item m="1" x="4811"/>
        <item m="1" x="4514"/>
        <item m="1" x="4526"/>
        <item m="1" x="3670"/>
        <item m="1" x="1452"/>
        <item m="1" x="1038"/>
        <item m="1" x="1044"/>
        <item m="1" x="607"/>
        <item m="1" x="615"/>
        <item m="1" x="7512"/>
        <item m="1" x="7520"/>
        <item m="1" x="7528"/>
        <item m="1" x="7534"/>
        <item m="1" x="7541"/>
        <item m="1" x="7546"/>
        <item m="1" x="7069"/>
        <item m="1" x="6718"/>
        <item m="1" x="6726"/>
        <item m="1" x="6371"/>
        <item m="1" x="6376"/>
        <item m="1" x="6382"/>
        <item m="1" x="6389"/>
        <item m="1" x="6098"/>
        <item m="1" x="5774"/>
        <item m="1" x="5778"/>
        <item m="1" x="5782"/>
        <item m="1" x="5787"/>
        <item m="1" x="3092"/>
        <item m="1" x="3101"/>
        <item m="1" x="3107"/>
        <item m="1" x="3112"/>
        <item m="1" x="3119"/>
        <item m="1" x="3125"/>
        <item m="1" x="3130"/>
        <item m="1" x="2419"/>
        <item m="1" x="2424"/>
        <item m="1" x="2433"/>
        <item m="1" x="2441"/>
        <item m="1" x="2782"/>
        <item m="1" x="2787"/>
        <item m="1" x="2792"/>
        <item m="1" x="2796"/>
        <item m="1" x="2425"/>
        <item m="1" x="2434"/>
        <item m="1" x="2026"/>
        <item m="1" x="1566"/>
        <item m="1" x="1122"/>
        <item m="1" x="1131"/>
        <item m="1" x="689"/>
        <item m="1" x="275"/>
        <item m="1" x="266"/>
        <item m="1" x="2976"/>
        <item m="1" x="2981"/>
        <item m="1" x="2988"/>
        <item m="1" x="3001"/>
        <item m="1" x="3004"/>
        <item m="1" x="3007"/>
        <item m="1" x="2646"/>
        <item m="1" x="2309"/>
        <item m="1" x="2317"/>
        <item m="1" x="2322"/>
        <item m="1" x="1865"/>
        <item m="1" x="1872"/>
        <item m="1" x="1876"/>
        <item m="1" x="1879"/>
        <item m="1" x="1887"/>
        <item m="1" x="1401"/>
        <item m="1" x="1410"/>
        <item m="1" x="1414"/>
        <item m="1" x="982"/>
        <item m="1" x="992"/>
        <item m="1" x="997"/>
        <item m="1" x="1004"/>
        <item m="1" x="564"/>
        <item m="1" x="139"/>
        <item m="1" x="149"/>
        <item m="1" x="155"/>
        <item m="1" x="165"/>
        <item m="1" x="171"/>
        <item m="1" x="177"/>
        <item m="1" x="185"/>
        <item m="1" x="193"/>
        <item m="1" x="7007"/>
        <item m="1" x="7468"/>
        <item m="1" x="7473"/>
        <item m="1" x="4177"/>
        <item m="1" x="3920"/>
        <item m="1" x="3932"/>
        <item m="1" x="3935"/>
        <item m="1" x="3951"/>
        <item m="1" x="3335"/>
        <item m="1" x="3349"/>
        <item m="1" x="3357"/>
        <item m="1" x="3365"/>
        <item m="1" x="3373"/>
        <item m="1" x="2717"/>
        <item m="1" x="2725"/>
        <item m="1" x="2733"/>
        <item m="1" x="2741"/>
        <item m="1" x="2747"/>
        <item m="1" x="2753"/>
        <item m="1" x="2758"/>
        <item m="1" x="2764"/>
        <item m="1" x="2770"/>
        <item m="1" x="2776"/>
        <item m="1" x="1957"/>
        <item m="1" x="3336"/>
        <item m="1" x="3339"/>
        <item m="1" x="3341"/>
        <item m="1" x="3345"/>
        <item m="1" x="3350"/>
        <item m="1" x="3353"/>
        <item m="1" x="3358"/>
        <item m="1" x="3366"/>
        <item m="1" x="3374"/>
        <item m="1" x="2718"/>
        <item m="1" x="2726"/>
        <item m="1" x="2734"/>
        <item m="1" x="2742"/>
        <item m="1" x="2748"/>
        <item m="1" x="2754"/>
        <item m="1" x="2759"/>
        <item m="1" x="2765"/>
        <item m="1" x="2771"/>
        <item m="1" x="2777"/>
        <item m="1" x="1958"/>
        <item m="1" x="1960"/>
        <item m="1" x="1966"/>
        <item m="1" x="1969"/>
        <item m="1" x="1976"/>
        <item m="1" x="1984"/>
        <item m="1" x="1991"/>
        <item m="1" x="3038"/>
        <item m="1" x="3042"/>
        <item m="1" x="3048"/>
        <item m="1" x="3054"/>
        <item m="1" x="2727"/>
        <item m="1" x="2735"/>
        <item m="1" x="2394"/>
        <item m="1" x="1961"/>
        <item m="1" x="1970"/>
        <item m="1" x="1491"/>
        <item m="1" x="1499"/>
        <item m="1" x="5662"/>
        <item m="1" x="5114"/>
        <item m="1" x="5123"/>
        <item m="1" x="5126"/>
        <item m="1" x="4242"/>
        <item m="1" x="4246"/>
        <item m="1" x="4254"/>
        <item m="1" x="3984"/>
        <item m="1" x="3701"/>
        <item m="1" x="3403"/>
        <item m="1" x="3120"/>
        <item m="1" x="3126"/>
        <item m="1" x="3131"/>
        <item m="1" x="6981"/>
        <item m="1" x="6988"/>
        <item m="1" x="2647"/>
        <item m="1" x="2078"/>
        <item m="1" x="2081"/>
        <item m="1" x="2102"/>
        <item m="1" x="2117"/>
        <item m="1" x="1174"/>
        <item m="1" x="1180"/>
        <item m="1" x="1198"/>
        <item m="1" x="1205"/>
        <item m="1" x="374"/>
        <item m="1" x="7192"/>
        <item m="1" x="7201"/>
        <item m="1" x="7208"/>
        <item m="1" x="7231"/>
        <item m="1" x="7269"/>
        <item m="1" x="6483"/>
        <item m="1" x="6489"/>
        <item m="1" x="6495"/>
        <item m="1" x="6502"/>
        <item m="1" x="6506"/>
        <item m="1" x="5863"/>
        <item m="1" x="5869"/>
        <item m="1" x="2310"/>
        <item m="1" x="2318"/>
        <item m="1" x="2323"/>
        <item m="1" x="6524"/>
        <item m="1" x="3133"/>
        <item m="1" x="3137"/>
        <item m="1" x="3227"/>
        <item m="1" x="3236"/>
        <item m="1" x="4499"/>
        <item m="1" x="3139"/>
        <item x="0"/>
        <item m="1" x="498"/>
        <item m="1" x="6753"/>
        <item m="1" x="3574"/>
        <item m="1" x="1014"/>
        <item m="1" x="2668"/>
        <item m="1" x="832"/>
        <item m="1" x="2599"/>
        <item m="1" x="4506"/>
        <item m="1" x="145"/>
        <item m="1" x="5586"/>
        <item m="1" x="1698"/>
        <item m="1" x="6130"/>
        <item m="1" x="6245"/>
        <item m="1" x="5227"/>
        <item m="1" x="5682"/>
        <item m="1" x="1047"/>
        <item m="1" x="3210"/>
        <item m="1" x="398"/>
        <item m="1" x="5387"/>
        <item m="1" x="7266"/>
        <item m="1" x="5309"/>
        <item m="1" x="5099"/>
        <item m="1" x="3802"/>
        <item m="1" x="5214"/>
        <item m="1" x="4599"/>
        <item m="1" x="3734"/>
        <item m="1" x="239"/>
        <item m="1" x="5871"/>
        <item m="1" x="6680"/>
        <item m="1" x="2695"/>
        <item m="1" x="4717"/>
        <item m="1" x="7335"/>
        <item t="default"/>
      </items>
    </pivotField>
    <pivotField dataField="1" showAll="0"/>
    <pivotField axis="axisRow" numFmtId="14" showAll="0" sortType="ascending">
      <items count="369">
        <item x="0"/>
        <item x="367"/>
        <item x="92"/>
        <item x="214"/>
        <item x="336"/>
        <item x="1"/>
        <item x="32"/>
        <item x="183"/>
        <item x="153"/>
        <item x="61"/>
        <item x="122"/>
        <item x="306"/>
        <item x="275"/>
        <item x="245"/>
        <item x="93"/>
        <item x="215"/>
        <item x="337"/>
        <item x="2"/>
        <item x="33"/>
        <item x="184"/>
        <item x="154"/>
        <item x="62"/>
        <item x="123"/>
        <item x="307"/>
        <item x="276"/>
        <item x="246"/>
        <item x="94"/>
        <item x="216"/>
        <item x="338"/>
        <item x="3"/>
        <item x="34"/>
        <item x="185"/>
        <item x="155"/>
        <item x="63"/>
        <item x="124"/>
        <item x="308"/>
        <item x="277"/>
        <item x="247"/>
        <item x="95"/>
        <item x="217"/>
        <item x="339"/>
        <item x="4"/>
        <item x="35"/>
        <item x="186"/>
        <item x="156"/>
        <item x="64"/>
        <item x="125"/>
        <item x="309"/>
        <item x="278"/>
        <item x="248"/>
        <item x="96"/>
        <item x="218"/>
        <item x="340"/>
        <item x="5"/>
        <item x="36"/>
        <item x="187"/>
        <item x="157"/>
        <item x="65"/>
        <item x="126"/>
        <item x="310"/>
        <item x="279"/>
        <item x="249"/>
        <item x="97"/>
        <item x="219"/>
        <item x="341"/>
        <item x="6"/>
        <item x="37"/>
        <item x="188"/>
        <item x="158"/>
        <item x="66"/>
        <item x="127"/>
        <item x="311"/>
        <item x="280"/>
        <item x="250"/>
        <item x="98"/>
        <item x="220"/>
        <item x="342"/>
        <item x="7"/>
        <item x="38"/>
        <item x="189"/>
        <item x="159"/>
        <item x="67"/>
        <item x="128"/>
        <item x="312"/>
        <item x="281"/>
        <item x="251"/>
        <item x="99"/>
        <item x="221"/>
        <item x="343"/>
        <item x="8"/>
        <item x="39"/>
        <item x="190"/>
        <item x="160"/>
        <item x="68"/>
        <item x="129"/>
        <item x="313"/>
        <item x="282"/>
        <item x="252"/>
        <item x="100"/>
        <item x="222"/>
        <item x="344"/>
        <item x="9"/>
        <item x="40"/>
        <item x="191"/>
        <item x="161"/>
        <item x="69"/>
        <item x="130"/>
        <item x="314"/>
        <item x="283"/>
        <item x="253"/>
        <item x="101"/>
        <item x="223"/>
        <item x="345"/>
        <item x="10"/>
        <item x="41"/>
        <item x="192"/>
        <item x="162"/>
        <item x="70"/>
        <item x="131"/>
        <item x="315"/>
        <item x="284"/>
        <item x="254"/>
        <item x="102"/>
        <item x="224"/>
        <item x="346"/>
        <item x="11"/>
        <item x="42"/>
        <item x="193"/>
        <item x="163"/>
        <item x="71"/>
        <item x="132"/>
        <item x="316"/>
        <item x="285"/>
        <item x="255"/>
        <item x="103"/>
        <item x="225"/>
        <item x="347"/>
        <item x="12"/>
        <item x="43"/>
        <item x="194"/>
        <item x="164"/>
        <item x="72"/>
        <item x="133"/>
        <item x="317"/>
        <item x="286"/>
        <item x="256"/>
        <item x="104"/>
        <item x="226"/>
        <item x="348"/>
        <item x="13"/>
        <item x="44"/>
        <item x="195"/>
        <item x="165"/>
        <item x="73"/>
        <item x="134"/>
        <item x="318"/>
        <item x="287"/>
        <item x="257"/>
        <item x="105"/>
        <item x="227"/>
        <item x="349"/>
        <item x="14"/>
        <item x="45"/>
        <item x="196"/>
        <item x="166"/>
        <item x="74"/>
        <item x="135"/>
        <item x="319"/>
        <item x="288"/>
        <item x="258"/>
        <item x="106"/>
        <item x="228"/>
        <item x="350"/>
        <item x="15"/>
        <item x="46"/>
        <item x="197"/>
        <item x="167"/>
        <item x="75"/>
        <item x="136"/>
        <item x="320"/>
        <item x="289"/>
        <item x="259"/>
        <item x="107"/>
        <item x="229"/>
        <item x="351"/>
        <item x="16"/>
        <item x="47"/>
        <item x="198"/>
        <item x="168"/>
        <item x="76"/>
        <item x="137"/>
        <item x="321"/>
        <item x="290"/>
        <item x="260"/>
        <item x="108"/>
        <item x="230"/>
        <item x="352"/>
        <item x="17"/>
        <item x="48"/>
        <item x="199"/>
        <item x="169"/>
        <item x="77"/>
        <item x="138"/>
        <item x="322"/>
        <item x="291"/>
        <item x="261"/>
        <item x="109"/>
        <item x="231"/>
        <item x="353"/>
        <item x="18"/>
        <item x="49"/>
        <item x="200"/>
        <item x="170"/>
        <item x="78"/>
        <item x="139"/>
        <item x="323"/>
        <item x="292"/>
        <item x="262"/>
        <item x="110"/>
        <item x="232"/>
        <item x="354"/>
        <item x="19"/>
        <item x="50"/>
        <item x="201"/>
        <item x="171"/>
        <item x="79"/>
        <item x="140"/>
        <item x="324"/>
        <item x="293"/>
        <item x="263"/>
        <item x="111"/>
        <item x="233"/>
        <item x="355"/>
        <item x="20"/>
        <item x="51"/>
        <item x="202"/>
        <item x="172"/>
        <item x="80"/>
        <item x="141"/>
        <item x="325"/>
        <item x="294"/>
        <item x="264"/>
        <item x="112"/>
        <item x="234"/>
        <item x="356"/>
        <item x="21"/>
        <item x="52"/>
        <item x="203"/>
        <item x="173"/>
        <item x="81"/>
        <item x="142"/>
        <item x="326"/>
        <item x="295"/>
        <item x="265"/>
        <item x="113"/>
        <item x="235"/>
        <item x="357"/>
        <item x="22"/>
        <item x="53"/>
        <item x="204"/>
        <item x="174"/>
        <item x="82"/>
        <item x="143"/>
        <item x="327"/>
        <item x="296"/>
        <item x="266"/>
        <item x="114"/>
        <item x="236"/>
        <item x="358"/>
        <item x="23"/>
        <item x="54"/>
        <item x="205"/>
        <item x="175"/>
        <item x="83"/>
        <item x="144"/>
        <item x="328"/>
        <item x="297"/>
        <item x="267"/>
        <item x="115"/>
        <item x="237"/>
        <item x="359"/>
        <item x="24"/>
        <item x="55"/>
        <item x="206"/>
        <item x="176"/>
        <item x="84"/>
        <item x="145"/>
        <item x="329"/>
        <item x="298"/>
        <item x="268"/>
        <item x="116"/>
        <item x="238"/>
        <item x="360"/>
        <item x="25"/>
        <item x="56"/>
        <item x="207"/>
        <item x="177"/>
        <item x="85"/>
        <item x="146"/>
        <item x="330"/>
        <item x="299"/>
        <item x="269"/>
        <item x="117"/>
        <item x="239"/>
        <item x="361"/>
        <item x="26"/>
        <item x="57"/>
        <item x="208"/>
        <item x="178"/>
        <item x="86"/>
        <item x="147"/>
        <item x="331"/>
        <item x="300"/>
        <item x="270"/>
        <item x="118"/>
        <item x="240"/>
        <item x="362"/>
        <item x="27"/>
        <item x="58"/>
        <item x="209"/>
        <item x="179"/>
        <item x="87"/>
        <item x="148"/>
        <item x="332"/>
        <item x="301"/>
        <item x="271"/>
        <item x="119"/>
        <item x="241"/>
        <item x="363"/>
        <item x="28"/>
        <item x="59"/>
        <item x="210"/>
        <item x="180"/>
        <item x="88"/>
        <item x="149"/>
        <item x="333"/>
        <item x="302"/>
        <item x="272"/>
        <item x="120"/>
        <item x="242"/>
        <item x="364"/>
        <item x="29"/>
        <item x="60"/>
        <item x="211"/>
        <item x="181"/>
        <item x="89"/>
        <item x="150"/>
        <item x="334"/>
        <item x="303"/>
        <item x="273"/>
        <item x="121"/>
        <item x="243"/>
        <item x="365"/>
        <item x="30"/>
        <item x="212"/>
        <item x="182"/>
        <item x="90"/>
        <item x="151"/>
        <item x="335"/>
        <item x="304"/>
        <item x="274"/>
        <item x="244"/>
        <item x="366"/>
        <item x="31"/>
        <item x="213"/>
        <item x="91"/>
        <item x="152"/>
        <item x="305"/>
        <item t="default"/>
      </items>
    </pivotField>
    <pivotField dataField="1" showAll="0"/>
    <pivotField dataField="1" showAll="0" defaultSubtotal="0"/>
    <pivotField dataField="1" showAll="0"/>
    <pivotField dataField="1" showAll="0"/>
    <pivotField dataField="1" showAll="0" defaultSubtotal="0"/>
    <pivotField dataField="1" showAll="0" defaultSubtotal="0"/>
    <pivotField showAll="0" defaultSubtota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 sortType="ascending" defaultSubtotal="0">
      <items count="3">
        <item x="0"/>
        <item x="2"/>
        <item x="1"/>
      </items>
    </pivotField>
  </pivotFields>
  <rowFields count="3">
    <field x="12"/>
    <field x="11"/>
    <field x="3"/>
  </rowFields>
  <rowItems count="65">
    <i>
      <x v="2"/>
    </i>
    <i r="1">
      <x v="1"/>
    </i>
    <i r="2">
      <x v="363"/>
    </i>
    <i r="1">
      <x v="2"/>
    </i>
    <i r="2">
      <x v="6"/>
    </i>
    <i r="2">
      <x v="18"/>
    </i>
    <i r="2">
      <x v="30"/>
    </i>
    <i r="2">
      <x v="42"/>
    </i>
    <i r="2">
      <x v="54"/>
    </i>
    <i r="2">
      <x v="66"/>
    </i>
    <i r="2">
      <x v="78"/>
    </i>
    <i r="2">
      <x v="90"/>
    </i>
    <i r="2">
      <x v="102"/>
    </i>
    <i r="2">
      <x v="114"/>
    </i>
    <i r="2">
      <x v="126"/>
    </i>
    <i r="2">
      <x v="138"/>
    </i>
    <i r="2">
      <x v="150"/>
    </i>
    <i r="2">
      <x v="162"/>
    </i>
    <i r="2">
      <x v="174"/>
    </i>
    <i r="2">
      <x v="186"/>
    </i>
    <i r="2">
      <x v="198"/>
    </i>
    <i r="2">
      <x v="210"/>
    </i>
    <i r="2">
      <x v="222"/>
    </i>
    <i r="2">
      <x v="234"/>
    </i>
    <i r="2">
      <x v="246"/>
    </i>
    <i r="2">
      <x v="258"/>
    </i>
    <i r="2">
      <x v="270"/>
    </i>
    <i r="2">
      <x v="282"/>
    </i>
    <i r="2">
      <x v="294"/>
    </i>
    <i r="2">
      <x v="306"/>
    </i>
    <i r="2">
      <x v="318"/>
    </i>
    <i r="2">
      <x v="330"/>
    </i>
    <i r="1">
      <x v="3"/>
    </i>
    <i r="2">
      <x v="9"/>
    </i>
    <i r="2">
      <x v="21"/>
    </i>
    <i r="2">
      <x v="33"/>
    </i>
    <i r="2">
      <x v="45"/>
    </i>
    <i r="2">
      <x v="57"/>
    </i>
    <i r="2">
      <x v="69"/>
    </i>
    <i r="2">
      <x v="81"/>
    </i>
    <i r="2">
      <x v="93"/>
    </i>
    <i r="2">
      <x v="105"/>
    </i>
    <i r="2">
      <x v="117"/>
    </i>
    <i r="2">
      <x v="129"/>
    </i>
    <i r="2">
      <x v="141"/>
    </i>
    <i r="2">
      <x v="165"/>
    </i>
    <i r="2">
      <x v="177"/>
    </i>
    <i r="2">
      <x v="189"/>
    </i>
    <i r="2">
      <x v="201"/>
    </i>
    <i r="2">
      <x v="213"/>
    </i>
    <i r="2">
      <x v="225"/>
    </i>
    <i r="2">
      <x v="237"/>
    </i>
    <i r="2">
      <x v="249"/>
    </i>
    <i r="2">
      <x v="261"/>
    </i>
    <i r="2">
      <x v="273"/>
    </i>
    <i r="2">
      <x v="297"/>
    </i>
    <i r="2">
      <x v="309"/>
    </i>
    <i r="2">
      <x v="321"/>
    </i>
    <i r="2">
      <x v="333"/>
    </i>
    <i r="2">
      <x v="345"/>
    </i>
    <i r="2">
      <x v="356"/>
    </i>
    <i r="2">
      <x v="365"/>
    </i>
    <i r="1">
      <x v="4"/>
    </i>
    <i r="2">
      <x v="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2">
    <pageField fld="0" item="3" hier="-1"/>
    <pageField fld="1" item="7747" hier="-1"/>
  </pageFields>
  <dataFields count="7">
    <dataField name="Buffer " fld="2" baseField="0" baseItem="0"/>
    <dataField name="Amarillo" fld="6" baseField="0" baseItem="0"/>
    <dataField name="Rojo" fld="7" baseField="0" baseItem="0"/>
    <dataField name="Salidas " fld="9" baseField="0" baseItem="0"/>
    <dataField name="Entradas " fld="8" baseField="0" baseItem="0"/>
    <dataField name="Proyectado" fld="5" baseField="0" baseItem="0"/>
    <dataField name="Físico" fld="4" baseField="0" baseItem="0"/>
  </dataFields>
  <formats count="1">
    <format dxfId="18">
      <pivotArea type="all" dataOnly="0" outline="0" fieldPosition="0"/>
    </format>
  </formats>
  <chartFormats count="90">
    <chartFormat chart="0" format="16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71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17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7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74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75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17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874">
      <pivotArea type="data" outline="0" fieldPosition="0">
        <references count="4">
          <reference field="4294967294" count="1" selected="0">
            <x v="0"/>
          </reference>
          <reference field="3" count="1" selected="0">
            <x v="14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5">
      <pivotArea type="data" outline="0" fieldPosition="0">
        <references count="4">
          <reference field="4294967294" count="1" selected="0">
            <x v="0"/>
          </reference>
          <reference field="3" count="1" selected="0">
            <x v="16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6">
      <pivotArea type="data" outline="0" fieldPosition="0">
        <references count="4">
          <reference field="4294967294" count="1" selected="0">
            <x v="0"/>
          </reference>
          <reference field="3" count="1" selected="0">
            <x v="36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7">
      <pivotArea type="data" outline="0" fieldPosition="0">
        <references count="4">
          <reference field="4294967294" count="1" selected="0">
            <x v="0"/>
          </reference>
          <reference field="3" count="1" selected="0">
            <x v="30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8">
      <pivotArea type="data" outline="0" fieldPosition="0">
        <references count="4">
          <reference field="4294967294" count="1" selected="0">
            <x v="0"/>
          </reference>
          <reference field="3" count="1" selected="0">
            <x v="317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79">
      <pivotArea type="data" outline="0" fieldPosition="0">
        <references count="4">
          <reference field="4294967294" count="1" selected="0">
            <x v="0"/>
          </reference>
          <reference field="3" count="1" selected="0">
            <x v="32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80">
      <pivotArea type="data" outline="0" fieldPosition="0">
        <references count="4">
          <reference field="4294967294" count="1" selected="0">
            <x v="0"/>
          </reference>
          <reference field="3" count="1" selected="0">
            <x v="34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81">
      <pivotArea type="data" outline="0" fieldPosition="0">
        <references count="4">
          <reference field="4294967294" count="1" selected="0">
            <x v="0"/>
          </reference>
          <reference field="3" count="1" selected="0">
            <x v="35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82">
      <pivotArea type="data" outline="0" fieldPosition="0">
        <references count="4">
          <reference field="4294967294" count="1" selected="0">
            <x v="0"/>
          </reference>
          <reference field="3" count="1" selected="0">
            <x v="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3">
      <pivotArea type="data" outline="0" fieldPosition="0">
        <references count="4">
          <reference field="4294967294" count="1" selected="0">
            <x v="0"/>
          </reference>
          <reference field="3" count="1" selected="0">
            <x v="3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4">
      <pivotArea type="data" outline="0" fieldPosition="0">
        <references count="4">
          <reference field="4294967294" count="1" selected="0">
            <x v="0"/>
          </reference>
          <reference field="3" count="1" selected="0">
            <x v="5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5">
      <pivotArea type="data" outline="0" fieldPosition="0">
        <references count="4">
          <reference field="4294967294" count="1" selected="0">
            <x v="0"/>
          </reference>
          <reference field="3" count="1" selected="0">
            <x v="10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6">
      <pivotArea type="data" outline="0" fieldPosition="0">
        <references count="4">
          <reference field="4294967294" count="1" selected="0">
            <x v="0"/>
          </reference>
          <reference field="3" count="1" selected="0">
            <x v="12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7">
      <pivotArea type="data" outline="0" fieldPosition="0">
        <references count="4">
          <reference field="4294967294" count="1" selected="0">
            <x v="0"/>
          </reference>
          <reference field="3" count="1" selected="0">
            <x v="13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8">
      <pivotArea type="data" outline="0" fieldPosition="0">
        <references count="4">
          <reference field="4294967294" count="1" selected="0">
            <x v="0"/>
          </reference>
          <reference field="3" count="1" selected="0">
            <x v="15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89">
      <pivotArea type="data" outline="0" fieldPosition="0">
        <references count="4">
          <reference field="4294967294" count="1" selected="0">
            <x v="0"/>
          </reference>
          <reference field="3" count="1" selected="0">
            <x v="16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0">
      <pivotArea type="data" outline="0" fieldPosition="0">
        <references count="4">
          <reference field="4294967294" count="1" selected="0">
            <x v="0"/>
          </reference>
          <reference field="3" count="1" selected="0">
            <x v="17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1">
      <pivotArea type="data" outline="0" fieldPosition="0">
        <references count="4">
          <reference field="4294967294" count="1" selected="0">
            <x v="0"/>
          </reference>
          <reference field="3" count="1" selected="0">
            <x v="18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2">
      <pivotArea type="data" outline="0" fieldPosition="0">
        <references count="4">
          <reference field="4294967294" count="1" selected="0">
            <x v="0"/>
          </reference>
          <reference field="3" count="1" selected="0">
            <x v="19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3">
      <pivotArea type="data" outline="0" fieldPosition="0">
        <references count="4">
          <reference field="4294967294" count="1" selected="0">
            <x v="0"/>
          </reference>
          <reference field="3" count="1" selected="0">
            <x v="23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4">
      <pivotArea type="data" outline="0" fieldPosition="0">
        <references count="4">
          <reference field="4294967294" count="1" selected="0">
            <x v="0"/>
          </reference>
          <reference field="3" count="1" selected="0">
            <x v="24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5">
      <pivotArea type="data" outline="0" fieldPosition="0">
        <references count="4">
          <reference field="4294967294" count="1" selected="0">
            <x v="0"/>
          </reference>
          <reference field="3" count="1" selected="0">
            <x v="29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896">
      <pivotArea type="data" outline="0" fieldPosition="0">
        <references count="4">
          <reference field="4294967294" count="1" selected="0">
            <x v="0"/>
          </reference>
          <reference field="3" count="1" selected="0">
            <x v="2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97">
      <pivotArea type="data" outline="0" fieldPosition="0">
        <references count="4">
          <reference field="4294967294" count="1" selected="0">
            <x v="0"/>
          </reference>
          <reference field="3" count="1" selected="0">
            <x v="4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98">
      <pivotArea type="data" outline="0" fieldPosition="0">
        <references count="4">
          <reference field="4294967294" count="1" selected="0">
            <x v="0"/>
          </reference>
          <reference field="3" count="1" selected="0">
            <x v="5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899">
      <pivotArea type="data" outline="0" fieldPosition="0">
        <references count="4">
          <reference field="4294967294" count="1" selected="0">
            <x v="0"/>
          </reference>
          <reference field="3" count="1" selected="0">
            <x v="6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0">
      <pivotArea type="data" outline="0" fieldPosition="0">
        <references count="4">
          <reference field="4294967294" count="1" selected="0">
            <x v="0"/>
          </reference>
          <reference field="3" count="1" selected="0">
            <x v="77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1">
      <pivotArea type="data" outline="0" fieldPosition="0">
        <references count="4">
          <reference field="4294967294" count="1" selected="0">
            <x v="0"/>
          </reference>
          <reference field="3" count="1" selected="0">
            <x v="8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2">
      <pivotArea type="data" outline="0" fieldPosition="0">
        <references count="4">
          <reference field="4294967294" count="1" selected="0">
            <x v="0"/>
          </reference>
          <reference field="3" count="1" selected="0">
            <x v="10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3">
      <pivotArea type="data" outline="0" fieldPosition="0">
        <references count="4">
          <reference field="4294967294" count="1" selected="0">
            <x v="0"/>
          </reference>
          <reference field="3" count="1" selected="0">
            <x v="11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4">
      <pivotArea type="data" outline="0" fieldPosition="0">
        <references count="4">
          <reference field="4294967294" count="1" selected="0">
            <x v="0"/>
          </reference>
          <reference field="3" count="1" selected="0">
            <x v="12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5">
      <pivotArea type="data" outline="0" fieldPosition="0">
        <references count="4">
          <reference field="4294967294" count="1" selected="0">
            <x v="0"/>
          </reference>
          <reference field="3" count="1" selected="0">
            <x v="137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6">
      <pivotArea type="data" outline="0" fieldPosition="0">
        <references count="4">
          <reference field="4294967294" count="1" selected="0">
            <x v="0"/>
          </reference>
          <reference field="3" count="1" selected="0">
            <x v="18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7">
      <pivotArea type="data" outline="0" fieldPosition="0">
        <references count="4">
          <reference field="4294967294" count="1" selected="0">
            <x v="0"/>
          </reference>
          <reference field="3" count="1" selected="0">
            <x v="197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8">
      <pivotArea type="data" outline="0" fieldPosition="0">
        <references count="4">
          <reference field="4294967294" count="1" selected="0">
            <x v="0"/>
          </reference>
          <reference field="3" count="1" selected="0">
            <x v="209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09">
      <pivotArea type="data" outline="0" fieldPosition="0">
        <references count="4">
          <reference field="4294967294" count="1" selected="0">
            <x v="0"/>
          </reference>
          <reference field="3" count="1" selected="0">
            <x v="221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10">
      <pivotArea type="data" outline="0" fieldPosition="0">
        <references count="4">
          <reference field="4294967294" count="1" selected="0">
            <x v="0"/>
          </reference>
          <reference field="3" count="1" selected="0">
            <x v="23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11">
      <pivotArea type="data" outline="0" fieldPosition="0">
        <references count="4">
          <reference field="4294967294" count="1" selected="0">
            <x v="0"/>
          </reference>
          <reference field="3" count="1" selected="0">
            <x v="245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12">
      <pivotArea type="data" outline="0" fieldPosition="0">
        <references count="4">
          <reference field="4294967294" count="1" selected="0">
            <x v="0"/>
          </reference>
          <reference field="3" count="1" selected="0">
            <x v="293"/>
          </reference>
          <reference field="11" count="1" selected="0">
            <x v="1"/>
          </reference>
          <reference field="12" count="1" selected="0">
            <x v="2"/>
          </reference>
        </references>
      </pivotArea>
    </chartFormat>
    <chartFormat chart="0" format="917">
      <pivotArea type="data" outline="0" fieldPosition="0">
        <references count="4">
          <reference field="4294967294" count="1" selected="0">
            <x v="0"/>
          </reference>
          <reference field="3" count="1" selected="0">
            <x v="1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18">
      <pivotArea type="data" outline="0" fieldPosition="0">
        <references count="4">
          <reference field="4294967294" count="1" selected="0">
            <x v="0"/>
          </reference>
          <reference field="3" count="1" selected="0">
            <x v="4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19">
      <pivotArea type="data" outline="0" fieldPosition="0">
        <references count="4">
          <reference field="4294967294" count="1" selected="0">
            <x v="0"/>
          </reference>
          <reference field="3" count="1" selected="0">
            <x v="6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0">
      <pivotArea type="data" outline="0" fieldPosition="0">
        <references count="4">
          <reference field="4294967294" count="1" selected="0">
            <x v="0"/>
          </reference>
          <reference field="3" count="1" selected="0">
            <x v="7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1">
      <pivotArea type="data" outline="0" fieldPosition="0">
        <references count="4">
          <reference field="4294967294" count="1" selected="0">
            <x v="0"/>
          </reference>
          <reference field="3" count="1" selected="0">
            <x v="9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2">
      <pivotArea type="data" outline="0" fieldPosition="0">
        <references count="4">
          <reference field="4294967294" count="1" selected="0">
            <x v="0"/>
          </reference>
          <reference field="3" count="1" selected="0">
            <x v="114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3">
      <pivotArea type="data" outline="0" fieldPosition="0">
        <references count="4">
          <reference field="4294967294" count="1" selected="0">
            <x v="0"/>
          </reference>
          <reference field="3" count="1" selected="0">
            <x v="21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4">
      <pivotArea type="data" outline="0" fieldPosition="0">
        <references count="4">
          <reference field="4294967294" count="1" selected="0">
            <x v="0"/>
          </reference>
          <reference field="3" count="1" selected="0">
            <x v="22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5">
      <pivotArea type="data" outline="0" fieldPosition="0">
        <references count="4">
          <reference field="4294967294" count="1" selected="0">
            <x v="0"/>
          </reference>
          <reference field="3" count="1" selected="0">
            <x v="25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6">
      <pivotArea type="data" outline="0" fieldPosition="0">
        <references count="4">
          <reference field="4294967294" count="1" selected="0">
            <x v="0"/>
          </reference>
          <reference field="3" count="1" selected="0">
            <x v="27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7">
      <pivotArea type="data" outline="0" fieldPosition="0">
        <references count="4">
          <reference field="4294967294" count="1" selected="0">
            <x v="0"/>
          </reference>
          <reference field="3" count="1" selected="0">
            <x v="282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8">
      <pivotArea type="data" outline="0" fieldPosition="0">
        <references count="4">
          <reference field="4294967294" count="1" selected="0">
            <x v="0"/>
          </reference>
          <reference field="3" count="1" selected="0">
            <x v="306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29">
      <pivotArea type="data" outline="0" fieldPosition="0">
        <references count="4">
          <reference field="4294967294" count="1" selected="0">
            <x v="0"/>
          </reference>
          <reference field="3" count="1" selected="0">
            <x v="318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30">
      <pivotArea type="data" outline="0" fieldPosition="0">
        <references count="4">
          <reference field="4294967294" count="1" selected="0">
            <x v="0"/>
          </reference>
          <reference field="3" count="1" selected="0">
            <x v="330"/>
          </reference>
          <reference field="11" count="1" selected="0">
            <x v="2"/>
          </reference>
          <reference field="12" count="1" selected="0">
            <x v="2"/>
          </reference>
        </references>
      </pivotArea>
    </chartFormat>
    <chartFormat chart="0" format="931">
      <pivotArea type="data" outline="0" fieldPosition="0">
        <references count="4">
          <reference field="4294967294" count="1" selected="0">
            <x v="0"/>
          </reference>
          <reference field="3" count="1" selected="0">
            <x v="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2">
      <pivotArea type="data" outline="0" fieldPosition="0">
        <references count="4">
          <reference field="4294967294" count="1" selected="0">
            <x v="0"/>
          </reference>
          <reference field="3" count="1" selected="0">
            <x v="2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3">
      <pivotArea type="data" outline="0" fieldPosition="0">
        <references count="4">
          <reference field="4294967294" count="1" selected="0">
            <x v="0"/>
          </reference>
          <reference field="3" count="1" selected="0">
            <x v="3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4">
      <pivotArea type="data" outline="0" fieldPosition="0">
        <references count="4">
          <reference field="4294967294" count="1" selected="0">
            <x v="0"/>
          </reference>
          <reference field="3" count="1" selected="0">
            <x v="4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5">
      <pivotArea type="data" outline="0" fieldPosition="0">
        <references count="4">
          <reference field="4294967294" count="1" selected="0">
            <x v="0"/>
          </reference>
          <reference field="3" count="1" selected="0">
            <x v="5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6">
      <pivotArea type="data" outline="0" fieldPosition="0">
        <references count="4">
          <reference field="4294967294" count="1" selected="0">
            <x v="0"/>
          </reference>
          <reference field="3" count="1" selected="0">
            <x v="6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7">
      <pivotArea type="data" outline="0" fieldPosition="0">
        <references count="4">
          <reference field="4294967294" count="1" selected="0">
            <x v="0"/>
          </reference>
          <reference field="3" count="1" selected="0">
            <x v="8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8">
      <pivotArea type="data" outline="0" fieldPosition="0">
        <references count="4">
          <reference field="4294967294" count="1" selected="0">
            <x v="0"/>
          </reference>
          <reference field="3" count="1" selected="0">
            <x v="9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39">
      <pivotArea type="data" outline="0" fieldPosition="0">
        <references count="4">
          <reference field="4294967294" count="1" selected="0">
            <x v="0"/>
          </reference>
          <reference field="3" count="1" selected="0">
            <x v="10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0">
      <pivotArea type="data" outline="0" fieldPosition="0">
        <references count="4">
          <reference field="4294967294" count="1" selected="0">
            <x v="0"/>
          </reference>
          <reference field="3" count="1" selected="0">
            <x v="11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1">
      <pivotArea type="data" outline="0" fieldPosition="0">
        <references count="4">
          <reference field="4294967294" count="1" selected="0">
            <x v="0"/>
          </reference>
          <reference field="3" count="1" selected="0">
            <x v="12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2">
      <pivotArea type="data" outline="0" fieldPosition="0">
        <references count="4">
          <reference field="4294967294" count="1" selected="0">
            <x v="0"/>
          </reference>
          <reference field="3" count="1" selected="0">
            <x v="14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3">
      <pivotArea type="data" outline="0" fieldPosition="0">
        <references count="4">
          <reference field="4294967294" count="1" selected="0">
            <x v="0"/>
          </reference>
          <reference field="3" count="1" selected="0">
            <x v="16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4">
      <pivotArea type="data" outline="0" fieldPosition="0">
        <references count="4">
          <reference field="4294967294" count="1" selected="0">
            <x v="0"/>
          </reference>
          <reference field="3" count="1" selected="0">
            <x v="17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5">
      <pivotArea type="data" outline="0" fieldPosition="0">
        <references count="4">
          <reference field="4294967294" count="1" selected="0">
            <x v="0"/>
          </reference>
          <reference field="3" count="1" selected="0">
            <x v="18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6">
      <pivotArea type="data" outline="0" fieldPosition="0">
        <references count="4">
          <reference field="4294967294" count="1" selected="0">
            <x v="0"/>
          </reference>
          <reference field="3" count="1" selected="0">
            <x v="20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7">
      <pivotArea type="data" outline="0" fieldPosition="0">
        <references count="4">
          <reference field="4294967294" count="1" selected="0">
            <x v="0"/>
          </reference>
          <reference field="3" count="1" selected="0">
            <x v="21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8">
      <pivotArea type="data" outline="0" fieldPosition="0">
        <references count="4">
          <reference field="4294967294" count="1" selected="0">
            <x v="0"/>
          </reference>
          <reference field="3" count="1" selected="0">
            <x v="22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49">
      <pivotArea type="data" outline="0" fieldPosition="0">
        <references count="4">
          <reference field="4294967294" count="1" selected="0">
            <x v="0"/>
          </reference>
          <reference field="3" count="1" selected="0">
            <x v="23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0">
      <pivotArea type="data" outline="0" fieldPosition="0">
        <references count="4">
          <reference field="4294967294" count="1" selected="0">
            <x v="0"/>
          </reference>
          <reference field="3" count="1" selected="0">
            <x v="24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1">
      <pivotArea type="data" outline="0" fieldPosition="0">
        <references count="4">
          <reference field="4294967294" count="1" selected="0">
            <x v="0"/>
          </reference>
          <reference field="3" count="1" selected="0">
            <x v="26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2">
      <pivotArea type="data" outline="0" fieldPosition="0">
        <references count="4">
          <reference field="4294967294" count="1" selected="0">
            <x v="0"/>
          </reference>
          <reference field="3" count="1" selected="0">
            <x v="27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3">
      <pivotArea type="data" outline="0" fieldPosition="0">
        <references count="4">
          <reference field="4294967294" count="1" selected="0">
            <x v="0"/>
          </reference>
          <reference field="3" count="1" selected="0">
            <x v="297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4">
      <pivotArea type="data" outline="0" fieldPosition="0">
        <references count="4">
          <reference field="4294967294" count="1" selected="0">
            <x v="0"/>
          </reference>
          <reference field="3" count="1" selected="0">
            <x v="309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5">
      <pivotArea type="data" outline="0" fieldPosition="0">
        <references count="4">
          <reference field="4294967294" count="1" selected="0">
            <x v="0"/>
          </reference>
          <reference field="3" count="1" selected="0">
            <x v="321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6">
      <pivotArea type="data" outline="0" fieldPosition="0">
        <references count="4">
          <reference field="4294967294" count="1" selected="0">
            <x v="0"/>
          </reference>
          <reference field="3" count="1" selected="0">
            <x v="333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7">
      <pivotArea type="data" outline="0" fieldPosition="0">
        <references count="4">
          <reference field="4294967294" count="1" selected="0">
            <x v="0"/>
          </reference>
          <reference field="3" count="1" selected="0">
            <x v="34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8">
      <pivotArea type="data" outline="0" fieldPosition="0">
        <references count="4">
          <reference field="4294967294" count="1" selected="0">
            <x v="0"/>
          </reference>
          <reference field="3" count="1" selected="0">
            <x v="356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59">
      <pivotArea type="data" outline="0" fieldPosition="0">
        <references count="4">
          <reference field="4294967294" count="1" selected="0">
            <x v="0"/>
          </reference>
          <reference field="3" count="1" selected="0">
            <x v="365"/>
          </reference>
          <reference field="11" count="1" selected="0">
            <x v="3"/>
          </reference>
          <reference field="12" count="1" selected="0">
            <x v="2"/>
          </reference>
        </references>
      </pivotArea>
    </chartFormat>
    <chartFormat chart="0" format="960">
      <pivotArea type="data" outline="0" fieldPosition="0">
        <references count="4">
          <reference field="4294967294" count="1" selected="0">
            <x v="0"/>
          </reference>
          <reference field="3" count="1" selected="0">
            <x v="2"/>
          </reference>
          <reference field="11" count="1" selected="0">
            <x v="4"/>
          </reference>
          <reference field="12" count="1" selected="0">
            <x v="2"/>
          </reference>
        </references>
      </pivotArea>
    </chartFormat>
  </chartFormats>
  <pivotTableStyleInfo name="PivotStyleDark19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D_Consumo" cacheId="1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3:D35" firstHeaderRow="0" firstDataRow="1" firstDataCol="1" rowPageCount="2" colPageCount="1"/>
  <pivotFields count="6">
    <pivotField axis="axisPage" showAll="0">
      <items count="7">
        <item m="1" x="2"/>
        <item m="1" x="1"/>
        <item x="0"/>
        <item m="1" x="5"/>
        <item m="1" x="4"/>
        <item m="1" x="3"/>
        <item t="default"/>
      </items>
    </pivotField>
    <pivotField axis="axisPage" showAll="0">
      <items count="8001">
        <item m="1" x="202"/>
        <item m="1" x="102"/>
        <item m="1" x="192"/>
        <item m="1" x="200"/>
        <item m="1" x="3"/>
        <item m="1" x="13"/>
        <item m="1" x="30"/>
        <item m="1" x="216"/>
        <item m="1" x="229"/>
        <item m="1" x="17"/>
        <item m="1" x="120"/>
        <item m="1" x="121"/>
        <item m="1" x="150"/>
        <item m="1" x="131"/>
        <item m="1" x="19"/>
        <item m="1" x="125"/>
        <item m="1" x="50"/>
        <item m="1" x="151"/>
        <item m="1" x="126"/>
        <item m="1" x="188"/>
        <item m="1" x="94"/>
        <item m="1" x="182"/>
        <item m="1" x="187"/>
        <item m="1" x="15"/>
        <item m="1" x="204"/>
        <item m="1" x="217"/>
        <item m="1" x="2"/>
        <item m="1" x="107"/>
        <item m="1" x="109"/>
        <item m="1" x="132"/>
        <item m="1" x="114"/>
        <item m="1" x="5"/>
        <item m="1" x="112"/>
        <item m="1" x="38"/>
        <item m="1" x="140"/>
        <item m="1" x="113"/>
        <item m="1" x="6"/>
        <item m="1" x="24"/>
        <item m="1" x="41"/>
        <item m="1" x="56"/>
        <item m="1" x="127"/>
        <item m="1" x="143"/>
        <item m="1" x="154"/>
        <item m="1" x="164"/>
        <item m="1" x="174"/>
        <item m="1" x="183"/>
        <item m="1" x="195"/>
        <item m="1" x="208"/>
        <item m="1" x="128"/>
        <item m="1" x="144"/>
        <item m="1" x="155"/>
        <item m="1" x="147"/>
        <item m="1" x="211"/>
        <item m="1" x="225"/>
        <item m="1" x="7"/>
        <item m="1" x="25"/>
        <item m="1" x="42"/>
        <item m="1" x="57"/>
        <item m="1" x="129"/>
        <item m="1" x="145"/>
        <item m="1" x="156"/>
        <item m="1" x="165"/>
        <item m="1" x="175"/>
        <item m="1" x="184"/>
        <item m="1" x="196"/>
        <item m="1" x="209"/>
        <item m="1" x="223"/>
        <item m="1" x="176"/>
        <item m="1" x="148"/>
        <item m="1" x="177"/>
        <item m="1" x="185"/>
        <item m="1" x="124"/>
        <item m="1" x="141"/>
        <item m="1" x="152"/>
        <item m="1" x="162"/>
        <item m="1" x="172"/>
        <item m="1" x="180"/>
        <item m="1" x="191"/>
        <item m="1" x="207"/>
        <item m="1" x="222"/>
        <item m="1" x="73"/>
        <item m="1" x="85"/>
        <item m="1" x="95"/>
        <item m="1" x="104"/>
        <item m="1" x="186"/>
        <item m="1" x="199"/>
        <item m="1" x="212"/>
        <item m="1" x="226"/>
        <item m="1" x="8"/>
        <item m="1" x="26"/>
        <item m="1" x="43"/>
        <item m="1" x="58"/>
        <item m="1" x="74"/>
        <item m="1" x="86"/>
        <item m="1" x="96"/>
        <item m="1" x="233"/>
        <item x="0"/>
        <item m="1" x="3582"/>
        <item m="1" x="459"/>
        <item m="1" x="6235"/>
        <item m="1" x="5727"/>
        <item m="1" x="1665"/>
        <item m="1" x="6777"/>
        <item m="1" x="5967"/>
        <item m="1" x="4463"/>
        <item m="1" x="3924"/>
        <item m="1" x="3424"/>
        <item m="1" x="2923"/>
        <item m="1" x="2432"/>
        <item m="1" x="1885"/>
        <item m="1" x="1354"/>
        <item m="1" x="812"/>
        <item m="1" x="7426"/>
        <item m="1" x="6960"/>
        <item m="1" x="6519"/>
        <item m="1" x="6057"/>
        <item m="1" x="5565"/>
        <item m="1" x="5089"/>
        <item m="1" x="4595"/>
        <item m="1" x="4053"/>
        <item m="1" x="3545"/>
        <item m="1" x="3056"/>
        <item m="1" x="7547"/>
        <item m="1" x="7077"/>
        <item m="1" x="6636"/>
        <item m="1" x="6202"/>
        <item m="1" x="5685"/>
        <item m="1" x="5215"/>
        <item m="1" x="218"/>
        <item m="1" x="1532"/>
        <item m="1" x="1018"/>
        <item m="1" x="3593"/>
        <item m="1" x="3117"/>
        <item m="1" x="6362"/>
        <item m="1" x="825"/>
        <item m="1" x="4066"/>
        <item m="1" x="4185"/>
        <item m="1" x="6789"/>
        <item m="1" x="4982"/>
        <item m="1" x="4191"/>
        <item m="1" x="4963"/>
        <item m="1" x="2094"/>
        <item m="1" x="1544"/>
        <item m="1" x="4377"/>
        <item m="1" x="3347"/>
        <item m="1" x="2348"/>
        <item m="1" x="1808"/>
        <item m="1" x="1264"/>
        <item m="1" x="1810"/>
        <item m="1" x="1266"/>
        <item m="1" x="745"/>
        <item m="1" x="160"/>
        <item m="1" x="6607"/>
        <item m="1" x="4149"/>
        <item m="1" x="2512"/>
        <item m="1" x="379"/>
        <item m="1" x="3773"/>
        <item m="1" x="1758"/>
        <item m="1" x="6970"/>
        <item m="1" x="5098"/>
        <item m="1" x="782"/>
        <item m="1" x="2126"/>
        <item m="1" x="7400"/>
        <item m="1" x="173"/>
        <item m="1" x="7492"/>
        <item m="1" x="5416"/>
        <item m="1" x="4418"/>
        <item m="1" x="511"/>
        <item m="1" x="4649"/>
        <item m="1" x="3157"/>
        <item m="1" x="5279"/>
        <item m="1" x="2170"/>
        <item m="1" x="2445"/>
        <item m="1" x="2225"/>
        <item m="1" x="1025"/>
        <item m="1" x="7744"/>
        <item m="1" x="2031"/>
        <item m="1" x="562"/>
        <item m="1" x="1397"/>
        <item m="1" x="2342"/>
        <item m="1" x="1257"/>
        <item m="1" x="769"/>
        <item m="1" x="3973"/>
        <item m="1" x="2984"/>
        <item m="1" x="882"/>
        <item m="1" x="7722"/>
        <item m="1" x="6086"/>
        <item m="1" x="3325"/>
        <item m="1" x="4176"/>
        <item m="1" x="6943"/>
        <item m="1" x="6510"/>
        <item m="1" x="6045"/>
        <item m="1" x="5553"/>
        <item m="1" x="5075"/>
        <item m="1" x="4579"/>
        <item m="1" x="5293"/>
        <item m="1" x="4803"/>
        <item m="1" x="3730"/>
        <item m="1" x="2060"/>
        <item m="1" x="435"/>
        <item m="1" x="7727"/>
        <item m="1" x="1483"/>
        <item m="1" x="948"/>
        <item m="1" x="7542"/>
        <item m="1" x="6256"/>
        <item m="1" x="5749"/>
        <item m="1" x="7202"/>
        <item m="1" x="4042"/>
        <item m="1" x="5747"/>
        <item m="1" x="4919"/>
        <item m="1" x="4633"/>
        <item m="1" x="6803"/>
        <item m="1" x="5883"/>
        <item m="1" x="4933"/>
        <item m="1" x="1839"/>
        <item m="1" x="5923"/>
        <item m="1" x="5429"/>
        <item m="1" x="4951"/>
        <item m="1" x="4441"/>
        <item m="1" x="3912"/>
        <item m="1" x="3409"/>
        <item m="1" x="2908"/>
        <item m="1" x="3133"/>
        <item m="1" x="2411"/>
        <item m="1" x="2612"/>
        <item m="1" x="1872"/>
        <item m="1" x="2239"/>
        <item m="1" x="2104"/>
        <item m="1" x="7412"/>
        <item m="1" x="6946"/>
        <item m="1" x="6512"/>
        <item m="1" x="6048"/>
        <item m="1" x="5556"/>
        <item m="1" x="5079"/>
        <item m="1" x="4583"/>
        <item m="1" x="4044"/>
        <item m="1" x="7535"/>
        <item m="1" x="7059"/>
        <item m="1" x="6184"/>
        <item m="1" x="6375"/>
        <item m="1" x="1294"/>
        <item m="1" x="760"/>
        <item m="1" x="190"/>
        <item m="1" x="2757"/>
        <item m="1" x="2245"/>
        <item m="1" x="7714"/>
        <item m="1" x="7248"/>
        <item m="1" x="4701"/>
        <item m="1" x="3168"/>
        <item m="1" x="2151"/>
        <item m="1" x="623"/>
        <item m="1" x="4170"/>
        <item m="1" x="6711"/>
        <item m="1" x="4838"/>
        <item m="1" x="4305"/>
        <item m="1" x="3783"/>
        <item m="1" x="4175"/>
        <item m="1" x="4713"/>
        <item m="1" x="4177"/>
        <item m="1" x="2163"/>
        <item m="1" x="7667"/>
        <item m="1" x="6723"/>
        <item m="1" x="5329"/>
        <item m="1" x="4310"/>
        <item m="1" x="3790"/>
        <item m="1" x="3290"/>
        <item m="1" x="5211"/>
        <item m="1" x="4719"/>
        <item m="1" x="4186"/>
        <item m="1" x="3644"/>
        <item m="1" x="3179"/>
        <item m="1" x="2661"/>
        <item m="1" x="2168"/>
        <item m="1" x="1620"/>
        <item m="1" x="1077"/>
        <item m="1" x="7671"/>
        <item m="1" x="7188"/>
        <item m="1" x="6727"/>
        <item m="1" x="5332"/>
        <item m="1" x="4314"/>
        <item m="1" x="3791"/>
        <item m="1" x="3291"/>
        <item m="1" x="7297"/>
        <item m="1" x="6835"/>
        <item m="1" x="6421"/>
        <item m="1" x="5432"/>
        <item m="1" x="493"/>
        <item m="1" x="5213"/>
        <item m="1" x="4724"/>
        <item m="1" x="3645"/>
        <item m="1" x="3181"/>
        <item m="1" x="2402"/>
        <item m="1" x="1870"/>
        <item m="1" x="1332"/>
        <item m="1" x="799"/>
        <item m="1" x="250"/>
        <item m="1" x="6941"/>
        <item m="1" x="6508"/>
        <item m="1" x="6041"/>
        <item m="1" x="4034"/>
        <item m="1" x="1956"/>
        <item m="1" x="1421"/>
        <item m="1" x="902"/>
        <item m="1" x="4115"/>
        <item m="1" x="3602"/>
        <item m="1" x="3128"/>
        <item m="1" x="1552"/>
        <item m="1" x="5289"/>
        <item m="1" x="4795"/>
        <item m="1" x="3711"/>
        <item m="1" x="3249"/>
        <item m="1" x="2728"/>
        <item m="1" x="7725"/>
        <item m="1" x="6372"/>
        <item m="1" x="4381"/>
        <item m="1" x="2991"/>
        <item m="1" x="2477"/>
        <item m="1" x="1937"/>
        <item m="1" x="1408"/>
        <item m="1" x="6553"/>
        <item m="1" x="6100"/>
        <item m="1" x="5610"/>
        <item m="1" x="5154"/>
        <item m="1" x="4648"/>
        <item m="1" x="4099"/>
        <item m="1" x="3585"/>
        <item m="1" x="3111"/>
        <item m="1" x="2595"/>
        <item m="1" x="7596"/>
        <item m="1" x="7130"/>
        <item m="1" x="6668"/>
        <item m="1" x="6239"/>
        <item m="1" x="5732"/>
        <item m="1" x="5276"/>
        <item m="1" x="4784"/>
        <item m="1" x="5570"/>
        <item m="1" x="5094"/>
        <item m="1" x="36"/>
        <item m="1" x="7079"/>
        <item m="1" x="2386"/>
        <item m="1" x="1852"/>
        <item m="1" x="1311"/>
        <item m="1" x="779"/>
        <item m="1" x="221"/>
        <item m="1" x="6592"/>
        <item m="1" x="6152"/>
        <item m="1" x="5657"/>
        <item m="1" x="5191"/>
        <item m="1" x="4679"/>
        <item m="1" x="4143"/>
        <item m="1" x="3627"/>
        <item m="1" x="3154"/>
        <item m="1" x="2623"/>
        <item m="1" x="7164"/>
        <item m="1" x="6693"/>
        <item m="1" x="6284"/>
        <item m="1" x="5781"/>
        <item m="1" x="5304"/>
        <item m="1" x="4815"/>
        <item m="1" x="4272"/>
        <item m="1" x="5403"/>
        <item m="1" x="4925"/>
        <item m="1" x="4398"/>
        <item m="1" x="3871"/>
        <item m="1" x="2872"/>
        <item m="1" x="7380"/>
        <item m="1" x="6915"/>
        <item m="1" x="5994"/>
        <item m="1" x="3496"/>
        <item m="1" x="3011"/>
        <item m="1" x="7502"/>
        <item m="1" x="7034"/>
        <item m="1" x="6571"/>
        <item m="1" x="6125"/>
        <item m="1" x="6768"/>
        <item m="1" x="4884"/>
        <item m="1" x="7786"/>
        <item m="1" x="7345"/>
        <item m="1" x="6873"/>
        <item m="1" x="1614"/>
        <item m="1" x="1073"/>
        <item m="1" x="534"/>
        <item m="1" x="6211"/>
        <item m="1" x="5696"/>
        <item m="1" x="5229"/>
        <item m="1" x="234"/>
        <item m="1" x="2005"/>
        <item m="1" x="1472"/>
        <item m="1" x="940"/>
        <item m="1" x="374"/>
        <item m="1" x="2633"/>
        <item m="1" x="6497"/>
        <item m="1" x="1675"/>
        <item m="1" x="1141"/>
        <item m="1" x="617"/>
        <item m="1" x="5048"/>
        <item m="1" x="4540"/>
        <item m="1" x="4010"/>
        <item m="1" x="3554"/>
        <item m="1" x="7683"/>
        <item m="1" x="516"/>
        <item m="1" x="1368"/>
        <item m="1" x="4821"/>
        <item m="1" x="1327"/>
        <item m="1" x="5668"/>
        <item m="1" x="2723"/>
        <item m="1" x="3506"/>
        <item m="1" x="3020"/>
        <item m="1" x="2493"/>
        <item m="1" x="1974"/>
        <item m="1" x="1438"/>
        <item m="1" x="916"/>
        <item m="1" x="7511"/>
        <item m="1" x="7041"/>
        <item m="1" x="6579"/>
        <item m="1" x="6143"/>
        <item m="1" x="5182"/>
        <item m="1" x="4671"/>
        <item m="1" x="4130"/>
        <item m="1" x="3617"/>
        <item m="1" x="3143"/>
        <item m="1" x="7307"/>
        <item m="1" x="1021"/>
        <item m="1" x="2467"/>
        <item m="1" x="6659"/>
        <item m="1" x="2850"/>
        <item m="1" x="7000"/>
        <item m="1" x="2587"/>
        <item m="1" x="6775"/>
        <item m="1" x="5016"/>
        <item m="1" x="2990"/>
        <item m="1" x="7129"/>
        <item m="1" x="6587"/>
        <item m="1" x="800"/>
        <item m="1" x="2233"/>
        <item m="1" x="7689"/>
        <item m="1" x="3963"/>
        <item m="1" x="2696"/>
        <item m="1" x="6870"/>
        <item m="1" x="4045"/>
        <item m="1" x="1043"/>
        <item m="1" x="5401"/>
        <item m="1" x="1437"/>
        <item m="1" x="5764"/>
        <item m="1" x="847"/>
        <item m="1" x="1603"/>
        <item m="1" x="318"/>
        <item m="1" x="293"/>
        <item m="1" x="430"/>
        <item m="1" x="5246"/>
        <item m="1" x="2278"/>
        <item m="1" x="7723"/>
        <item m="1" x="4110"/>
        <item m="1" x="4254"/>
        <item m="1" x="4670"/>
        <item m="1" x="1660"/>
        <item m="1" x="5962"/>
        <item m="1" x="1884"/>
        <item m="1" x="6200"/>
        <item m="1" x="2303"/>
        <item m="1" x="6525"/>
        <item m="1" x="3630"/>
        <item m="1" x="7749"/>
        <item m="1" x="2628"/>
        <item m="1" x="6817"/>
        <item m="1" x="1651"/>
        <item m="1" x="5952"/>
        <item m="1" x="3042"/>
        <item m="1" x="7177"/>
        <item m="1" x="4392"/>
        <item m="1" x="1382"/>
        <item m="1" x="5708"/>
        <item m="1" x="1796"/>
        <item m="1" x="6088"/>
        <item m="1" x="3178"/>
        <item m="1" x="7296"/>
        <item m="1" x="12"/>
        <item m="1" x="4536"/>
        <item m="1" x="4411"/>
        <item m="1" x="7318"/>
        <item m="1" x="778"/>
        <item m="1" x="4325"/>
        <item m="1" x="1206"/>
        <item m="1" x="5190"/>
        <item m="1" x="1308"/>
        <item m="1" x="5654"/>
        <item m="1" x="1726"/>
        <item m="1" x="2603"/>
        <item m="1" x="6029"/>
        <item m="1" x="3029"/>
        <item m="1" x="7168"/>
        <item m="1" x="3116"/>
        <item m="1" x="1452"/>
        <item m="1" x="5779"/>
        <item m="1" x="4875"/>
        <item m="1" x="1865"/>
        <item m="1" x="6172"/>
        <item m="1" x="3246"/>
        <item m="1" x="7371"/>
        <item m="1" x="1334"/>
        <item m="1" x="2733"/>
        <item m="1" x="6910"/>
        <item m="1" x="1649"/>
        <item m="1" x="5949"/>
        <item m="1" x="3038"/>
        <item m="1" x="1963"/>
        <item m="1" x="7121"/>
        <item m="1" x="4317"/>
        <item m="1" x="400"/>
        <item m="1" x="158"/>
        <item m="1" x="1091"/>
        <item m="1" x="548"/>
        <item m="1" x="979"/>
        <item m="1" x="5903"/>
        <item m="1" x="4947"/>
        <item m="1" x="4428"/>
        <item m="1" x="2106"/>
        <item m="1" x="5551"/>
        <item m="1" x="1878"/>
        <item m="1" x="6191"/>
        <item m="1" x="4188"/>
        <item m="1" x="3707"/>
        <item m="1" x="3164"/>
        <item m="1" x="7282"/>
        <item m="1" x="705"/>
        <item m="1" x="1994"/>
        <item m="1" x="7312"/>
        <item m="1" x="6286"/>
        <item m="1" x="4276"/>
        <item m="1" x="34"/>
        <item m="1" x="4554"/>
        <item m="1" x="3355"/>
        <item m="1" x="1269"/>
        <item m="1" x="7454"/>
        <item m="1" x="3564"/>
        <item m="1" x="2404"/>
        <item m="1" x="252"/>
        <item m="1" x="7687"/>
        <item m="1" x="6614"/>
        <item m="1" x="4700"/>
        <item m="1" x="526"/>
        <item m="1" x="4950"/>
        <item m="1" x="2816"/>
        <item m="1" x="4147"/>
        <item m="1" x="2997"/>
        <item m="1" x="5494"/>
        <item m="1" x="3470"/>
        <item m="1" x="7602"/>
        <item m="1" x="2548"/>
        <item m="1" x="420"/>
        <item m="1" x="2950"/>
        <item m="1" x="841"/>
        <item m="1" x="4705"/>
        <item m="1" x="6080"/>
        <item m="1" x="4105"/>
        <item m="1" x="5221"/>
        <item m="1" x="7310"/>
        <item m="1" x="33"/>
        <item m="1" x="2929"/>
        <item m="1" x="6117"/>
        <item m="1" x="1404"/>
        <item m="1" x="5724"/>
        <item m="1" x="4835"/>
        <item m="1" x="4125"/>
        <item m="1" x="7195"/>
        <item m="1" x="4966"/>
        <item m="1" x="6948"/>
        <item m="1" x="4121"/>
        <item m="1" x="1113"/>
        <item m="1" x="6962"/>
        <item m="1" x="7332"/>
        <item m="1" x="66"/>
        <item m="1" x="4572"/>
        <item m="1" x="1550"/>
        <item m="1" x="5863"/>
        <item m="1" x="2271"/>
        <item m="1" x="6502"/>
        <item m="1" x="4264"/>
        <item m="1" x="1259"/>
        <item m="1" x="2669"/>
        <item m="1" x="6840"/>
        <item m="1" x="4419"/>
        <item m="1" x="1410"/>
        <item m="1" x="5734"/>
        <item m="1" x="3463"/>
        <item m="1" x="1992"/>
        <item m="1" x="6285"/>
        <item m="1" x="6606"/>
        <item m="1" x="3703"/>
        <item m="1" x="3856"/>
        <item m="1" x="853"/>
        <item m="1" x="2276"/>
        <item m="1" x="6506"/>
        <item m="1" x="6829"/>
        <item m="1" x="4000"/>
        <item m="1" x="4131"/>
        <item m="1" x="5874"/>
        <item m="1" x="269"/>
        <item m="1" x="4720"/>
        <item m="1" x="1701"/>
        <item m="1" x="6004"/>
        <item m="1" x="6389"/>
        <item m="1" x="5115"/>
        <item m="1" x="2144"/>
        <item m="1" x="6408"/>
        <item m="1" x="6511"/>
        <item m="1" x="7086"/>
        <item m="1" x="6852"/>
        <item m="1" x="1417"/>
        <item m="1" x="2822"/>
        <item m="1" x="6978"/>
        <item m="1" x="6132"/>
        <item m="1" x="3219"/>
        <item m="1" x="7350"/>
        <item m="1" x="87"/>
        <item m="1" x="4588"/>
        <item m="1" x="1563"/>
        <item m="1" x="5877"/>
        <item m="1" x="6270"/>
        <item m="1" x="6010"/>
        <item m="1" x="7597"/>
        <item m="1" x="414"/>
        <item m="1" x="4857"/>
        <item m="1" x="3597"/>
        <item m="1" x="561"/>
        <item m="1" x="4984"/>
        <item m="1" x="2008"/>
        <item m="1" x="6411"/>
        <item m="1" x="6714"/>
        <item m="1" x="3873"/>
        <item m="1" x="6838"/>
        <item m="1" x="4011"/>
        <item m="1" x="2423"/>
        <item m="1" x="6630"/>
        <item m="1" x="6966"/>
        <item m="1" x="4142"/>
        <item m="1" x="2684"/>
        <item m="1" x="6856"/>
        <item m="1" x="4434"/>
        <item m="1" x="2827"/>
        <item m="1" x="6983"/>
        <item m="1" x="6142"/>
        <item m="1" x="1568"/>
        <item m="1" x="6277"/>
        <item m="1" x="283"/>
        <item m="1" x="1718"/>
        <item m="1" x="6021"/>
        <item m="1" x="6403"/>
        <item m="1" x="2012"/>
        <item m="1" x="6300"/>
        <item m="1" x="3718"/>
        <item m="1" x="720"/>
        <item m="1" x="5128"/>
        <item m="1" x="1017"/>
        <item m="1" x="6635"/>
        <item m="1" x="6975"/>
        <item m="1" x="4146"/>
        <item m="1" x="1139"/>
        <item m="1" x="5493"/>
        <item m="1" x="4440"/>
        <item m="1" x="5750"/>
        <item m="1" x="6148"/>
        <item m="1" x="7356"/>
        <item m="1" x="97"/>
        <item m="1" x="1576"/>
        <item m="1" x="6287"/>
        <item m="1" x="3357"/>
        <item m="1" x="7484"/>
        <item m="1" x="292"/>
        <item m="1" x="429"/>
        <item m="1" x="4869"/>
        <item m="1" x="1861"/>
        <item m="1" x="6165"/>
        <item m="1" x="574"/>
        <item m="1" x="6303"/>
        <item m="1" x="6623"/>
        <item m="1" x="3724"/>
        <item m="1" x="729"/>
        <item m="1" x="5134"/>
        <item m="1" x="2158"/>
        <item m="1" x="6416"/>
        <item m="1" x="3883"/>
        <item m="1" x="880"/>
        <item m="1" x="5269"/>
        <item m="1" x="6513"/>
        <item m="1" x="1284"/>
        <item m="1" x="5622"/>
        <item m="1" x="2837"/>
        <item m="1" x="6991"/>
        <item m="1" x="6150"/>
        <item m="1" x="1583"/>
        <item m="1" x="6295"/>
        <item m="1" x="3366"/>
        <item m="1" x="5410"/>
        <item m="1" x="6826"/>
        <item m="1" x="2471"/>
        <item m="1" x="3998"/>
        <item m="1" x="2859"/>
        <item m="1" x="7058"/>
        <item m="1" x="6149"/>
        <item m="1" x="7010"/>
        <item m="1" x="4253"/>
        <item m="1" x="6030"/>
        <item m="1" x="6410"/>
        <item m="1" x="1178"/>
        <item m="1" x="1597"/>
        <item m="1" x="5910"/>
        <item m="1" x="6039"/>
        <item m="1" x="7664"/>
        <item m="1" x="486"/>
        <item m="1" x="3123"/>
        <item m="1" x="4929"/>
        <item m="1" x="922"/>
        <item m="1" x="3495"/>
        <item m="1" x="5297"/>
        <item m="1" x="7628"/>
        <item m="1" x="7728"/>
        <item m="1" x="5001"/>
        <item m="1" x="2020"/>
        <item m="1" x="6308"/>
        <item m="1" x="3728"/>
        <item m="1" x="733"/>
        <item m="1" x="5139"/>
        <item m="1" x="2165"/>
        <item m="1" x="6420"/>
        <item m="1" x="3484"/>
        <item m="1" x="2362"/>
        <item m="1" x="3315"/>
        <item m="1" x="3866"/>
        <item m="1" x="1617"/>
        <item m="1" x="6922"/>
        <item m="1" x="59"/>
        <item m="1" x="6667"/>
        <item m="1" x="4568"/>
        <item m="1" x="3806"/>
        <item m="1" x="1546"/>
        <item m="1" x="5431"/>
        <item m="1" x="5861"/>
        <item m="1" x="780"/>
        <item m="1" x="4385"/>
        <item m="1" x="5455"/>
        <item m="1" x="4027"/>
        <item m="1" x="6981"/>
        <item m="1" x="4155"/>
        <item m="1" x="5503"/>
        <item m="1" x="2553"/>
        <item m="1" x="6752"/>
        <item m="1" x="7105"/>
        <item m="1" x="4298"/>
        <item m="1" x="1289"/>
        <item m="1" x="2692"/>
        <item m="1" x="6864"/>
        <item m="1" x="4447"/>
        <item m="1" x="1433"/>
        <item m="1" x="5757"/>
        <item m="1" x="2841"/>
        <item m="1" x="6156"/>
        <item m="1" x="3236"/>
        <item m="1" x="7361"/>
        <item m="1" x="1587"/>
        <item m="1" x="3370"/>
        <item m="1" x="303"/>
        <item m="1" x="4751"/>
        <item m="1" x="1731"/>
        <item m="1" x="6037"/>
        <item m="1" x="7622"/>
        <item m="1" x="4879"/>
        <item m="1" x="3526"/>
        <item m="1" x="7655"/>
        <item m="1" x="3613"/>
        <item m="1" x="7733"/>
        <item m="1" x="590"/>
        <item m="1" x="5007"/>
        <item m="1" x="2028"/>
        <item m="1" x="6313"/>
        <item m="1" x="3911"/>
        <item m="1" x="6046"/>
        <item m="1" x="5076"/>
        <item m="1" x="4580"/>
        <item m="1" x="4040"/>
        <item m="1" x="3536"/>
        <item m="1" x="3040"/>
        <item m="1" x="5672"/>
        <item m="1" x="1957"/>
        <item m="1" x="1425"/>
        <item m="1" x="906"/>
        <item m="1" x="348"/>
        <item m="1" x="4117"/>
        <item m="1" x="3606"/>
        <item m="1" x="3132"/>
        <item m="1" x="2611"/>
        <item m="1" x="5988"/>
        <item m="1" x="1110"/>
        <item m="1" x="580"/>
        <item m="1" x="394"/>
        <item m="1" x="7064"/>
        <item m="1" x="6626"/>
        <item m="1" x="6187"/>
        <item m="1" x="5677"/>
        <item m="1" x="5210"/>
        <item m="1" x="4716"/>
        <item m="1" x="4182"/>
        <item m="1" x="3641"/>
        <item m="1" x="3175"/>
        <item m="1" x="2655"/>
        <item m="1" x="7665"/>
        <item m="1" x="7185"/>
        <item m="1" x="6720"/>
        <item m="1" x="6315"/>
        <item m="1" x="5811"/>
        <item m="1" x="3566"/>
        <item m="1" x="1211"/>
        <item m="1" x="6936"/>
        <item m="1" x="4279"/>
        <item m="1" x="3654"/>
        <item m="1" x="7660"/>
        <item m="1" x="1114"/>
        <item m="1" x="481"/>
        <item m="1" x="5467"/>
        <item m="1" x="2521"/>
        <item m="1" x="1913"/>
        <item m="1" x="6713"/>
        <item m="1" x="2250"/>
        <item m="1" x="2665"/>
        <item m="1" x="6836"/>
        <item m="1" x="3577"/>
        <item m="1" x="4009"/>
        <item m="1" x="3416"/>
        <item m="1" x="7341"/>
        <item m="1" x="5465"/>
        <item m="1" x="78"/>
        <item m="1" x="2694"/>
        <item m="1" x="4582"/>
        <item m="1" x="2519"/>
        <item m="1" x="6866"/>
        <item m="1" x="6707"/>
        <item m="1" x="1560"/>
        <item m="1" x="4037"/>
        <item m="1" x="7068"/>
        <item m="1" x="1968"/>
        <item m="1" x="4450"/>
        <item m="1" x="6262"/>
        <item m="1" x="3334"/>
        <item m="1" x="2741"/>
        <item m="1" x="1565"/>
        <item m="1" x="7051"/>
        <item m="1" x="6401"/>
        <item m="1" x="3471"/>
        <item m="1" x="2891"/>
        <item m="1" x="2406"/>
        <item m="1" x="6616"/>
        <item m="1" x="5542"/>
        <item m="1" x="1716"/>
        <item m="1" x="1081"/>
        <item m="1" x="2593"/>
        <item m="1" x="6017"/>
        <item m="1" x="6779"/>
        <item m="1" x="3110"/>
        <item m="1" x="2495"/>
        <item m="1" x="3926"/>
        <item m="1" x="7240"/>
        <item m="1" x="4462"/>
        <item m="1" x="3844"/>
        <item m="1" x="1080"/>
        <item m="1" x="7740"/>
        <item m="1" x="7114"/>
        <item m="1" x="1567"/>
        <item m="1" x="1385"/>
        <item m="1" x="5711"/>
        <item m="1" x="2429"/>
        <item m="1" x="1802"/>
        <item m="1" x="3528"/>
        <item m="1" x="7656"/>
        <item m="1" x="474"/>
        <item m="1" x="4914"/>
        <item m="1" x="1283"/>
        <item m="1" x="5619"/>
        <item m="1" x="3283"/>
        <item m="1" x="6647"/>
        <item m="1" x="2833"/>
        <item m="1" x="3639"/>
        <item m="1" x="7760"/>
        <item m="1" x="1137"/>
        <item m="1" x="2045"/>
        <item m="1" x="5492"/>
        <item m="1" x="6327"/>
        <item m="1" x="2544"/>
        <item m="1" x="3396"/>
        <item m="1" x="3472"/>
        <item m="1" x="3892"/>
        <item m="1" x="7603"/>
        <item m="1" x="421"/>
        <item m="1" x="893"/>
        <item m="1" x="4863"/>
        <item m="1" x="5278"/>
        <item m="1" x="842"/>
        <item m="1" x="1280"/>
        <item m="1" x="5238"/>
        <item m="1" x="5617"/>
        <item m="1" x="5857"/>
        <item m="1" x="3281"/>
        <item m="1" x="7402"/>
        <item m="1" x="6501"/>
        <item m="1" x="2943"/>
        <item m="1" x="178"/>
        <item m="1" x="7094"/>
        <item m="1" x="565"/>
        <item m="1" x="4987"/>
        <item m="1" x="1900"/>
        <item m="1" x="998"/>
        <item m="1" x="5363"/>
        <item m="1" x="2327"/>
        <item m="1" x="3082"/>
        <item m="1" x="6465"/>
        <item m="1" x="7221"/>
        <item m="1" x="3560"/>
        <item m="1" x="4437"/>
        <item m="1" x="7686"/>
        <item m="1" x="2875"/>
        <item m="1" x="7037"/>
        <item m="1" x="1670"/>
        <item m="1" x="5970"/>
        <item m="1" x="891"/>
        <item m="1" x="964"/>
        <item m="1" x="5341"/>
        <item m="1" x="4575"/>
        <item m="1" x="1554"/>
        <item m="1" x="5869"/>
        <item m="1" x="2415"/>
        <item m="1" x="1342"/>
        <item m="1" x="4664"/>
        <item m="1" x="7271"/>
        <item m="1" x="7670"/>
        <item m="1" x="492"/>
        <item m="1" x="1491"/>
        <item m="1" x="1929"/>
        <item m="1" x="4266"/>
        <item m="1" x="4681"/>
        <item m="1" x="4168"/>
        <item m="1" x="3565"/>
        <item m="1" x="1832"/>
        <item m="1" x="5326"/>
        <item m="1" x="6133"/>
        <item m="1" x="2368"/>
        <item m="1" x="6231"/>
        <item m="1" x="4232"/>
        <item m="1" x="2349"/>
        <item m="1" x="159"/>
        <item m="1" x="6550"/>
        <item m="1" x="4647"/>
        <item m="1" x="3653"/>
        <item m="1" x="1626"/>
        <item m="1" x="7771"/>
        <item m="1" x="5939"/>
        <item m="1" x="643"/>
        <item m="1" x="2173"/>
        <item m="1" x="5055"/>
        <item m="1" x="6425"/>
        <item m="1" x="2085"/>
        <item m="1" x="3509"/>
        <item m="1" x="6351"/>
        <item m="1" x="7645"/>
        <item m="1" x="2481"/>
        <item m="1" x="3895"/>
        <item m="1" x="5895"/>
        <item m="1" x="579"/>
        <item m="1" x="4999"/>
        <item m="1" x="2016"/>
        <item m="1" x="3101"/>
        <item m="1" x="7233"/>
        <item m="1" x="5973"/>
        <item m="1" x="569"/>
        <item m="1" x="5166"/>
        <item m="1" x="1157"/>
        <item m="1" x="1004"/>
        <item m="1" x="5516"/>
        <item m="1" x="6344"/>
        <item m="1" x="2572"/>
        <item m="1" x="3413"/>
        <item m="1" x="3251"/>
        <item m="1" x="2643"/>
        <item m="1" x="6824"/>
        <item m="1" x="3989"/>
        <item m="1" x="994"/>
        <item m="1" x="2795"/>
        <item m="1" x="6954"/>
        <item m="1" x="4136"/>
        <item m="1" x="35"/>
        <item m="1" x="4555"/>
        <item m="1" x="6291"/>
        <item m="1" x="6641"/>
        <item m="1" x="3361"/>
        <item m="1" x="3751"/>
        <item m="1" x="4766"/>
        <item m="1" x="1169"/>
        <item m="1" x="5529"/>
        <item m="1" x="2581"/>
        <item m="1" x="6771"/>
        <item m="1" x="3508"/>
        <item m="1" x="7642"/>
        <item m="1" x="5217"/>
        <item m="1" x="4549"/>
        <item m="1" x="7767"/>
        <item m="1" x="6556"/>
        <item m="1" x="2917"/>
        <item m="1" x="3739"/>
        <item m="1" x="737"/>
        <item m="1" x="4192"/>
        <item m="1" x="2459"/>
        <item m="1" x="7042"/>
        <item m="1" x="4138"/>
        <item m="1" x="3543"/>
        <item m="1" x="6945"/>
        <item m="1" x="7396"/>
        <item m="1" x="4560"/>
        <item m="1" x="1275"/>
        <item m="1" x="168"/>
        <item m="1" x="3655"/>
        <item m="1" x="7773"/>
        <item m="1" x="2727"/>
        <item m="1" x="6905"/>
        <item m="1" x="7135"/>
        <item m="1" x="7520"/>
        <item m="1" x="2624"/>
        <item m="1" x="6812"/>
        <item m="1" x="4335"/>
        <item m="1" x="2498"/>
        <item m="1" x="6690"/>
        <item m="1" x="5161"/>
        <item m="1" x="7166"/>
        <item m="1" x="2192"/>
        <item m="1" x="6442"/>
        <item m="1" x="4372"/>
        <item m="1" x="3524"/>
        <item m="1" x="1362"/>
        <item m="1" x="7652"/>
        <item m="1" x="5692"/>
        <item m="1" x="470"/>
        <item m="1" x="4542"/>
        <item m="1" x="2863"/>
        <item m="1" x="7013"/>
        <item m="1" x="1528"/>
        <item m="1" x="2549"/>
        <item m="1" x="6748"/>
        <item m="1" x="5037"/>
        <item m="1" x="1050"/>
        <item m="1" x="4590"/>
        <item m="1" x="7787"/>
        <item m="1" x="5407"/>
        <item m="1" x="671"/>
        <item m="1" x="5082"/>
        <item m="1" x="3478"/>
        <item m="1" x="5251"/>
        <item m="1" x="3859"/>
        <item m="1" x="4962"/>
        <item m="1" x="7554"/>
        <item m="1" x="368"/>
        <item m="1" x="1973"/>
        <item m="1" x="4819"/>
        <item m="1" x="6210"/>
        <item m="1" x="1605"/>
        <item m="1" x="5921"/>
        <item m="1" x="3278"/>
        <item m="1" x="3338"/>
        <item m="1" x="3368"/>
        <item m="1" x="3755"/>
        <item m="1" x="7489"/>
        <item m="1" x="3708"/>
        <item m="1" x="3555"/>
        <item m="1" x="7684"/>
        <item m="1" x="2321"/>
        <item m="1" x="1677"/>
        <item m="1" x="6534"/>
        <item m="1" x="5980"/>
        <item m="1" x="3077"/>
        <item m="1" x="3904"/>
        <item m="1" x="7219"/>
        <item m="1" x="4304"/>
        <item m="1" x="7575"/>
        <item m="1" x="382"/>
        <item m="1" x="1293"/>
        <item m="1" x="5074"/>
        <item m="1" x="2099"/>
        <item m="1" x="6371"/>
        <item m="1" x="4043"/>
        <item m="1" x="2017"/>
        <item m="1" x="6307"/>
        <item m="1" x="4451"/>
        <item m="1" x="2417"/>
        <item m="1" x="6625"/>
        <item m="1" x="1435"/>
        <item m="1" x="2421"/>
        <item m="1" x="2844"/>
        <item m="1" x="6628"/>
        <item m="1" x="6998"/>
        <item m="1" x="4183"/>
        <item m="1" x="2532"/>
        <item m="1" x="3969"/>
        <item m="1" x="6733"/>
        <item m="1" x="957"/>
        <item m="1" x="3886"/>
        <item m="1" x="5339"/>
        <item m="1" x="886"/>
        <item m="1" x="2378"/>
        <item m="1" x="6581"/>
        <item m="1" x="3688"/>
        <item m="1" x="5806"/>
        <item m="1" x="2783"/>
        <item m="1" x="7106"/>
        <item m="1" x="6944"/>
        <item m="1" x="2870"/>
        <item m="1" x="4301"/>
        <item m="1" x="7029"/>
        <item m="1" x="4119"/>
        <item m="1" x="1290"/>
        <item m="1" x="6220"/>
        <item m="1" x="4223"/>
        <item m="1" x="5630"/>
        <item m="1" x="5071"/>
        <item m="1" x="3288"/>
        <item m="1" x="1192"/>
        <item m="1" x="2695"/>
        <item m="1" x="2096"/>
        <item m="1" x="7411"/>
        <item m="1" x="5555"/>
        <item m="1" x="6867"/>
        <item m="1" x="6368"/>
        <item m="1" x="3643"/>
        <item m="1" x="1619"/>
        <item m="1" x="3098"/>
        <item m="1" x="2485"/>
        <item m="1" x="7763"/>
        <item m="1" x="5931"/>
        <item m="1" x="7230"/>
        <item m="1" x="6678"/>
        <item m="1" x="6188"/>
        <item m="1" x="3835"/>
        <item m="1" x="3256"/>
        <item m="1" x="7382"/>
        <item m="1" x="803"/>
        <item m="1" x="149"/>
        <item m="1" x="5206"/>
        <item m="1" x="4637"/>
        <item m="1" x="6732"/>
        <item m="1" x="1131"/>
        <item m="1" x="1574"/>
        <item m="1" x="5488"/>
        <item m="1" x="5885"/>
        <item m="1" x="3885"/>
        <item m="1" x="2985"/>
        <item m="1" x="6386"/>
        <item m="1" x="7122"/>
        <item m="1" x="3356"/>
        <item m="1" x="6692"/>
        <item m="1" x="7482"/>
        <item m="1" x="288"/>
        <item m="1" x="3849"/>
        <item m="1" x="4738"/>
        <item m="1" x="2352"/>
        <item m="1" x="6555"/>
        <item m="1" x="3661"/>
        <item m="1" x="7523"/>
        <item m="1" x="340"/>
        <item m="1" x="1218"/>
        <item m="1" x="4791"/>
        <item m="1" x="5579"/>
        <item m="1" x="1776"/>
        <item m="1" x="2631"/>
        <item m="1" x="2291"/>
        <item m="1" x="5719"/>
        <item m="1" x="6608"/>
        <item m="1" x="7372"/>
        <item m="1" x="118"/>
        <item m="1" x="1337"/>
        <item m="1" x="5675"/>
        <item m="1" x="7124"/>
        <item m="1" x="1127"/>
        <item m="1" x="1031"/>
        <item m="1" x="5483"/>
        <item m="1" x="3464"/>
        <item m="1" x="5392"/>
        <item m="1" x="4319"/>
        <item m="1" x="7590"/>
        <item m="1" x="7708"/>
        <item m="1" x="1948"/>
        <item m="1" x="7140"/>
        <item m="1" x="6246"/>
        <item m="1" x="2964"/>
        <item m="1" x="3704"/>
        <item m="1" x="7110"/>
        <item m="1" x="3163"/>
        <item m="1" x="7280"/>
        <item m="1" x="4306"/>
        <item m="1" x="4996"/>
        <item m="1" x="6305"/>
        <item m="1" x="6706"/>
        <item m="1" x="7498"/>
        <item m="1" x="311"/>
        <item m="1" x="3857"/>
        <item m="1" x="7577"/>
        <item m="1" x="7405"/>
        <item m="1" x="383"/>
        <item m="1" x="854"/>
        <item m="1" x="179"/>
        <item m="1" x="7761"/>
        <item m="1" x="1239"/>
        <item m="1" x="628"/>
        <item m="1" x="5209"/>
        <item m="1" x="5595"/>
        <item m="1" x="6830"/>
        <item m="1" x="6342"/>
        <item m="1" x="350"/>
        <item m="1" x="762"/>
        <item m="1" x="5721"/>
        <item m="1" x="2208"/>
        <item m="1" x="6451"/>
        <item m="1" x="3542"/>
        <item m="1" x="7669"/>
        <item m="1" x="491"/>
        <item m="1" x="926"/>
        <item m="1" x="5850"/>
        <item m="1" x="2927"/>
        <item m="1" x="1989"/>
        <item m="1" x="6282"/>
        <item m="1" x="4164"/>
        <item m="1" x="1147"/>
        <item m="1" x="5511"/>
        <item m="1" x="2560"/>
        <item m="1" x="1443"/>
        <item m="1" x="5772"/>
        <item m="1" x="2849"/>
        <item m="1" x="2622"/>
        <item m="1" x="6809"/>
        <item m="1" x="2883"/>
        <item m="1" x="4748"/>
        <item m="1" x="6104"/>
        <item m="1" x="4824"/>
        <item m="1" x="1728"/>
        <item m="1" x="6033"/>
        <item m="1" x="1816"/>
        <item m="1" x="6106"/>
        <item m="1" x="3121"/>
        <item m="1" x="2767"/>
        <item m="1" x="4209"/>
        <item m="1" x="6931"/>
        <item m="1" x="1187"/>
        <item m="1" x="49"/>
        <item m="1" x="4101"/>
        <item m="1" x="4092"/>
        <item m="1" x="4097"/>
        <item m="1" x="352"/>
        <item m="1" x="4511"/>
        <item m="1" x="4518"/>
        <item m="1" x="3792"/>
        <item m="1" x="3222"/>
        <item m="1" x="7351"/>
        <item m="1" x="2289"/>
        <item m="1" x="4459"/>
        <item m="1" x="2554"/>
        <item m="1" x="1450"/>
        <item m="1" x="6753"/>
        <item m="1" x="5776"/>
        <item m="1" x="3581"/>
        <item m="1" x="3700"/>
        <item m="1" x="2716"/>
        <item m="1" x="6892"/>
        <item m="1" x="6801"/>
        <item m="1" x="39"/>
        <item m="1" x="4557"/>
        <item m="1" x="1458"/>
        <item m="1" x="5218"/>
        <item m="1" x="1352"/>
        <item m="1" x="2256"/>
        <item m="1" x="5684"/>
        <item m="1" x="6485"/>
        <item m="1" x="3348"/>
        <item m="1" x="3194"/>
        <item m="1" x="7477"/>
        <item m="1" x="7313"/>
        <item m="1" x="284"/>
        <item m="1" x="4606"/>
        <item m="1" x="5899"/>
        <item m="1" x="3125"/>
        <item m="1" x="7255"/>
        <item m="1" x="257"/>
        <item m="1" x="1786"/>
        <item m="1" x="4708"/>
        <item m="1" x="6084"/>
        <item m="1" x="7290"/>
        <item m="1" x="3230"/>
        <item m="1" x="2035"/>
        <item m="1" x="2040"/>
        <item m="1" x="6321"/>
        <item m="1" x="3391"/>
        <item m="1" x="3047"/>
        <item m="1" x="7184"/>
        <item m="1" x="6138"/>
        <item m="1" x="5145"/>
        <item m="1" x="3270"/>
        <item m="1" x="7646"/>
        <item m="1" x="460"/>
        <item m="1" x="7724"/>
        <item m="1" x="575"/>
        <item m="1" x="5859"/>
        <item m="1" x="4905"/>
        <item m="1" x="6568"/>
        <item m="1" x="4123"/>
        <item m="1" x="1923"/>
        <item m="1" x="4466"/>
        <item m="1" x="2440"/>
        <item m="1" x="6638"/>
        <item m="1" x="264"/>
        <item m="1" x="1086"/>
        <item m="1" x="4711"/>
        <item m="1" x="3637"/>
        <item m="1" x="5444"/>
        <item m="1" x="3658"/>
        <item m="1" x="108"/>
        <item m="1" x="2550"/>
        <item m="1" x="1578"/>
        <item m="1" x="958"/>
        <item m="1" x="2232"/>
        <item m="1" x="5568"/>
        <item m="1" x="2769"/>
        <item m="1" x="1795"/>
        <item m="1" x="3673"/>
        <item m="1" x="1084"/>
        <item m="1" x="1371"/>
        <item m="1" x="2904"/>
        <item m="1" x="1656"/>
        <item m="1" x="3045"/>
        <item m="1" x="7181"/>
        <item m="1" x="7543"/>
        <item m="1" x="1805"/>
        <item m="1" x="6092"/>
        <item m="1" x="7677"/>
        <item m="1" x="507"/>
        <item m="1" x="1936"/>
        <item m="1" x="2098"/>
        <item m="1" x="6370"/>
        <item m="1" x="6680"/>
        <item m="1" x="5207"/>
        <item m="1" x="4242"/>
        <item m="1" x="1219"/>
        <item m="1" x="5580"/>
        <item m="1" x="6818"/>
        <item m="1" x="7173"/>
        <item m="1" x="2776"/>
        <item m="1" x="6939"/>
        <item m="1" x="1514"/>
        <item m="1" x="2909"/>
        <item m="1" x="362"/>
        <item m="1" x="962"/>
        <item m="1" x="4245"/>
        <item m="1" x="1225"/>
        <item m="1" x="5582"/>
        <item m="1" x="4384"/>
        <item m="1" x="1380"/>
        <item m="1" x="5707"/>
        <item m="1" x="2780"/>
        <item m="1" x="7423"/>
        <item m="1" x="7550"/>
        <item m="1" x="366"/>
        <item m="1" x="4817"/>
        <item m="1" x="1811"/>
        <item m="1" x="6099"/>
        <item m="1" x="4248"/>
        <item m="1" x="4395"/>
        <item m="1" x="240"/>
        <item m="1" x="6576"/>
        <item m="1" x="674"/>
        <item m="1" x="4108"/>
        <item m="1" x="1101"/>
        <item m="1" x="5457"/>
        <item m="1" x="4252"/>
        <item m="1" x="1818"/>
        <item m="1" x="6109"/>
        <item m="1" x="6694"/>
        <item m="1" x="6820"/>
        <item m="1" x="7437"/>
        <item m="1" x="4683"/>
        <item m="1" x="4829"/>
        <item m="1" x="6114"/>
        <item m="1" x="7330"/>
        <item m="1" x="62"/>
        <item m="1" x="7693"/>
        <item m="1" x="2115"/>
        <item m="1" x="6388"/>
        <item m="1" x="6697"/>
        <item m="1" x="3850"/>
        <item m="1" x="824"/>
        <item m="1" x="5226"/>
        <item m="1" x="2264"/>
        <item m="1" x="6492"/>
        <item m="1" x="2395"/>
        <item m="1" x="6942"/>
        <item m="1" x="1247"/>
        <item m="1" x="5597"/>
        <item m="1" x="4410"/>
        <item m="1" x="1402"/>
        <item m="1" x="5723"/>
        <item m="1" x="2796"/>
        <item m="1" x="6955"/>
        <item m="1" x="7317"/>
        <item m="1" x="40"/>
        <item m="1" x="5854"/>
        <item m="1" x="2934"/>
        <item m="1" x="7441"/>
        <item m="1" x="4688"/>
        <item m="1" x="3073"/>
        <item m="1" x="1824"/>
        <item m="1" x="7335"/>
        <item m="1" x="70"/>
        <item m="1" x="7696"/>
        <item m="1" x="535"/>
        <item m="1" x="4956"/>
        <item m="1" x="1962"/>
        <item m="1" x="6257"/>
        <item m="1" x="3328"/>
        <item m="1" x="7459"/>
        <item m="1" x="262"/>
        <item m="1" x="6595"/>
        <item m="1" x="5096"/>
        <item m="1" x="6394"/>
        <item m="1" x="6699"/>
        <item m="1" x="3852"/>
        <item m="1" x="829"/>
        <item m="1" x="5232"/>
        <item m="1" x="6823"/>
        <item m="1" x="3988"/>
        <item m="1" x="2400"/>
        <item m="1" x="6611"/>
        <item m="1" x="6949"/>
        <item m="1" x="1405"/>
        <item m="1" x="7091"/>
        <item m="1" x="7445"/>
        <item m="1" x="4694"/>
        <item m="1" x="7463"/>
        <item m="1" x="1000"/>
        <item m="1" x="5365"/>
        <item m="1" x="2407"/>
        <item m="1" x="6618"/>
        <item m="1" x="4127"/>
        <item m="1" x="1120"/>
        <item m="1" x="5476"/>
        <item m="1" x="2526"/>
        <item m="1" x="7073"/>
        <item m="1" x="4265"/>
        <item m="1" x="1260"/>
        <item m="1" x="5606"/>
        <item m="1" x="6841"/>
        <item m="1" x="7208"/>
        <item m="1" x="4420"/>
        <item m="1" x="1411"/>
        <item m="1" x="5735"/>
        <item m="1" x="7327"/>
        <item m="1" x="54"/>
        <item m="1" x="4567"/>
        <item m="1" x="1545"/>
        <item m="1" x="5860"/>
        <item m="1" x="7095"/>
        <item m="1" x="7453"/>
        <item m="1" x="251"/>
        <item m="1" x="4699"/>
        <item m="1" x="1680"/>
        <item m="1" x="5985"/>
        <item m="1" x="3084"/>
        <item m="1" x="7223"/>
        <item m="1" x="7586"/>
        <item m="1" x="391"/>
        <item m="1" x="4843"/>
        <item m="1" x="7347"/>
        <item m="1" x="84"/>
        <item m="1" x="7701"/>
        <item m="1" x="540"/>
        <item m="1" x="4965"/>
        <item m="1" x="1977"/>
        <item m="1" x="6267"/>
        <item m="1" x="3339"/>
        <item m="1" x="7467"/>
        <item m="1" x="273"/>
        <item m="1" x="6110"/>
        <item m="1" x="3201"/>
        <item m="1" x="7325"/>
        <item m="1" x="52"/>
        <item m="1" x="4566"/>
        <item m="1" x="1542"/>
        <item m="1" x="5858"/>
        <item m="1" x="6250"/>
        <item m="1" x="3316"/>
        <item m="1" x="7450"/>
        <item m="1" x="248"/>
        <item m="1" x="4697"/>
        <item m="1" x="1678"/>
        <item m="1" x="5983"/>
        <item m="1" x="6379"/>
        <item m="1" x="3451"/>
        <item m="1" x="7584"/>
        <item m="1" x="390"/>
        <item m="1" x="4842"/>
        <item m="1" x="6126"/>
        <item m="1" x="3575"/>
        <item m="1" x="7699"/>
        <item m="1" x="538"/>
        <item m="1" x="4964"/>
        <item m="1" x="1975"/>
        <item m="1" x="6265"/>
        <item m="1" x="6589"/>
        <item m="1" x="3695"/>
        <item m="1" x="683"/>
        <item m="1" x="5093"/>
        <item m="1" x="2119"/>
        <item m="1" x="6392"/>
        <item m="1" x="1570"/>
        <item m="1" x="2068"/>
        <item m="1" x="6341"/>
        <item m="1" x="2980"/>
        <item m="1" x="3408"/>
        <item m="1" x="7119"/>
        <item m="1" x="7533"/>
        <item m="1" x="349"/>
        <item m="1" x="301"/>
        <item m="1" x="4747"/>
        <item m="1" x="3574"/>
        <item m="1" x="3976"/>
        <item m="1" x="2146"/>
        <item m="1" x="6717"/>
        <item m="1" x="3541"/>
        <item m="1" x="7666"/>
        <item m="1" x="3875"/>
        <item m="1" x="489"/>
        <item m="1" x="4930"/>
        <item m="1" x="869"/>
        <item m="1" x="5259"/>
        <item m="1" x="2601"/>
        <item m="1" x="3048"/>
        <item m="1" x="3001"/>
        <item m="1" x="3422"/>
        <item m="1" x="7141"/>
        <item m="1" x="7545"/>
        <item m="1" x="361"/>
        <item m="1" x="4348"/>
        <item m="1" x="2097"/>
        <item m="1" x="5466"/>
        <item m="1" x="2520"/>
        <item m="1" x="6710"/>
        <item m="1" x="1251"/>
        <item m="1" x="5600"/>
        <item m="1" x="2658"/>
        <item m="1" x="7198"/>
        <item m="1" x="4414"/>
        <item m="1" x="5725"/>
        <item m="1" x="2801"/>
        <item m="1" x="6958"/>
        <item m="1" x="6115"/>
        <item m="1" x="3207"/>
        <item m="1" x="7331"/>
        <item m="1" x="63"/>
        <item m="1" x="4570"/>
        <item m="1" x="6255"/>
        <item m="1" x="7457"/>
        <item m="1" x="255"/>
        <item m="1" x="4706"/>
        <item m="1" x="1689"/>
        <item m="1" x="5990"/>
        <item m="1" x="6381"/>
        <item m="1" x="3458"/>
        <item m="1" x="398"/>
        <item m="1" x="4847"/>
        <item m="1" x="1834"/>
        <item m="1" x="6136"/>
        <item m="1" x="6481"/>
        <item m="1" x="3580"/>
        <item m="1" x="7702"/>
        <item m="1" x="542"/>
        <item m="1" x="4968"/>
        <item m="1" x="1982"/>
        <item m="1" x="6272"/>
        <item m="1" x="6598"/>
        <item m="1" x="689"/>
        <item m="1" x="5102"/>
        <item m="1" x="2133"/>
        <item m="1" x="6399"/>
        <item m="1" x="6700"/>
        <item m="1" x="3854"/>
        <item m="1" x="836"/>
        <item m="1" x="5236"/>
        <item m="1" x="2270"/>
        <item m="1" x="6499"/>
        <item m="1" x="6825"/>
        <item m="1" x="3994"/>
        <item m="1" x="995"/>
        <item m="1" x="2403"/>
        <item m="1" x="6613"/>
        <item m="1" x="1116"/>
        <item m="1" x="5470"/>
        <item m="1" x="2522"/>
        <item m="1" x="6715"/>
        <item m="1" x="7072"/>
        <item m="1" x="4262"/>
        <item m="1" x="1256"/>
        <item m="1" x="5604"/>
        <item m="1" x="2666"/>
        <item m="1" x="6839"/>
        <item m="1" x="7204"/>
        <item m="1" x="4416"/>
        <item m="1" x="1407"/>
        <item m="1" x="5731"/>
        <item m="1" x="2809"/>
        <item m="1" x="6968"/>
        <item m="1" x="6118"/>
        <item m="1" x="3210"/>
        <item m="1" x="7336"/>
        <item m="1" x="71"/>
        <item m="1" x="4574"/>
        <item m="1" x="1551"/>
        <item m="1" x="5866"/>
        <item m="1" x="6258"/>
        <item m="1" x="3329"/>
        <item m="1" x="7460"/>
        <item m="1" x="263"/>
        <item m="1" x="5995"/>
        <item m="1" x="6385"/>
        <item m="1" x="1840"/>
        <item m="1" x="6144"/>
        <item m="1" x="6488"/>
        <item m="1" x="3584"/>
        <item m="1" x="7706"/>
        <item m="1" x="546"/>
        <item m="1" x="4974"/>
        <item m="1" x="1987"/>
        <item m="1" x="6281"/>
        <item m="1" x="6604"/>
        <item m="1" x="3702"/>
        <item m="1" x="696"/>
        <item m="1" x="5110"/>
        <item m="1" x="2138"/>
        <item m="1" x="3855"/>
        <item m="1" x="849"/>
        <item m="1" x="5243"/>
        <item m="1" x="2273"/>
        <item m="1" x="6503"/>
        <item m="1" x="6827"/>
        <item m="1" x="3999"/>
        <item m="1" x="1002"/>
        <item m="1" x="5369"/>
        <item m="1" x="2412"/>
        <item m="1" x="6620"/>
        <item m="1" x="6952"/>
        <item m="1" x="4129"/>
        <item m="1" x="1121"/>
        <item m="1" x="5479"/>
        <item m="1" x="2529"/>
        <item m="1" x="6725"/>
        <item m="1" x="7075"/>
        <item m="1" x="4268"/>
        <item m="1" x="1263"/>
        <item m="1" x="5607"/>
        <item m="1" x="2673"/>
        <item m="1" x="7212"/>
        <item m="1" x="4422"/>
        <item m="1" x="1414"/>
        <item m="1" x="5738"/>
        <item m="1" x="2814"/>
        <item m="1" x="3136"/>
        <item m="1" x="2614"/>
        <item m="1" x="4390"/>
        <item m="1" x="3867"/>
        <item m="1" x="6912"/>
        <item m="1" x="6471"/>
        <item m="1" x="5992"/>
        <item m="1" x="1112"/>
        <item m="1" x="5019"/>
        <item m="1" x="4521"/>
        <item m="1" x="3980"/>
        <item m="1" x="3475"/>
        <item m="1" x="6786"/>
        <item m="1" x="2048"/>
        <item m="1" x="1500"/>
        <item m="1" x="976"/>
        <item m="1" x="424"/>
        <item m="1" x="5813"/>
        <item m="1" x="4346"/>
        <item m="1" x="3821"/>
        <item m="1" x="3314"/>
        <item m="1" x="2826"/>
        <item m="1" x="6532"/>
        <item m="1" x="6077"/>
        <item m="1" x="5583"/>
        <item m="1" x="5114"/>
        <item m="1" x="4615"/>
        <item m="1" x="4072"/>
        <item m="1" x="5216"/>
        <item m="1" x="4731"/>
        <item m="1" x="4197"/>
        <item m="1" x="3650"/>
        <item m="1" x="3186"/>
        <item m="1" x="2672"/>
        <item m="1" x="2174"/>
        <item m="1" x="1624"/>
        <item m="1" x="1085"/>
        <item m="1" x="543"/>
        <item m="1" x="7199"/>
        <item m="1" x="6737"/>
        <item m="1" x="6318"/>
        <item m="1" x="5818"/>
        <item m="1" x="5342"/>
        <item m="1" x="4851"/>
        <item m="1" x="4320"/>
        <item m="1" x="3796"/>
        <item m="1" x="3296"/>
        <item m="1" x="2799"/>
        <item m="1" x="7768"/>
        <item m="1" x="7302"/>
        <item m="1" x="6843"/>
        <item m="1" x="5935"/>
        <item m="1" x="5441"/>
        <item m="1" x="4969"/>
        <item m="1" x="7425"/>
        <item m="1" x="6956"/>
        <item m="1" x="2253"/>
        <item m="1" x="1714"/>
        <item m="1" x="1177"/>
        <item m="1" x="640"/>
        <item m="1" x="29"/>
        <item m="1" x="3888"/>
        <item m="1" x="2382"/>
        <item m="1" x="5538"/>
        <item m="1" x="4546"/>
        <item m="1" x="5398"/>
        <item m="1" x="4920"/>
        <item m="1" x="4388"/>
        <item m="1" x="3863"/>
        <item m="1" x="3374"/>
        <item m="1" x="2869"/>
        <item m="1" x="7558"/>
        <item m="1" x="6400"/>
        <item m="1" x="1540"/>
        <item m="1" x="1023"/>
        <item m="1" x="468"/>
        <item m="1" x="7352"/>
        <item m="1" x="2448"/>
        <item m="1" x="5546"/>
        <item m="1" x="4980"/>
        <item m="1" x="2600"/>
        <item m="1" x="1999"/>
        <item m="1" x="6787"/>
        <item m="1" x="6288"/>
        <item m="1" x="3932"/>
        <item m="1" x="3358"/>
        <item m="1" x="7485"/>
        <item m="1" x="937"/>
        <item m="1" x="294"/>
        <item m="1" x="7150"/>
        <item m="1" x="6617"/>
        <item m="1" x="5299"/>
        <item m="1" x="1572"/>
        <item m="1" x="1390"/>
        <item m="1" x="5884"/>
        <item m="1" x="5717"/>
        <item m="1" x="2982"/>
        <item m="1" x="2788"/>
        <item m="1" x="7120"/>
        <item m="1" x="6951"/>
        <item m="1" x="3354"/>
        <item m="1" x="3746"/>
        <item m="1" x="7479"/>
        <item m="1" x="286"/>
        <item m="1" x="743"/>
        <item m="1" x="4736"/>
        <item m="1" x="5146"/>
        <item m="1" x="1721"/>
        <item m="1" x="2177"/>
        <item m="1" x="1990"/>
        <item m="1" x="6283"/>
        <item m="1" x="3351"/>
        <item m="1" x="698"/>
        <item m="1" x="5111"/>
        <item m="1" x="5972"/>
        <item m="1" x="3063"/>
        <item m="1" x="7209"/>
        <item m="1" x="2103"/>
        <item m="1" x="3446"/>
        <item m="1" x="7578"/>
        <item m="1" x="384"/>
        <item m="1" x="5005"/>
        <item m="1" x="7262"/>
        <item m="1" x="2026"/>
        <item m="1" x="4496"/>
        <item m="1" x="6311"/>
        <item m="1" x="2425"/>
        <item m="1" x="4894"/>
        <item m="1" x="6631"/>
        <item m="1" x="1877"/>
        <item m="1" x="6190"/>
        <item m="1" x="3258"/>
        <item m="1" x="5142"/>
        <item m="1" x="5530"/>
        <item m="1" x="2171"/>
        <item m="1" x="2582"/>
        <item m="1" x="6424"/>
        <item m="1" x="6772"/>
        <item m="1" x="2540"/>
        <item m="1" x="2989"/>
        <item m="1" x="6741"/>
        <item m="1" x="7126"/>
        <item m="1" x="6884"/>
        <item m="1" x="2988"/>
        <item m="1" x="3114"/>
        <item m="1" x="7246"/>
        <item m="1" x="3359"/>
        <item m="1" x="4473"/>
        <item m="1" x="1465"/>
        <item m="1" x="1725"/>
        <item m="1" x="6027"/>
        <item m="1" x="7008"/>
        <item m="1" x="3113"/>
        <item m="1" x="3243"/>
        <item m="1" x="2635"/>
        <item m="1" x="4525"/>
        <item m="1" x="1507"/>
        <item m="1" x="1291"/>
        <item m="1" x="5631"/>
        <item m="1" x="6868"/>
        <item m="1" x="6434"/>
        <item m="1" x="3986"/>
        <item m="1" x="1153"/>
        <item m="1" x="992"/>
        <item m="1" x="5515"/>
        <item m="1" x="5355"/>
        <item m="1" x="2563"/>
        <item m="1" x="2397"/>
        <item m="1" x="6760"/>
        <item m="1" x="6609"/>
        <item m="1" x="2972"/>
        <item m="1" x="2784"/>
        <item m="1" x="4227"/>
        <item m="1" x="2464"/>
        <item m="1" x="1197"/>
        <item m="1" x="6658"/>
        <item m="1" x="5558"/>
        <item m="1" x="3789"/>
        <item m="1" x="2618"/>
        <item m="1" x="6093"/>
        <item m="1" x="3106"/>
        <item m="1" x="2219"/>
        <item m="1" x="6457"/>
        <item m="1" x="3468"/>
        <item m="1" x="7595"/>
        <item m="1" x="3549"/>
        <item m="1" x="409"/>
        <item m="1" x="588"/>
        <item m="1" x="2041"/>
        <item m="1" x="5006"/>
        <item m="1" x="6322"/>
        <item m="1" x="2027"/>
        <item m="1" x="3392"/>
        <item m="1" x="6312"/>
        <item m="1" x="7517"/>
        <item m="1" x="4028"/>
        <item m="1" x="7321"/>
        <item m="1" x="45"/>
        <item m="1" x="1024"/>
        <item m="1" x="4561"/>
        <item m="1" x="5387"/>
        <item m="1" x="1539"/>
        <item m="1" x="7370"/>
        <item m="1" x="1868"/>
        <item m="1" x="115"/>
        <item m="1" x="6175"/>
        <item m="1" x="4618"/>
        <item m="1" x="3248"/>
        <item m="1" x="1598"/>
        <item m="1" x="4973"/>
        <item m="1" x="6515"/>
        <item m="1" x="3618"/>
        <item m="1" x="3457"/>
        <item m="1" x="7588"/>
        <item m="1" x="602"/>
        <item m="1" x="396"/>
        <item m="1" x="4846"/>
        <item m="1" x="2431"/>
        <item m="1" x="3744"/>
        <item m="1" x="4098"/>
        <item m="1" x="4519"/>
        <item m="1" x="1499"/>
        <item m="1" x="7680"/>
        <item m="1" x="513"/>
        <item m="1" x="4943"/>
        <item m="1" x="1940"/>
        <item m="1" x="2356"/>
        <item m="1" x="6560"/>
        <item m="1" x="2194"/>
        <item m="1" x="6443"/>
        <item m="1" x="3525"/>
        <item m="1" x="7653"/>
        <item m="1" x="3910"/>
        <item m="1" x="901"/>
        <item m="1" x="5288"/>
        <item m="1" x="2768"/>
        <item m="1" x="6932"/>
        <item m="1" x="4102"/>
        <item m="1" x="1986"/>
        <item m="1" x="6278"/>
        <item m="1" x="2391"/>
        <item m="1" x="6602"/>
        <item m="1" x="3701"/>
        <item m="1" x="1319"/>
        <item m="1" x="695"/>
        <item m="1" x="5666"/>
        <item m="1" x="5108"/>
        <item m="1" x="2720"/>
        <item m="1" x="2137"/>
        <item m="1" x="1479"/>
        <item m="1" x="848"/>
        <item m="1" x="5801"/>
        <item m="1" x="5242"/>
        <item m="1" x="2866"/>
        <item m="1" x="2272"/>
        <item m="1" x="4111"/>
        <item m="1" x="1516"/>
        <item m="1" x="5840"/>
        <item m="1" x="1613"/>
        <item m="1" x="1001"/>
        <item m="1" x="5926"/>
        <item m="1" x="2912"/>
        <item m="1" x="5368"/>
        <item m="1" x="7060"/>
        <item m="1" x="3015"/>
        <item m="1" x="2410"/>
        <item m="1" x="7152"/>
        <item m="1" x="3385"/>
        <item m="1" x="7510"/>
        <item m="1" x="328"/>
        <item m="1" x="4777"/>
        <item m="1" x="1759"/>
        <item m="1" x="6054"/>
        <item m="1" x="6807"/>
        <item m="1" x="7189"/>
        <item m="1" x="3971"/>
        <item m="1" x="4404"/>
        <item m="1" x="363"/>
        <item m="1" x="4371"/>
        <item m="1" x="4813"/>
        <item m="1" x="2594"/>
        <item m="1" x="1360"/>
        <item m="1" x="6780"/>
        <item m="1" x="5690"/>
        <item m="1" x="3927"/>
        <item m="1" x="2761"/>
        <item m="1" x="6929"/>
        <item m="1" x="928"/>
        <item m="1" x="2857"/>
        <item m="1" x="7004"/>
        <item m="1" x="6842"/>
        <item m="1" x="3238"/>
        <item m="1" x="3064"/>
        <item m="1" x="7364"/>
        <item m="1" x="7210"/>
        <item m="1" x="110"/>
        <item m="1" x="4609"/>
        <item m="1" x="4421"/>
        <item m="1" x="4767"/>
        <item m="1" x="4578"/>
        <item m="1" x="1752"/>
        <item m="1" x="1559"/>
        <item m="1" x="6050"/>
        <item m="1" x="5870"/>
        <item m="1" x="3139"/>
        <item m="1" x="2956"/>
        <item m="1" x="4397"/>
        <item m="1" x="7107"/>
        <item m="1" x="356"/>
        <item m="1" x="3332"/>
        <item m="1" x="4805"/>
        <item m="1" x="7462"/>
        <item m="1" x="266"/>
        <item m="1" x="3842"/>
        <item m="1" x="4715"/>
        <item m="1" x="6090"/>
        <item m="1" x="2838"/>
        <item m="1" x="6615"/>
        <item m="1" x="6993"/>
        <item m="1" x="3714"/>
        <item m="1" x="4174"/>
        <item m="1" x="715"/>
        <item m="1" x="6097"/>
        <item m="1" x="3192"/>
        <item m="1" x="7308"/>
        <item m="1" x="31"/>
        <item m="1" x="4553"/>
        <item m="1" x="7751"/>
        <item m="1" x="616"/>
        <item m="1" x="5023"/>
        <item m="1" x="7273"/>
        <item m="1" x="2589"/>
        <item m="1" x="2083"/>
        <item m="1" x="1530"/>
        <item m="1" x="5669"/>
        <item m="1" x="2725"/>
        <item m="1" x="6903"/>
        <item m="1" x="5423"/>
        <item m="1" x="5557"/>
        <item m="1" x="899"/>
        <item m="1" x="241"/>
        <item m="1" x="5287"/>
        <item m="1" x="3247"/>
        <item m="1" x="4693"/>
        <item m="1" x="7373"/>
        <item m="1" x="5639"/>
        <item m="1" x="3608"/>
        <item m="1" x="5078"/>
        <item m="1" x="7731"/>
        <item m="1" x="587"/>
        <item m="1" x="2107"/>
        <item m="1" x="6872"/>
        <item m="1" x="5003"/>
        <item m="1" x="6376"/>
        <item m="1" x="7487"/>
        <item m="1" x="4477"/>
        <item m="1" x="297"/>
        <item m="1" x="4744"/>
        <item m="1" x="1338"/>
        <item m="1" x="2226"/>
        <item m="1" x="4195"/>
        <item m="1" x="1176"/>
        <item m="1" x="5535"/>
        <item m="1" x="5894"/>
        <item m="1" x="2993"/>
        <item m="1" x="7133"/>
        <item m="1" x="4330"/>
        <item m="1" x="1312"/>
        <item m="1" x="3819"/>
        <item m="1" x="7499"/>
        <item m="1" x="312"/>
        <item m="1" x="6994"/>
        <item m="1" x="3323"/>
        <item m="1" x="6808"/>
        <item m="1" x="3144"/>
        <item m="1" x="7269"/>
        <item m="1" x="7647"/>
        <item m="1" x="461"/>
        <item m="1" x="3664"/>
        <item m="1" x="1022"/>
        <item m="1" x="5386"/>
        <item m="1" x="7005"/>
        <item m="1" x="7707"/>
        <item m="1" x="1181"/>
        <item m="1" x="3958"/>
        <item m="1" x="7436"/>
        <item m="1" x="3671"/>
        <item m="1" x="7779"/>
        <item m="1" x="655"/>
        <item m="1" x="5069"/>
        <item m="1" x="3185"/>
        <item m="1" x="2586"/>
        <item m="1" x="3764"/>
        <item m="1" x="752"/>
        <item m="1" x="5162"/>
        <item m="1" x="4661"/>
        <item m="1" x="1653"/>
        <item m="1" x="2740"/>
        <item m="1" x="5816"/>
        <item m="1" x="92"/>
        <item m="1" x="4971"/>
        <item m="1" x="929"/>
        <item m="1" x="5664"/>
        <item m="1" x="2718"/>
        <item m="1" x="6896"/>
        <item m="1" x="4068"/>
        <item m="1" x="1376"/>
        <item m="1" x="5705"/>
        <item m="1" x="2779"/>
        <item m="1" x="3544"/>
        <item m="1" x="7673"/>
        <item m="1" x="1336"/>
        <item m="1" x="716"/>
        <item m="1" x="5674"/>
        <item m="1" x="5124"/>
        <item m="1" x="5473"/>
        <item m="1" x="2524"/>
        <item m="1" x="7268"/>
        <item m="1" x="6718"/>
        <item m="1" x="4502"/>
        <item m="1" x="3876"/>
        <item m="1" x="1489"/>
        <item m="1" x="870"/>
        <item m="1" x="5814"/>
        <item m="1" x="5260"/>
        <item m="1" x="1369"/>
        <item m="1" x="4281"/>
        <item m="1" x="5698"/>
        <item m="1" x="4825"/>
        <item m="1" x="652"/>
        <item m="1" x="5066"/>
        <item m="1" x="1817"/>
        <item m="1" x="6107"/>
        <item m="1" x="2092"/>
        <item m="1" x="3830"/>
        <item m="1" x="4025"/>
        <item m="1" x="801"/>
        <item m="1" x="4431"/>
        <item m="1" x="2059"/>
        <item m="1" x="1418"/>
        <item m="1" x="6335"/>
        <item m="1" x="5745"/>
        <item m="1" x="3405"/>
        <item m="1" x="2824"/>
        <item m="1" x="7526"/>
        <item m="1" x="6980"/>
        <item m="1" x="342"/>
        <item m="1" x="4792"/>
        <item m="1" x="4153"/>
        <item m="1" x="5176"/>
        <item m="1" x="4576"/>
        <item m="1" x="7104"/>
        <item m="1" x="4038"/>
        <item m="1" x="4297"/>
        <item m="1" x="1041"/>
        <item m="1" x="4712"/>
        <item m="1" x="1434"/>
        <item m="1" x="5759"/>
        <item m="1" x="1694"/>
        <item m="1" x="5998"/>
        <item m="1" x="2843"/>
        <item m="1" x="6997"/>
        <item m="1" x="3095"/>
        <item m="1" x="1604"/>
        <item m="1" x="2062"/>
        <item m="1" x="5918"/>
        <item m="1" x="6336"/>
        <item m="1" x="5777"/>
        <item m="1" x="2591"/>
        <item m="1" x="2853"/>
        <item m="1" x="7003"/>
        <item m="1" x="4196"/>
        <item m="1" x="1480"/>
        <item m="1" x="7658"/>
        <item m="1" x="5802"/>
        <item m="1" x="2867"/>
        <item m="1" x="5125"/>
        <item m="1" x="1118"/>
        <item m="1" x="6573"/>
        <item m="1" x="5474"/>
        <item m="1" x="3683"/>
        <item m="1" x="2525"/>
        <item m="1" x="6719"/>
        <item m="1" x="672"/>
        <item m="1" x="4454"/>
        <item m="1" x="2503"/>
        <item m="1" x="6698"/>
        <item m="1" x="7052"/>
        <item m="1" x="4249"/>
        <item m="1" x="4367"/>
        <item m="1" x="3344"/>
        <item m="1" x="7002"/>
        <item m="1" x="7098"/>
        <item m="1" x="4167"/>
        <item m="1" x="4312"/>
        <item m="1" x="4457"/>
        <item m="1" x="4318"/>
        <item m="1" x="5982"/>
        <item m="1" x="6378"/>
        <item m="1" x="6112"/>
        <item m="1" x="4436"/>
        <item m="1" x="4585"/>
        <item m="1" x="4722"/>
        <item m="1" x="4853"/>
        <item m="1" x="3598"/>
        <item m="1" x="3720"/>
        <item m="1" x="1847"/>
        <item m="1" x="2001"/>
        <item m="1" x="2143"/>
        <item m="1" x="2284"/>
        <item m="1" x="2416"/>
        <item m="1" x="3769"/>
        <item m="1" x="4048"/>
        <item m="1" x="4329"/>
        <item m="1" x="2978"/>
        <item m="1" x="3237"/>
        <item m="1" x="3492"/>
        <item m="1" x="4499"/>
        <item m="1" x="4646"/>
        <item m="1" x="4785"/>
        <item m="1" x="3535"/>
        <item m="1" x="3795"/>
        <item m="1" x="3674"/>
        <item m="1" x="3832"/>
        <item m="1" x="3967"/>
        <item m="1" x="4096"/>
        <item m="1" x="4240"/>
        <item m="1" x="4376"/>
        <item m="1" x="3435"/>
        <item m="1" x="3561"/>
        <item m="1" x="3677"/>
        <item m="1" x="2630"/>
        <item m="1" x="1904"/>
        <item m="1" x="2069"/>
        <item m="1" x="2207"/>
        <item m="1" x="2346"/>
        <item m="1" x="2479"/>
        <item m="1" x="2732"/>
        <item m="1" x="5879"/>
        <item m="1" x="6012"/>
        <item m="1" x="6155"/>
        <item m="1" x="6022"/>
        <item m="1" x="5541"/>
        <item m="1" x="6161"/>
        <item m="1" x="5662"/>
        <item m="1" x="5002"/>
        <item m="1" x="4495"/>
        <item m="1" x="4640"/>
        <item m="1" x="7745"/>
        <item m="1" x="5277"/>
        <item m="1" x="1229"/>
        <item m="1" x="1527"/>
        <item m="1" x="1666"/>
        <item m="1" x="5793"/>
        <item m="1" x="5912"/>
        <item m="1" x="4773"/>
        <item m="1" x="4902"/>
        <item m="1" x="5795"/>
        <item m="1" x="5917"/>
        <item m="1" x="4778"/>
        <item m="1" x="4907"/>
        <item m="1" x="5652"/>
        <item m="1" x="5784"/>
        <item m="1" x="5905"/>
        <item m="1" x="6043"/>
        <item m="1" x="6186"/>
        <item m="1" x="4472"/>
        <item m="1" x="3935"/>
        <item m="1" x="4076"/>
        <item m="1" x="4222"/>
        <item m="1" x="4359"/>
        <item m="1" x="2345"/>
        <item m="1" x="5660"/>
        <item m="1" x="2478"/>
        <item m="1" x="4492"/>
        <item m="1" x="4632"/>
        <item m="1" x="1340"/>
        <item m="1" x="3936"/>
        <item m="1" x="3663"/>
        <item m="1" x="3996"/>
        <item m="1" x="4328"/>
        <item m="1" x="4391"/>
        <item m="1" x="3308"/>
        <item m="1" x="3687"/>
        <item m="1" x="3979"/>
        <item m="1" x="3445"/>
        <item m="1" x="5837"/>
        <item m="1" x="6207"/>
        <item m="1" x="5036"/>
        <item m="1" x="5810"/>
        <item m="1" x="5934"/>
        <item m="1" x="6064"/>
        <item m="1" x="6559"/>
        <item m="1" x="5704"/>
        <item m="1" x="6986"/>
        <item m="1" x="3498"/>
        <item m="1" x="2350"/>
        <item m="1" x="822"/>
        <item m="1" x="560"/>
        <item m="1" x="291"/>
        <item m="1" x="573"/>
        <item m="1" x="727"/>
        <item m="1" x="4727"/>
        <item m="1" x="1502"/>
        <item m="1" x="418"/>
        <item m="1" x="7284"/>
        <item m="1" x="5186"/>
        <item m="1" x="1082"/>
        <item m="1" x="4364"/>
        <item m="1" x="4244"/>
        <item m="1" x="4945"/>
        <item m="1" x="5449"/>
        <item m="1" x="4394"/>
        <item m="1" x="7254"/>
        <item m="1" x="6356"/>
        <item m="1" x="6120"/>
        <item m="1" x="4983"/>
        <item m="1" x="5486"/>
        <item m="1" x="952"/>
        <item m="1" x="959"/>
        <item m="1" x="4864"/>
        <item m="1" x="749"/>
        <item m="1" x="4154"/>
        <item m="1" x="3611"/>
        <item m="1" x="4031"/>
        <item m="1" x="3743"/>
        <item m="1" x="2789"/>
        <item m="1" x="2542"/>
        <item m="1" x="5060"/>
        <item m="1" x="5561"/>
        <item m="1" x="4425"/>
        <item m="1" x="5904"/>
        <item m="1" x="1699"/>
        <item m="1" x="605"/>
        <item m="1" x="1517"/>
        <item m="1" x="1668"/>
        <item m="1" x="4375"/>
        <item m="1" x="4658"/>
        <item m="1" x="2470"/>
        <item m="1" x="3262"/>
        <item m="1" x="2886"/>
        <item m="1" x="1925"/>
        <item m="1" x="2221"/>
        <item m="1" x="2355"/>
        <item m="1" x="2890"/>
        <item m="1" x="3033"/>
        <item m="1" x="3167"/>
        <item m="1" x="1780"/>
        <item m="1" x="2077"/>
        <item m="1" x="2220"/>
        <item m="1" x="2354"/>
        <item m="1" x="1146"/>
        <item m="1" x="7112"/>
        <item m="1" x="7730"/>
        <item m="1" x="7116"/>
        <item m="1" x="7639"/>
        <item m="1" x="4516"/>
        <item m="1" x="4673"/>
        <item m="1" x="3563"/>
        <item m="1" x="3681"/>
        <item m="1" x="4246"/>
        <item m="1" x="3059"/>
        <item m="1" x="3851"/>
        <item m="1" x="3985"/>
        <item m="1" x="4118"/>
        <item m="1" x="3067"/>
        <item m="1" x="3698"/>
        <item m="1" x="3853"/>
        <item m="1" x="3588"/>
        <item m="1" x="4002"/>
        <item m="1" x="3628"/>
        <item m="1" x="3383"/>
        <item m="1" x="3512"/>
        <item m="1" x="28"/>
        <item m="1" x="3638"/>
        <item m="1" x="3140"/>
        <item m="1" x="134"/>
        <item m="1" x="6329"/>
        <item m="1" x="1644"/>
        <item m="1" x="1791"/>
        <item m="1" x="1927"/>
        <item m="1" x="2223"/>
        <item m="1" x="4134"/>
        <item m="1" x="4503"/>
        <item m="1" x="6474"/>
        <item m="1" x="6580"/>
        <item m="1" x="413"/>
        <item m="1" x="6067"/>
        <item m="1" x="6194"/>
        <item m="1" x="5212"/>
        <item m="1" x="4189"/>
        <item m="1" x="1078"/>
        <item m="1" x="699"/>
        <item m="1" x="2568"/>
        <item m="1" x="2994"/>
        <item m="1" x="2707"/>
        <item m="1" x="2579"/>
        <item m="1" x="3130"/>
        <item m="1" x="2341"/>
        <item m="1" x="2871"/>
        <item m="1" x="3149"/>
        <item m="1" x="2480"/>
        <item m="1" x="3159"/>
        <item m="1" x="1488"/>
        <item m="1" x="1926"/>
        <item m="1" x="2222"/>
        <item m="1" x="5148"/>
        <item m="1" x="753"/>
        <item m="1" x="900"/>
        <item m="1" x="326"/>
        <item m="1" x="615"/>
        <item m="1" x="3244"/>
        <item m="1" x="6987"/>
        <item m="1" x="6751"/>
        <item m="1" x="6521"/>
        <item m="1" x="5688"/>
        <item m="1" x="7326"/>
        <item m="1" x="1851"/>
        <item m="1" x="892"/>
        <item m="1" x="1145"/>
        <item m="1" x="3586"/>
        <item m="1" x="4285"/>
        <item m="1" x="3880"/>
        <item m="1" x="3600"/>
        <item m="1" x="4591"/>
        <item m="1" x="3012"/>
        <item m="1" x="2110"/>
        <item m="1" x="5778"/>
        <item m="1" x="5914"/>
        <item m="1" x="2617"/>
        <item m="1" x="2751"/>
        <item m="1" x="3662"/>
        <item m="1" x="3504"/>
        <item m="1" x="5955"/>
        <item m="1" x="6816"/>
        <item m="1" x="2928"/>
        <item m="1" x="7053"/>
        <item m="1" x="5571"/>
        <item m="1" x="5700"/>
        <item m="1" x="5833"/>
        <item m="1" x="4765"/>
        <item m="1" x="5167"/>
        <item m="1" x="5409"/>
        <item m="1" x="5544"/>
        <item m="1" x="5665"/>
        <item m="1" x="4644"/>
        <item m="1" x="7605"/>
        <item m="1" x="7716"/>
        <item m="1" x="7486"/>
        <item m="1" x="7018"/>
        <item m="1" x="2216"/>
        <item m="1" x="817"/>
        <item m="1" x="351"/>
        <item m="1" x="7174"/>
        <item m="1" x="6062"/>
        <item m="1" x="4794"/>
        <item m="1" x="4927"/>
        <item m="1" x="3815"/>
        <item m="1" x="4373"/>
        <item m="1" x="3951"/>
        <item m="1" x="3182"/>
        <item m="1" x="1037"/>
        <item m="1" x="1328"/>
        <item m="1" x="1"/>
        <item m="1" x="5443"/>
        <item m="1" x="5930"/>
        <item m="1" x="5943"/>
        <item m="1" x="4928"/>
        <item m="1" x="6325"/>
        <item m="1" x="1740"/>
        <item m="1" x="1874"/>
        <item m="1" x="7022"/>
        <item m="1" x="7409"/>
        <item m="1" x="6459"/>
        <item m="1" x="2738"/>
        <item m="1" x="1781"/>
        <item m="1" x="1919"/>
        <item m="1" x="7541"/>
        <item m="1" x="5821"/>
        <item m="1" x="6087"/>
        <item m="1" x="2112"/>
        <item m="1" x="5330"/>
        <item m="1" x="1242"/>
        <item m="1" x="5197"/>
        <item m="1" x="5433"/>
        <item m="1" x="5564"/>
        <item m="1" x="4665"/>
        <item m="1" x="4809"/>
        <item m="1" x="4942"/>
        <item m="1" x="5068"/>
        <item m="1" x="5203"/>
        <item m="1" x="5327"/>
        <item m="1" x="5838"/>
        <item m="1" x="4569"/>
        <item m="1" x="5231"/>
        <item m="1" x="5358"/>
        <item m="1" x="4743"/>
        <item m="1" x="4872"/>
        <item m="1" x="3741"/>
        <item m="1" x="4032"/>
        <item m="1" x="4171"/>
        <item m="1" x="4460"/>
        <item m="1" x="4603"/>
        <item m="1" x="4752"/>
        <item m="1" x="7395"/>
        <item m="1" x="6247"/>
        <item m="1" x="6837"/>
        <item m="1" x="7093"/>
        <item m="1" x="246"/>
        <item m="1" x="389"/>
        <item m="1" x="681"/>
        <item m="1" x="827"/>
        <item m="1" x="990"/>
        <item m="1" x="53"/>
        <item m="1" x="258"/>
        <item m="1" x="6163"/>
        <item m="1" x="4636"/>
        <item m="1" x="4641"/>
        <item m="1" x="3259"/>
        <item m="1" x="1490"/>
        <item m="1" x="7644"/>
        <item m="1" x="6463"/>
        <item m="1" x="5028"/>
        <item m="1" x="5032"/>
        <item m="1" x="5035"/>
        <item m="1" x="4501"/>
        <item m="1" x="4508"/>
        <item m="1" x="4523"/>
        <item m="1" x="4527"/>
        <item m="1" x="7464"/>
        <item m="1" x="6854"/>
        <item m="1" x="4883"/>
        <item m="1" x="5642"/>
        <item m="1" x="4812"/>
        <item m="1" x="6454"/>
        <item m="1" x="7589"/>
        <item m="1" x="1032"/>
        <item m="1" x="7592"/>
        <item m="1" x="7604"/>
        <item m="1" x="7613"/>
        <item m="1" x="5960"/>
        <item m="1" x="7627"/>
        <item m="1" x="5969"/>
        <item m="1" x="7633"/>
        <item m="1" x="2946"/>
        <item m="1" x="2954"/>
        <item m="1" x="2959"/>
        <item m="1" x="1882"/>
        <item m="1" x="1886"/>
        <item m="1" x="1893"/>
        <item m="1" x="1897"/>
        <item m="1" x="1899"/>
        <item m="1" x="1903"/>
        <item m="1" x="807"/>
        <item m="1" x="813"/>
        <item m="1" x="821"/>
        <item m="1" x="826"/>
        <item m="1" x="832"/>
        <item m="1" x="1191"/>
        <item m="1" x="274"/>
        <item m="1" x="287"/>
        <item m="1" x="299"/>
        <item m="1" x="5223"/>
        <item m="1" x="5084"/>
        <item m="1" x="5086"/>
        <item m="1" x="3459"/>
        <item m="1" x="5091"/>
        <item m="1" x="5100"/>
        <item m="1" x="5106"/>
        <item m="1" x="6531"/>
        <item m="1" x="6538"/>
        <item m="1" x="5559"/>
        <item m="1" x="5081"/>
        <item m="1" x="4077"/>
        <item m="1" x="7427"/>
        <item m="1" x="7562"/>
        <item m="1" x="7685"/>
        <item m="1" x="7783"/>
        <item m="1" x="7215"/>
        <item m="1" x="6759"/>
        <item m="1" x="912"/>
        <item m="1" x="917"/>
        <item m="1" x="924"/>
        <item m="1" x="927"/>
        <item m="1" x="1061"/>
        <item m="1" x="6298"/>
        <item m="1" x="5294"/>
        <item m="1" x="2734"/>
        <item m="1" x="1730"/>
        <item m="1" x="6397"/>
        <item m="1" x="6406"/>
        <item m="1" x="5993"/>
        <item m="1" x="7045"/>
        <item m="1" x="7048"/>
        <item m="1" x="7743"/>
        <item m="1" x="7288"/>
        <item m="1" x="5046"/>
        <item m="1" x="2078"/>
        <item m="1" x="775"/>
        <item m="1" x="5554"/>
        <item m="1" x="4660"/>
        <item m="1" x="4669"/>
        <item m="1" x="4676"/>
        <item m="1" x="5754"/>
        <item m="1" x="7260"/>
        <item m="1" x="4989"/>
        <item m="1" x="2800"/>
        <item m="1" x="5906"/>
        <item m="1" x="7401"/>
        <item m="1" x="6938"/>
        <item m="1" x="6500"/>
        <item m="1" x="1144"/>
        <item m="1" x="1821"/>
        <item m="1" x="755"/>
        <item m="1" x="6969"/>
        <item m="1" x="5222"/>
        <item m="1" x="4735"/>
        <item m="1" x="4199"/>
        <item m="1" x="7309"/>
        <item m="1" x="6428"/>
        <item m="1" x="506"/>
        <item m="1" x="2759"/>
        <item m="1" x="645"/>
        <item m="1" x="6950"/>
        <item m="1" x="4586"/>
        <item m="1" x="3044"/>
        <item m="1" x="3610"/>
        <item m="1" x="3138"/>
        <item m="1" x="2616"/>
        <item m="1" x="3327"/>
        <item m="1" x="2839"/>
        <item m="1" x="2333"/>
        <item m="1" x="726"/>
        <item m="1" x="7014"/>
        <item m="1" x="5615"/>
        <item m="1" x="5158"/>
        <item m="1" x="4652"/>
        <item m="1" x="4104"/>
        <item m="1" x="3595"/>
        <item m="1" x="3120"/>
        <item m="1" x="2602"/>
        <item m="1" x="7610"/>
        <item m="1" x="7137"/>
        <item m="1" x="6670"/>
        <item m="1" x="6242"/>
        <item m="1" x="5740"/>
        <item m="1" x="5284"/>
        <item m="1" x="7715"/>
        <item m="1" x="7250"/>
        <item m="1" x="6788"/>
        <item m="1" x="2049"/>
        <item m="1" x="1501"/>
        <item m="1" x="980"/>
        <item m="1" x="426"/>
        <item m="1" x="4208"/>
        <item m="1" x="3665"/>
        <item m="1" x="3199"/>
        <item m="1" x="2686"/>
        <item m="1" x="2191"/>
        <item m="1" x="1636"/>
        <item m="1" x="1097"/>
        <item m="1" x="556"/>
        <item m="1" x="6330"/>
        <item m="1" x="5349"/>
        <item m="1" x="4866"/>
        <item m="1" x="3307"/>
        <item m="1" x="2818"/>
        <item m="1" x="2311"/>
        <item m="1" x="1770"/>
        <item m="1" x="7776"/>
        <item m="1" x="7324"/>
        <item m="1" x="4482"/>
        <item m="1" x="3937"/>
        <item m="1" x="7190"/>
        <item m="1" x="6728"/>
        <item m="1" x="5815"/>
        <item m="1" x="5335"/>
        <item m="1" x="4848"/>
        <item m="1" x="5147"/>
        <item m="1" x="5155"/>
        <item m="1" x="48"/>
        <item m="1" x="61"/>
        <item m="1" x="67"/>
        <item m="1" x="76"/>
        <item m="1" x="82"/>
        <item m="1" x="88"/>
        <item m="1" x="93"/>
        <item m="1" x="98"/>
        <item m="1" x="101"/>
        <item m="1" x="105"/>
        <item m="1" x="2332"/>
        <item m="1" x="1793"/>
        <item m="1" x="1236"/>
        <item m="1" x="723"/>
        <item m="1" x="135"/>
        <item m="1" x="3961"/>
        <item m="1" x="3449"/>
        <item m="1" x="2962"/>
        <item m="1" x="2461"/>
        <item m="1" x="1915"/>
        <item m="1" x="1383"/>
        <item m="1" x="861"/>
        <item m="1" x="315"/>
        <item m="1" x="6540"/>
        <item m="1" x="6085"/>
        <item m="1" x="5593"/>
        <item m="1" x="5131"/>
        <item m="1" x="4627"/>
        <item m="1" x="4086"/>
        <item m="1" x="3568"/>
        <item m="1" x="3092"/>
        <item m="1" x="2573"/>
        <item m="1" x="2070"/>
        <item m="1" x="7583"/>
        <item m="1" x="7109"/>
        <item m="1" x="6654"/>
        <item m="1" x="6221"/>
        <item m="1" x="5709"/>
        <item m="1" x="5817"/>
        <item m="1" x="5823"/>
        <item m="1" x="5829"/>
        <item m="1" x="5312"/>
        <item m="1" x="5315"/>
        <item m="1" x="5319"/>
        <item m="1" x="5321"/>
        <item m="1" x="5323"/>
        <item m="1" x="5328"/>
        <item m="1" x="5336"/>
        <item m="1" x="5340"/>
        <item m="1" x="6767"/>
        <item m="1" x="6343"/>
        <item m="1" x="3640"/>
        <item m="1" x="3172"/>
        <item m="1" x="2650"/>
        <item m="1" x="2155"/>
        <item m="1" x="1608"/>
        <item m="1" x="1069"/>
        <item m="1" x="531"/>
        <item m="1" x="5577"/>
        <item m="1" x="7560"/>
        <item m="1" x="7089"/>
        <item m="1" x="2392"/>
        <item m="1" x="1859"/>
        <item m="1" x="1315"/>
        <item m="1" x="787"/>
        <item m="1" x="230"/>
        <item m="1" x="4029"/>
        <item m="1" x="3030"/>
        <item m="1" x="2003"/>
        <item m="1" x="1468"/>
        <item m="1" x="938"/>
        <item m="1" x="372"/>
        <item m="1" x="6603"/>
        <item m="1" x="6162"/>
        <item m="1" x="5193"/>
        <item m="1" x="4684"/>
        <item m="1" x="3161"/>
        <item m="1" x="2629"/>
        <item m="1" x="2134"/>
        <item m="1" x="7650"/>
        <item m="1" x="7169"/>
        <item m="1" x="6293"/>
        <item m="1" x="5791"/>
        <item m="1" x="5311"/>
        <item m="1" x="4284"/>
        <item m="1" x="970"/>
        <item m="1" x="3330"/>
        <item m="1" x="3401"/>
        <item m="1" x="2983"/>
        <item m="1" x="2473"/>
        <item m="1" x="881"/>
        <item m="1" x="329"/>
        <item m="1" x="7721"/>
        <item m="1" x="7256"/>
        <item m="1" x="6797"/>
        <item m="1" x="6369"/>
        <item m="1" x="5865"/>
        <item m="1" x="5394"/>
        <item m="1" x="4915"/>
        <item m="1" x="7376"/>
        <item m="1" x="6904"/>
        <item m="1" x="2199"/>
        <item m="1" x="1646"/>
        <item m="1" x="1107"/>
        <item m="1" x="572"/>
        <item m="1" x="4350"/>
        <item m="1" x="3827"/>
        <item m="1" x="3318"/>
        <item m="1" x="2830"/>
        <item m="1" x="2324"/>
        <item m="1" x="1783"/>
        <item m="1" x="1230"/>
        <item m="1" x="714"/>
        <item m="1" x="122"/>
        <item m="1" x="6446"/>
        <item m="1" x="5948"/>
        <item m="1" x="5462"/>
        <item m="1" x="4993"/>
        <item m="1" x="3956"/>
        <item m="1" x="1908"/>
        <item m="1" x="7451"/>
        <item m="1" x="6081"/>
        <item m="1" x="5121"/>
        <item m="1" x="4622"/>
        <item m="1" x="4080"/>
        <item m="1" x="7574"/>
        <item m="1" x="7102"/>
        <item m="1" x="6217"/>
        <item m="1" x="3532"/>
        <item m="1" x="3036"/>
        <item m="1" x="2513"/>
        <item m="1" x="2014"/>
        <item m="1" x="1481"/>
        <item m="1" x="945"/>
        <item m="1" x="380"/>
        <item m="1" x="7205"/>
        <item m="1" x="6743"/>
        <item m="1" x="6324"/>
        <item m="1" x="5825"/>
        <item m="1" x="5347"/>
        <item m="1" x="4855"/>
        <item m="1" x="4327"/>
        <item m="1" x="3801"/>
        <item m="1" x="3301"/>
        <item m="1" x="2807"/>
        <item m="1" x="7774"/>
        <item m="1" x="7314"/>
        <item m="1" x="6848"/>
        <item m="1" x="6430"/>
        <item m="1" x="5942"/>
        <item m="1" x="4975"/>
        <item m="1" x="7430"/>
        <item m="1" x="6967"/>
        <item m="1" x="7006"/>
        <item m="1" x="6554"/>
        <item m="1" x="6103"/>
        <item m="1" x="5612"/>
        <item m="1" x="3824"/>
        <item m="1" x="6663"/>
        <item m="1" x="5266"/>
        <item m="1" x="520"/>
        <item m="1" x="2774"/>
        <item m="1" x="6937"/>
        <item m="1" x="6479"/>
        <item m="1" x="6007"/>
        <item m="1" x="1126"/>
        <item m="1" x="604"/>
        <item m="1" x="2851"/>
        <item m="1" x="2343"/>
        <item m="1" x="1806"/>
        <item m="1" x="1258"/>
        <item m="1" x="736"/>
        <item m="1" x="153"/>
        <item m="1" x="7024"/>
        <item m="1" x="5624"/>
        <item m="1" x="4113"/>
        <item m="1" x="3599"/>
        <item m="1" x="3126"/>
        <item m="1" x="2609"/>
        <item m="1" x="3802"/>
        <item m="1" x="3302"/>
        <item m="1" x="2808"/>
        <item m="1" x="2297"/>
        <item m="1" x="5722"/>
        <item m="1" x="6961"/>
        <item m="1" x="6058"/>
        <item m="1" x="5566"/>
        <item m="1" x="5090"/>
        <item m="1" x="4596"/>
        <item m="1" x="4054"/>
        <item m="1" x="3546"/>
        <item m="1" x="3057"/>
        <item m="1" x="2537"/>
        <item m="1" x="6862"/>
        <item m="1" x="660"/>
        <item m="1" x="7704"/>
        <item m="1" x="6160"/>
        <item m="1" x="1827"/>
        <item m="1" x="1970"/>
        <item m="1" x="1547"/>
        <item m="1" x="1686"/>
        <item m="1" x="1978"/>
        <item m="1" x="2123"/>
        <item m="1" x="2398"/>
        <item m="1" x="2663"/>
        <item m="1" x="1879"/>
        <item m="1" x="2803"/>
        <item m="1" x="6236"/>
        <item m="1" x="4782"/>
        <item m="1" x="3693"/>
        <item m="1" x="6455"/>
        <item m="1" x="280"/>
        <item m="1" x="965"/>
        <item m="1" x="403"/>
        <item m="1" x="5686"/>
        <item m="1" x="5219"/>
        <item m="1" x="4734"/>
        <item m="1" x="4198"/>
        <item m="1" x="3652"/>
        <item m="1" x="3188"/>
        <item m="1" x="2674"/>
        <item m="1" x="2176"/>
        <item m="1" x="1625"/>
        <item m="1" x="1087"/>
        <item m="1" x="7676"/>
        <item m="1" x="7201"/>
        <item m="1" x="6739"/>
        <item m="1" x="6320"/>
        <item m="1" x="5820"/>
        <item m="1" x="5344"/>
        <item m="1" x="4852"/>
        <item m="1" x="4321"/>
        <item m="1" x="3797"/>
        <item m="1" x="3297"/>
        <item m="1" x="7770"/>
        <item m="1" x="7304"/>
        <item m="1" x="6845"/>
        <item m="1" x="6426"/>
        <item m="1" x="5938"/>
        <item m="1" x="5445"/>
        <item m="1" x="503"/>
        <item m="1" x="4909"/>
        <item m="1" x="2305"/>
        <item m="1" x="1768"/>
        <item m="1" x="1215"/>
        <item m="1" x="5605"/>
        <item m="1" x="5119"/>
        <item m="1" x="2558"/>
        <item m="1" x="3320"/>
        <item m="1" x="3454"/>
        <item m="1" x="868"/>
        <item m="1" x="4256"/>
        <item m="1" x="6536"/>
        <item m="1" x="6657"/>
        <item m="1" x="6774"/>
        <item m="1" x="6886"/>
        <item m="1" x="7011"/>
        <item m="1" x="7259"/>
        <item m="1" x="7384"/>
        <item m="1" x="7515"/>
        <item m="1" x="6539"/>
        <item m="1" x="6661"/>
        <item m="1" x="6890"/>
        <item m="1" x="7017"/>
        <item m="1" x="7144"/>
        <item m="1" x="7264"/>
        <item m="1" x="7387"/>
        <item m="1" x="7518"/>
        <item m="1" x="6445"/>
        <item m="1" x="6541"/>
        <item m="1" x="6664"/>
        <item m="1" x="6778"/>
        <item m="1" x="6894"/>
        <item m="1" x="7021"/>
        <item m="1" x="7149"/>
        <item m="1" x="7267"/>
        <item m="1" x="7391"/>
        <item m="1" x="7521"/>
        <item m="1" x="6102"/>
        <item m="1" x="4654"/>
        <item m="1" x="5679"/>
        <item m="1" x="4832"/>
        <item m="1" x="4954"/>
        <item m="1" x="7559"/>
        <item m="1" x="1364"/>
        <item m="1" x="7634"/>
        <item m="1" x="4828"/>
        <item m="1" x="5109"/>
        <item m="1" x="5274"/>
        <item m="1" x="5508"/>
        <item m="1" x="532"/>
        <item m="1" x="675"/>
        <item m="1" x="1103"/>
        <item m="1" x="253"/>
        <item m="1" x="395"/>
        <item m="1" x="6811"/>
        <item m="1" x="5697"/>
        <item m="1" x="2419"/>
        <item m="1" x="2195"/>
        <item m="1" x="2330"/>
        <item m="1" x="2468"/>
        <item m="1" x="1183"/>
        <item m="1" x="657"/>
        <item m="1" x="7074"/>
        <item m="1" x="3481"/>
        <item m="1" x="3605"/>
        <item m="1" x="3818"/>
        <item m="1" x="3682"/>
        <item m="1" x="3191"/>
        <item m="1" x="3352"/>
        <item m="1" x="1594"/>
        <item m="1" x="1742"/>
        <item m="1" x="5552"/>
        <item m="1" x="7478"/>
        <item m="1" x="5609"/>
        <item m="1" x="2036"/>
        <item m="1" x="2183"/>
        <item m="1" x="2312"/>
        <item m="1" x="1329"/>
        <item m="1" x="2476"/>
        <item m="1" x="2067"/>
        <item m="1" x="1639"/>
        <item m="1" x="1782"/>
        <item m="1" x="1920"/>
        <item m="1" x="1074"/>
        <item m="1" x="1202"/>
        <item m="1" x="796"/>
        <item m="1" x="1214"/>
        <item m="1" x="665"/>
        <item m="1" x="410"/>
        <item m="1" x="871"/>
        <item m="1" x="1029"/>
        <item m="1" x="111"/>
        <item m="1" x="444"/>
        <item m="1" x="896"/>
        <item m="1" x="1035"/>
        <item m="1" x="6599"/>
        <item m="1" x="5807"/>
        <item m="1" x="6059"/>
        <item m="1" x="6333"/>
        <item m="1" x="5673"/>
        <item m="1" x="5574"/>
        <item m="1" x="5452"/>
        <item m="1" x="5107"/>
        <item m="1" x="5240"/>
        <item m="1" x="4488"/>
        <item m="1" x="3023"/>
        <item m="1" x="837"/>
        <item m="1" x="7159"/>
        <item m="1" x="2266"/>
        <item m="1" x="3078"/>
        <item m="1" x="434"/>
        <item m="1" x="6805"/>
        <item m="1" x="1981"/>
        <item m="1" x="5835"/>
        <item m="1" x="5953"/>
        <item m="1" x="5080"/>
        <item m="1" x="4960"/>
        <item m="1" x="5855"/>
        <item m="1" x="5234"/>
        <item m="1" x="3889"/>
        <item m="1" x="7346"/>
        <item m="1" x="6869"/>
        <item m="1" x="1535"/>
        <item m="1" x="1724"/>
        <item m="1" x="2295"/>
        <item m="1" x="2441"/>
        <item m="1" x="790"/>
        <item m="1" x="235"/>
        <item m="1" x="4231"/>
        <item m="1" x="5322"/>
        <item m="1" x="2782"/>
        <item m="1" x="5385"/>
        <item m="1" x="5526"/>
        <item m="1" x="5650"/>
        <item m="1" x="4309"/>
        <item m="1" x="3378"/>
        <item m="1" x="6624"/>
        <item m="1" x="6447"/>
        <item m="1" x="3533"/>
        <item m="1" x="3037"/>
        <item m="1" x="2514"/>
        <item m="1" x="5254"/>
        <item m="1" x="1932"/>
        <item m="1" x="6349"/>
        <item m="1" x="5845"/>
        <item m="1" x="5378"/>
        <item m="1" x="4898"/>
        <item m="1" x="4365"/>
        <item m="1" x="1760"/>
        <item m="1" x="676"/>
        <item m="1" x="5933"/>
        <item m="1" x="7148"/>
        <item m="1" x="4798"/>
        <item m="1" x="5366"/>
        <item m="1" x="4881"/>
        <item m="1" x="4353"/>
        <item m="1" x="3831"/>
        <item m="1" x="3322"/>
        <item m="1" x="2834"/>
        <item m="1" x="2328"/>
        <item m="1" x="1788"/>
        <item m="1" x="1232"/>
        <item m="1" x="717"/>
        <item m="1" x="7600"/>
        <item m="1" x="1365"/>
        <item m="1" x="296"/>
        <item m="1" x="4063"/>
        <item m="1" x="3552"/>
        <item m="1" x="3066"/>
        <item m="1" x="2547"/>
        <item m="1" x="2046"/>
        <item m="1" x="1498"/>
        <item m="1" x="972"/>
        <item m="1" x="417"/>
        <item m="1" x="6206"/>
        <item m="1" x="5695"/>
        <item m="1" x="5225"/>
        <item m="1" x="4742"/>
        <item m="1" x="4204"/>
        <item m="1" x="3660"/>
        <item m="1" x="3196"/>
        <item m="1" x="2682"/>
        <item m="1" x="2189"/>
        <item m="1" x="1633"/>
        <item m="1" x="7679"/>
        <item m="1" x="7211"/>
        <item m="1" x="6747"/>
        <item m="1" x="6328"/>
        <item m="1" x="5830"/>
        <item m="1" x="5348"/>
        <item m="1" x="4862"/>
        <item m="1" x="4332"/>
        <item m="1" x="3810"/>
        <item m="1" x="6049"/>
        <item m="1" x="7631"/>
        <item m="1" x="443"/>
        <item m="1" x="3009"/>
        <item m="1" x="1960"/>
        <item m="1" x="2698"/>
        <item m="1" x="7261"/>
        <item m="1" x="1873"/>
        <item m="1" x="2836"/>
        <item m="1" x="7607"/>
        <item m="1" x="977"/>
        <item m="1" x="3277"/>
        <item m="1" x="3398"/>
        <item m="1" x="786"/>
        <item m="1" x="1566"/>
        <item m="1" x="3257"/>
        <item m="1" x="6002"/>
        <item m="1" x="2846"/>
        <item m="1" x="1797"/>
        <item m="1" x="6319"/>
        <item m="1" x="5819"/>
        <item m="1" x="5343"/>
        <item m="1" x="7769"/>
        <item m="1" x="2116"/>
        <item m="1" x="1581"/>
        <item m="1" x="502"/>
        <item m="1" x="4270"/>
        <item m="1" x="3745"/>
        <item m="1" x="3266"/>
        <item m="1" x="7415"/>
        <item m="1" x="7635"/>
        <item m="1" x="7061"/>
        <item m="1" x="445"/>
        <item m="1" x="2700"/>
        <item m="1" x="5641"/>
        <item m="1" x="4887"/>
        <item m="1" x="6875"/>
        <item m="1" x="5230"/>
        <item m="1" x="1477"/>
        <item m="1" x="1848"/>
        <item m="1" x="136"/>
        <item m="1" x="7439"/>
        <item m="1" x="2897"/>
        <item m="1" x="1394"/>
        <item m="1" x="1621"/>
        <item m="1" x="2215"/>
        <item m="1" x="4900"/>
        <item m="1" x="1431"/>
        <item m="1" x="448"/>
        <item m="1" x="4355"/>
        <item m="1" x="3836"/>
        <item m="1" x="834"/>
        <item m="1" x="3556"/>
        <item m="1" x="3074"/>
        <item m="1" x="2551"/>
        <item m="1" x="2053"/>
        <item m="1" x="982"/>
        <item m="1" x="427"/>
        <item m="1" x="3667"/>
        <item m="1" x="2687"/>
        <item m="1" x="2193"/>
        <item m="1" x="6332"/>
        <item m="1" x="3816"/>
        <item m="1" x="6859"/>
        <item m="1" x="1064"/>
        <item m="1" x="2773"/>
        <item m="1" x="2269"/>
        <item m="1" x="1189"/>
        <item m="1" x="654"/>
        <item m="1" x="4948"/>
        <item m="1" x="4429"/>
        <item m="1" x="3900"/>
        <item m="1" x="3402"/>
        <item m="1" x="2900"/>
        <item m="1" x="1320"/>
        <item m="1" x="6633"/>
        <item m="1" x="6196"/>
        <item m="1" x="5682"/>
        <item m="1" x="5214"/>
        <item m="1" x="4725"/>
        <item m="1" x="7672"/>
        <item m="1" x="7193"/>
        <item m="1" x="6731"/>
        <item m="1" x="1445"/>
        <item m="1" x="360"/>
        <item m="1" x="4137"/>
        <item m="1" x="3620"/>
        <item m="1" x="3146"/>
        <item m="1" x="2620"/>
        <item m="1" x="498"/>
        <item m="1" x="6269"/>
        <item m="1" x="5773"/>
        <item m="1" x="5298"/>
        <item m="1" x="4807"/>
        <item m="1" x="4263"/>
        <item m="1" x="7315"/>
        <item m="1" x="6849"/>
        <item m="1" x="2128"/>
        <item m="1" x="1585"/>
        <item m="1" x="1057"/>
        <item m="1" x="508"/>
        <item m="1" x="4277"/>
        <item m="1" x="3748"/>
        <item m="1" x="3273"/>
        <item m="1" x="2763"/>
        <item m="1" x="2259"/>
        <item m="1" x="1722"/>
        <item m="1" x="1180"/>
        <item m="1" x="37"/>
        <item m="1" x="5892"/>
        <item m="1" x="5414"/>
        <item m="1" x="4938"/>
        <item m="1" x="3891"/>
        <item m="1" x="3394"/>
        <item m="1" x="2889"/>
        <item m="1" x="2387"/>
        <item m="1" x="1853"/>
        <item m="1" x="7394"/>
        <item m="1" x="6930"/>
        <item m="1" x="6491"/>
        <item m="1" x="6024"/>
        <item m="1" x="5543"/>
        <item m="1" x="5057"/>
        <item m="1" x="4556"/>
        <item m="1" x="4021"/>
        <item m="1" x="7519"/>
        <item m="1" x="7047"/>
        <item m="1" x="6593"/>
        <item m="1" x="1270"/>
        <item m="1" x="748"/>
        <item m="1" x="163"/>
        <item m="1" x="7417"/>
        <item m="1" x="3729"/>
        <item m="1" x="6383"/>
        <item m="1" x="599"/>
        <item m="1" x="5376"/>
        <item m="1" x="4895"/>
        <item m="1" x="4363"/>
        <item m="1" x="3841"/>
        <item m="1" x="3337"/>
        <item m="1" x="2847"/>
        <item m="1" x="1798"/>
        <item m="1" x="3942"/>
        <item m="1" x="7175"/>
        <item m="1" x="1556"/>
        <item m="1" x="2234"/>
        <item m="1" x="6566"/>
        <item m="1" x="7359"/>
        <item m="1" x="6888"/>
        <item m="1" x="1631"/>
        <item m="1" x="1094"/>
        <item m="1" x="4122"/>
        <item m="1" x="3137"/>
        <item m="1" x="2108"/>
        <item m="1" x="1044"/>
        <item m="1" x="6234"/>
        <item m="1" x="5273"/>
        <item m="1" x="4234"/>
        <item m="1" x="1838"/>
        <item m="1" x="7040"/>
        <item m="1" x="5337"/>
        <item m="1" x="3293"/>
        <item m="1" x="2290"/>
        <item m="1" x="7474"/>
        <item m="1" x="7306"/>
        <item m="1" x="5450"/>
        <item m="1" x="1942"/>
        <item m="1" x="960"/>
        <item m="1" x="1938"/>
        <item m="1" x="7529"/>
        <item m="1" x="6610"/>
        <item m="1" x="4995"/>
        <item m="1" x="5195"/>
        <item m="1" x="4148"/>
        <item m="1" x="77"/>
        <item m="1" x="5248"/>
        <item m="1" x="6509"/>
        <item m="1" x="6042"/>
        <item m="1" x="5803"/>
        <item m="1" x="4296"/>
        <item m="1" x="7289"/>
        <item m="1" x="5916"/>
        <item m="1" x="477"/>
        <item m="1" x="7661"/>
        <item m="1" x="5739"/>
        <item m="1" x="7070"/>
        <item m="1" x="6627"/>
        <item m="1" x="6384"/>
        <item m="1" x="4401"/>
        <item m="1" x="6794"/>
        <item m="1" x="7368"/>
        <item m="1" x="4347"/>
        <item m="1" x="3822"/>
        <item m="1" x="3441"/>
        <item m="1" x="2449"/>
        <item m="1" x="6078"/>
        <item m="1" x="7571"/>
        <item m="1" x="1474"/>
        <item m="1" x="7674"/>
        <item m="1" x="6738"/>
        <item m="1" x="7253"/>
        <item m="1" x="6145"/>
        <item m="1" x="6505"/>
        <item m="1" x="5872"/>
        <item m="1" x="5880"/>
        <item m="1" x="6158"/>
        <item m="1" x="5132"/>
        <item m="1" x="5141"/>
        <item m="1" x="5634"/>
        <item m="1" x="5761"/>
        <item m="1" x="5771"/>
        <item m="1" x="6314"/>
        <item m="1" x="5400"/>
        <item m="1" x="5794"/>
        <item m="1" x="5915"/>
        <item m="1" x="5539"/>
        <item m="1" x="5661"/>
        <item m="1" x="5797"/>
        <item m="1" x="6232"/>
        <item m="1" x="6551"/>
        <item m="1" x="6461"/>
        <item m="1" x="6795"/>
        <item m="1" x="6914"/>
        <item m="1" x="5569"/>
        <item m="1" x="201"/>
        <item m="1" x="5715"/>
        <item m="1" x="3648"/>
        <item m="1" x="6813"/>
        <item m="1" x="3808"/>
        <item m="1" x="4940"/>
        <item m="1" x="1939"/>
        <item m="1" x="6159"/>
        <item m="1" x="6179"/>
        <item m="1" x="6432"/>
        <item m="1" x="6437"/>
        <item m="1" x="6440"/>
        <item m="1" x="5653"/>
        <item m="1" x="6475"/>
        <item m="1" x="5991"/>
        <item m="1" x="6527"/>
        <item m="1" x="6068"/>
        <item m="1" x="5575"/>
        <item m="1" x="5103"/>
        <item m="1" x="4062"/>
        <item m="1" x="5886"/>
        <item m="1" x="6166"/>
        <item m="1" x="5766"/>
        <item m="1" x="5888"/>
        <item m="1" x="6031"/>
        <item m="1" x="6171"/>
        <item m="1" x="6646"/>
        <item m="1" x="6216"/>
        <item m="1" x="4941"/>
        <item m="1" x="2892"/>
        <item m="1" x="6764"/>
        <item m="1" x="6877"/>
        <item m="1" x="7001"/>
        <item m="1" x="3189"/>
        <item m="1" x="2675"/>
        <item m="1" x="3298"/>
        <item m="1" x="1207"/>
        <item m="1" x="5446"/>
        <item m="1" x="4464"/>
        <item m="1" x="7078"/>
        <item m="1" x="2384"/>
        <item m="1" x="1984"/>
        <item m="1" x="3624"/>
        <item m="1" x="3252"/>
        <item m="1" x="1690"/>
        <item m="1" x="629"/>
        <item m="1" x="2364"/>
        <item m="1" x="5517"/>
        <item m="1" x="5038"/>
        <item m="1" x="7030"/>
        <item m="1" x="6123"/>
        <item m="1" x="5635"/>
        <item m="1" x="862"/>
        <item m="1" x="4628"/>
        <item m="1" x="6222"/>
        <item m="1" x="4763"/>
        <item m="1" x="5974"/>
        <item m="1" x="2817"/>
        <item m="1" x="1217"/>
        <item m="1" x="692"/>
        <item m="1" x="3432"/>
        <item m="1" x="1366"/>
        <item m="1" x="7440"/>
        <item m="1" x="3068"/>
        <item m="1" x="6643"/>
        <item m="1" x="6208"/>
        <item m="1" x="231"/>
        <item m="1" x="7681"/>
        <item m="1" x="7213"/>
        <item m="1" x="2502"/>
        <item m="1" x="1469"/>
        <item m="1" x="939"/>
        <item m="1" x="2135"/>
        <item m="1" x="1060"/>
        <item m="1" x="514"/>
        <item m="1" x="6294"/>
        <item m="1" x="5792"/>
        <item m="1" x="3756"/>
        <item m="1" x="1170"/>
        <item m="1" x="2878"/>
        <item m="1" x="2373"/>
        <item m="1" x="763"/>
        <item m="1" x="203"/>
        <item m="1" x="5531"/>
        <item m="1" x="4007"/>
        <item m="1" x="3502"/>
        <item m="1" x="2490"/>
        <item m="1" x="1969"/>
        <item m="1" x="7038"/>
        <item m="1" x="6577"/>
        <item m="1" x="4667"/>
        <item m="1" x="7640"/>
        <item m="1" x="6263"/>
        <item m="1" x="5762"/>
        <item m="1" x="5292"/>
        <item m="1" x="324"/>
        <item m="1" x="2075"/>
        <item m="1" x="453"/>
        <item m="1" x="4771"/>
        <item m="1" x="2209"/>
        <item m="1" x="64"/>
        <item m="1" x="72"/>
        <item m="1" x="79"/>
        <item m="1" x="6773"/>
        <item m="1" x="6348"/>
        <item m="1" x="5844"/>
        <item m="1" x="5375"/>
        <item m="1" x="4893"/>
        <item m="1" x="4361"/>
        <item m="1" x="3840"/>
        <item m="1" x="3335"/>
        <item m="1" x="2845"/>
        <item m="1" x="2338"/>
        <item m="1" x="7494"/>
        <item m="1" x="7019"/>
        <item m="1" x="6561"/>
        <item m="1" x="6113"/>
        <item m="1" x="1227"/>
        <item m="1" x="707"/>
        <item m="1" x="116"/>
        <item m="1" x="3442"/>
        <item m="1" x="2951"/>
        <item m="1" x="2453"/>
        <item m="1" x="1902"/>
        <item m="1" x="1374"/>
        <item m="1" x="844"/>
        <item m="1" x="304"/>
        <item m="1" x="5585"/>
        <item m="1" x="5117"/>
        <item m="1" x="4619"/>
        <item m="1" x="4073"/>
        <item m="1" x="3559"/>
        <item m="1" x="3080"/>
        <item m="1" x="2058"/>
        <item m="1" x="1506"/>
        <item m="1" x="989"/>
        <item m="1" x="7573"/>
        <item m="1" x="7099"/>
        <item m="1" x="5702"/>
        <item m="1" x="5239"/>
        <item m="1" x="4753"/>
        <item m="1" x="3195"/>
        <item m="1" x="1628"/>
        <item m="1" x="3803"/>
        <item m="1" x="3303"/>
        <item m="1" x="2298"/>
        <item m="1" x="1765"/>
        <item m="1" x="7316"/>
        <item m="1" x="4976"/>
        <item m="1" x="1991"/>
        <item m="1" x="930"/>
        <item m="1" x="364"/>
        <item m="1" x="6594"/>
        <item m="1" x="6153"/>
        <item m="1" x="5192"/>
        <item m="1" x="4680"/>
        <item m="1" x="6782"/>
        <item m="1" x="5853"/>
        <item m="1" x="4558"/>
        <item m="1" x="6597"/>
        <item m="1" x="4399"/>
        <item m="1" x="2873"/>
        <item m="1" x="1296"/>
        <item m="1" x="6918"/>
        <item m="1" x="5040"/>
        <item m="1" x="4530"/>
        <item m="1" x="3016"/>
        <item m="1" x="7504"/>
        <item m="1" x="7035"/>
        <item m="1" x="6129"/>
        <item m="1" x="5643"/>
        <item m="1" x="7153"/>
        <item m="1" x="1386"/>
        <item m="1" x="866"/>
        <item m="1" x="320"/>
        <item m="1" x="4634"/>
        <item m="1" x="4090"/>
        <item m="1" x="3571"/>
        <item m="1" x="2576"/>
        <item m="1" x="2071"/>
        <item m="1" x="1519"/>
        <item m="1" x="1007"/>
        <item m="1" x="446"/>
        <item m="1" x="6660"/>
        <item m="1" x="6228"/>
        <item m="1" x="5712"/>
        <item m="1" x="5257"/>
        <item m="1" x="4768"/>
        <item m="1" x="3216"/>
        <item m="1" x="2701"/>
        <item m="1" x="7365"/>
        <item m="1" x="6897"/>
        <item m="1" x="6462"/>
        <item m="1" x="5977"/>
        <item m="1" x="1099"/>
        <item m="1" x="3310"/>
        <item m="1" x="2820"/>
        <item m="1" x="2315"/>
        <item m="1" x="1773"/>
        <item m="1" x="1221"/>
        <item m="1" x="701"/>
        <item m="1" x="5456"/>
        <item m="1" x="4985"/>
        <item m="1" x="3943"/>
        <item m="1" x="3438"/>
        <item m="1" x="2945"/>
        <item m="1" x="6784"/>
        <item m="1" x="2683"/>
        <item m="1" x="1634"/>
        <item m="1" x="3812"/>
        <item m="1" x="46"/>
        <item m="1" x="936"/>
        <item m="1" x="6833"/>
        <item m="1" x="634"/>
        <item m="1" x="1298"/>
        <item m="1" x="7383"/>
        <item m="1" x="6476"/>
        <item m="1" x="3500"/>
        <item m="1" x="3017"/>
        <item m="1" x="6575"/>
        <item m="1" x="6134"/>
        <item m="1" x="873"/>
        <item m="1" x="2073"/>
        <item m="1" x="5262"/>
        <item m="1" x="2206"/>
        <item m="1" x="2825"/>
        <item m="1" x="2319"/>
        <item m="1" x="1777"/>
        <item m="1" x="1226"/>
        <item m="1" x="6982"/>
        <item m="1" x="7570"/>
        <item m="1" x="5237"/>
        <item m="1" x="376"/>
        <item m="1" x="521"/>
        <item m="1" x="6701"/>
        <item m="1" x="638"/>
        <item m="1" x="3389"/>
        <item m="1" x="1844"/>
        <item m="1" x="1306"/>
        <item m="1" x="5536"/>
        <item m="1" x="5052"/>
        <item m="1" x="4543"/>
        <item m="1" x="4015"/>
        <item m="1" x="3022"/>
        <item m="1" x="1980"/>
        <item m="1" x="1447"/>
        <item m="1" x="923"/>
        <item m="1" x="5651"/>
        <item m="1" x="5185"/>
        <item m="1" x="4677"/>
        <item m="1" x="3147"/>
        <item m="1" x="7643"/>
        <item m="1" x="7162"/>
        <item m="1" x="6689"/>
        <item m="1" x="6271"/>
        <item m="1" x="5300"/>
        <item m="1" x="4780"/>
        <item m="1" x="4236"/>
        <item m="1" x="3692"/>
        <item m="1" x="3229"/>
        <item m="1" x="1128"/>
        <item m="1" x="6776"/>
        <item m="1" x="5847"/>
        <item m="1" x="5380"/>
        <item m="1" x="4368"/>
        <item m="1" x="3345"/>
        <item m="1" x="718"/>
        <item m="1" x="130"/>
        <item m="1" x="3447"/>
        <item m="1" x="2957"/>
        <item m="1" x="2458"/>
        <item m="1" x="1911"/>
        <item m="1" x="859"/>
        <item m="1" x="313"/>
        <item m="1" x="5591"/>
        <item m="1" x="5126"/>
        <item m="1" x="4084"/>
        <item m="1" x="3088"/>
        <item m="1" x="2564"/>
        <item m="1" x="2066"/>
        <item m="1" x="1511"/>
        <item m="1" x="996"/>
        <item m="1" x="7579"/>
        <item m="1" x="7108"/>
        <item m="1" x="6652"/>
        <item m="1" x="6219"/>
        <item m="1" x="3675"/>
        <item m="1" x="7691"/>
        <item m="1" x="7226"/>
        <item m="1" x="6761"/>
        <item m="1" x="6340"/>
        <item m="1" x="5836"/>
        <item m="1" x="5361"/>
        <item m="1" x="385"/>
        <item m="1" x="7781"/>
        <item m="1" x="7337"/>
        <item m="1" x="2645"/>
        <item m="1" x="2152"/>
        <item m="1" x="1606"/>
        <item m="1" x="1067"/>
        <item m="1" x="528"/>
        <item m="1" x="4837"/>
        <item m="1" x="4302"/>
        <item m="1" x="3286"/>
        <item m="1" x="2781"/>
        <item m="1" x="2281"/>
        <item m="1" x="1744"/>
        <item m="1" x="6413"/>
        <item m="1" x="5922"/>
        <item m="1" x="5426"/>
        <item m="1" x="2405"/>
        <item m="1" x="4339"/>
        <item m="1" x="693"/>
        <item m="1" x="6855"/>
        <item m="1" x="5946"/>
        <item m="1" x="4478"/>
        <item m="1" x="3933"/>
        <item m="1" x="3433"/>
        <item m="1" x="6529"/>
        <item m="1" x="6070"/>
        <item m="1" x="5105"/>
        <item m="1" x="7090"/>
        <item m="1" x="2393"/>
        <item m="1" x="1860"/>
        <item m="1" x="788"/>
        <item m="1" x="232"/>
        <item m="1" x="7251"/>
        <item m="1" x="4340"/>
        <item m="1" x="1771"/>
        <item m="1" x="6858"/>
        <item m="1" x="3436"/>
        <item m="1" x="6976"/>
        <item m="1" x="5581"/>
        <item m="1" x="1318"/>
        <item m="1" x="2006"/>
        <item m="1" x="6605"/>
        <item m="1" x="6164"/>
        <item m="1" x="6423"/>
        <item m="1" x="1052"/>
        <item m="1" x="1704"/>
        <item m="1" x="4934"/>
        <item m="1" x="3882"/>
        <item m="1" x="2323"/>
        <item m="1" x="4487"/>
        <item m="1" x="3954"/>
        <item m="1" x="7448"/>
        <item m="1" x="6079"/>
        <item m="1" x="247"/>
        <item m="1" x="1478"/>
        <item m="1" x="944"/>
        <item m="1" x="2642"/>
        <item m="1" x="6705"/>
        <item m="1" x="7428"/>
        <item m="1" x="1179"/>
        <item m="1" x="1849"/>
        <item m="1" x="220"/>
        <item m="1" x="5056"/>
        <item m="1" x="3515"/>
        <item m="1" x="5188"/>
        <item m="1" x="7163"/>
        <item m="1" x="6279"/>
        <item m="1" x="2087"/>
        <item m="1" x="1533"/>
        <item m="1" x="4239"/>
        <item m="1" x="3233"/>
        <item m="1" x="2711"/>
        <item m="1" x="2218"/>
        <item m="1" x="1667"/>
        <item m="1" x="609"/>
        <item m="1" x="6781"/>
        <item m="1" x="5851"/>
        <item m="1" x="3846"/>
        <item m="1" x="3349"/>
        <item m="1" x="2856"/>
        <item m="1" x="7501"/>
        <item m="1" x="7031"/>
        <item m="1" x="6570"/>
        <item m="1" x="6124"/>
        <item m="1" x="138"/>
        <item m="1" x="2965"/>
        <item m="1" x="1917"/>
        <item m="1" x="316"/>
        <item m="1" x="5594"/>
        <item m="1" x="1515"/>
        <item m="1" x="6655"/>
        <item m="1" x="6223"/>
        <item m="1" x="5252"/>
        <item m="1" x="4764"/>
        <item m="1" x="4224"/>
        <item m="1" x="3678"/>
        <item m="1" x="7785"/>
        <item m="1" x="7342"/>
        <item m="1" x="2651"/>
        <item m="1" x="2156"/>
        <item m="1" x="1610"/>
        <item m="1" x="1071"/>
        <item m="1" x="533"/>
        <item m="1" x="4841"/>
        <item m="1" x="4307"/>
        <item m="1" x="3787"/>
        <item m="1" x="2785"/>
        <item m="1" x="2287"/>
        <item m="1" x="1749"/>
        <item m="1" x="5924"/>
        <item m="1" x="5430"/>
        <item m="1" x="4952"/>
        <item m="1" x="4445"/>
        <item m="1" x="3410"/>
        <item m="1" x="2910"/>
        <item m="1" x="2413"/>
        <item m="1" x="3313"/>
        <item m="1" x="3947"/>
        <item m="1" x="3440"/>
        <item m="1" x="2949"/>
        <item m="1" x="2926"/>
        <item m="1" x="2434"/>
        <item m="1" x="7705"/>
        <item m="1" x="6350"/>
        <item m="1" x="1089"/>
        <item m="1" x="5447"/>
        <item m="1" x="2924"/>
        <item m="1" x="1453"/>
        <item m="1" x="4139"/>
        <item m="1" x="3625"/>
        <item m="1" x="3148"/>
        <item m="1" x="2309"/>
        <item m="1" x="1769"/>
        <item m="1" x="4479"/>
        <item m="1" x="3934"/>
        <item m="1" x="3434"/>
        <item m="1" x="6071"/>
        <item m="1" x="5578"/>
        <item m="1" x="7561"/>
        <item m="1" x="7358"/>
        <item m="1" x="2679"/>
        <item m="1" x="2182"/>
        <item m="1" x="1629"/>
        <item m="1" x="1092"/>
        <item m="1" x="549"/>
        <item m="1" x="7360"/>
        <item m="1" x="2680"/>
        <item m="1" x="2187"/>
        <item m="1" x="1632"/>
        <item m="1" x="1095"/>
        <item m="1" x="551"/>
        <item m="1" x="4860"/>
        <item m="1" x="4331"/>
        <item m="1" x="3807"/>
        <item m="1" x="3305"/>
        <item m="1" x="2811"/>
        <item m="1" x="2300"/>
        <item m="1" x="1766"/>
        <item m="1" x="1212"/>
        <item m="1" x="688"/>
        <item m="1" x="103"/>
        <item m="1" x="6851"/>
        <item m="1" x="6435"/>
        <item m="1" x="5944"/>
        <item m="1" x="5451"/>
        <item m="1" x="4978"/>
        <item m="1" x="4470"/>
        <item m="1" x="3929"/>
        <item m="1" x="3427"/>
        <item m="1" x="2933"/>
        <item m="1" x="2442"/>
        <item m="1" x="7434"/>
        <item m="1" x="6971"/>
        <item m="1" x="6523"/>
        <item m="1" x="6065"/>
        <item m="1" x="5572"/>
        <item m="1" x="5099"/>
        <item m="1" x="4601"/>
        <item m="1" x="7552"/>
        <item m="1" x="7082"/>
        <item m="1" x="6639"/>
        <item m="1" x="1855"/>
        <item m="1" x="1313"/>
        <item m="1" x="783"/>
        <item m="1" x="224"/>
        <item m="1" x="4022"/>
        <item m="1" x="3520"/>
        <item m="1" x="3026"/>
        <item m="1" x="2500"/>
        <item m="1" x="1995"/>
        <item m="1" x="1460"/>
        <item m="1" x="933"/>
        <item m="1" x="367"/>
        <item m="1" x="3299"/>
        <item m="1" x="2296"/>
        <item m="1" x="99"/>
        <item m="1" x="5448"/>
        <item m="1" x="4972"/>
        <item m="1" x="4465"/>
        <item m="1" x="3925"/>
        <item m="1" x="7476"/>
        <item m="1" x="6094"/>
        <item m="1" x="774"/>
        <item m="1" x="2615"/>
        <item m="1" x="4921"/>
        <item m="1" x="721"/>
        <item m="1" x="133"/>
        <item m="1" x="2450"/>
        <item m="1" x="942"/>
        <item m="1" x="5442"/>
        <item m="1" x="4970"/>
        <item m="1" x="4458"/>
        <item m="1" x="3921"/>
        <item m="1" x="6957"/>
        <item m="1" x="4547"/>
        <item m="1" x="6469"/>
        <item m="1" x="5034"/>
        <item m="1" x="7026"/>
        <item m="1" x="6567"/>
        <item m="1" x="999"/>
        <item m="1" x="7581"/>
        <item m="1" x="6765"/>
        <item m="1" x="5364"/>
        <item m="1" x="7340"/>
        <item m="1" x="2647"/>
        <item m="1" x="2153"/>
        <item m="1" x="1068"/>
        <item m="1" x="529"/>
        <item m="1" x="2285"/>
        <item m="1" x="1746"/>
        <item m="1" x="785"/>
        <item m="1" x="228"/>
        <item m="1" x="3160"/>
        <item m="1" x="2627"/>
        <item m="1" x="1059"/>
        <item m="1" x="5786"/>
        <item m="1" x="5307"/>
        <item m="1" x="3753"/>
        <item m="1" x="2714"/>
        <item m="1" x="1672"/>
        <item m="1" x="613"/>
        <item m="1" x="4910"/>
        <item m="1" x="3360"/>
        <item m="1" x="1814"/>
        <item m="1" x="1273"/>
        <item m="1" x="166"/>
        <item m="1" x="6135"/>
        <item m="1" x="5645"/>
        <item m="1" x="4126"/>
        <item m="1" x="7638"/>
        <item m="1" x="7156"/>
        <item m="1" x="6682"/>
        <item m="1" x="6261"/>
        <item m="1" x="1391"/>
        <item m="1" x="322"/>
        <item m="1" x="3573"/>
        <item m="1" x="3099"/>
        <item m="1" x="2578"/>
        <item m="1" x="2074"/>
        <item m="1" x="1524"/>
        <item m="1" x="1009"/>
        <item m="1" x="450"/>
        <item m="1" x="5718"/>
        <item m="1" x="5263"/>
        <item m="1" x="4769"/>
        <item m="1" x="4230"/>
        <item m="1" x="3685"/>
        <item m="1" x="3223"/>
        <item m="1" x="2703"/>
        <item m="1" x="1659"/>
        <item m="1" x="1119"/>
        <item m="1" x="7698"/>
        <item m="1" x="7231"/>
        <item m="1" x="6770"/>
        <item m="1" x="6347"/>
        <item m="1" x="5843"/>
        <item m="1" x="5374"/>
        <item m="1" x="4891"/>
        <item m="1" x="4358"/>
        <item m="1" x="3839"/>
        <item m="1" x="3333"/>
        <item m="1" x="7353"/>
        <item m="1" x="6878"/>
        <item m="1" x="6450"/>
        <item m="1" x="5959"/>
        <item m="1" x="5475"/>
        <item m="1" x="536"/>
        <item m="1" x="7594"/>
        <item m="1" x="6742"/>
        <item m="1" x="5824"/>
        <item m="1" x="5346"/>
        <item m="1" x="289"/>
        <item m="1" x="1630"/>
        <item m="1" x="5613"/>
        <item m="1" x="5157"/>
        <item m="1" x="4650"/>
        <item m="1" x="4100"/>
        <item m="1" x="3590"/>
        <item m="1" x="7601"/>
        <item m="1" x="7134"/>
        <item m="1" x="6669"/>
        <item m="1" x="5737"/>
        <item m="1" x="7083"/>
        <item m="1" x="6146"/>
        <item m="1" x="1590"/>
        <item m="1" x="3603"/>
        <item m="1" x="2100"/>
        <item m="1" x="903"/>
        <item m="1" x="345"/>
        <item m="1" x="5867"/>
        <item m="1" x="5463"/>
        <item m="1" x="4489"/>
        <item m="1" x="1909"/>
        <item m="1" x="6240"/>
        <item m="1" x="1496"/>
        <item m="1" x="971"/>
        <item m="1" x="5224"/>
        <item m="1" x="550"/>
        <item m="1" x="7207"/>
        <item m="1" x="6745"/>
        <item m="1" x="6326"/>
        <item m="1" x="5826"/>
        <item m="1" x="4001"/>
        <item m="1" x="1005"/>
        <item m="1" x="4132"/>
        <item m="1" x="7532"/>
        <item m="1" x="1809"/>
        <item m="1" x="2371"/>
        <item m="1" x="2496"/>
        <item m="1" x="5427"/>
        <item m="1" x="2142"/>
        <item m="1" x="6407"/>
        <item m="1" x="7536"/>
        <item m="1" x="6619"/>
        <item m="1" x="6622"/>
        <item m="1" x="839"/>
        <item m="1" x="197"/>
        <item m="1" x="1965"/>
        <item m="1" x="1432"/>
        <item m="1" x="910"/>
        <item m="1" x="353"/>
        <item m="1" x="4802"/>
        <item m="1" x="4255"/>
        <item m="1" x="3726"/>
        <item m="1" x="7734"/>
        <item m="1" x="7265"/>
        <item m="1" x="592"/>
        <item m="1" x="5957"/>
        <item m="1" x="5471"/>
        <item m="1" x="5008"/>
        <item m="1" x="4497"/>
        <item m="1" x="3964"/>
        <item m="1" x="3452"/>
        <item m="1" x="2968"/>
        <item m="1" x="2465"/>
        <item m="1" x="1922"/>
        <item m="1" x="7057"/>
        <item m="1" x="1440"/>
        <item m="1" x="919"/>
        <item m="1" x="357"/>
        <item m="1" x="4672"/>
        <item m="1" x="4133"/>
        <item m="1" x="3145"/>
        <item m="1" x="1571"/>
        <item m="1" x="1051"/>
        <item m="1" x="7160"/>
        <item m="1" x="6266"/>
        <item m="1" x="5770"/>
        <item m="1" x="5295"/>
        <item m="1" x="4259"/>
        <item m="1" x="7385"/>
        <item m="1" x="6924"/>
        <item m="1" x="2211"/>
        <item m="1" x="1661"/>
        <item m="1" x="5963"/>
        <item m="1" x="5480"/>
        <item m="1" x="5014"/>
        <item m="1" x="4505"/>
        <item m="1" x="3462"/>
        <item m="1" x="2981"/>
        <item m="1" x="2472"/>
        <item m="1" x="1931"/>
        <item m="1" x="7618"/>
        <item m="1" x="7142"/>
        <item m="1" x="6673"/>
        <item m="1" x="6249"/>
        <item m="1" x="5748"/>
        <item m="1" x="852"/>
        <item m="1" x="308"/>
        <item m="1" x="2557"/>
        <item m="1" x="2063"/>
        <item m="1" x="6758"/>
        <item m="1" x="5832"/>
        <item m="1" x="5357"/>
        <item m="1" x="5459"/>
        <item m="1" x="4991"/>
        <item m="1" x="6985"/>
        <item m="1" x="1738"/>
        <item m="1" x="662"/>
        <item m="1" x="3907"/>
        <item m="1" x="2903"/>
        <item m="1" x="1866"/>
        <item m="1" x="795"/>
        <item m="1" x="6323"/>
        <item m="1" x="3155"/>
        <item m="1" x="2121"/>
        <item m="1" x="6197"/>
        <item m="1" x="5683"/>
        <item m="1" x="6201"/>
        <item m="1" x="7624"/>
        <item m="1" x="7147"/>
        <item m="1" x="6254"/>
        <item m="1" x="761"/>
        <item m="1" x="193"/>
        <item m="1" x="5425"/>
        <item m="1" x="7611"/>
        <item m="1" x="270"/>
        <item m="1" x="7525"/>
        <item m="1" x="2914"/>
        <item m="1" x="2351"/>
        <item m="1" x="2979"/>
        <item m="1" x="4589"/>
        <item m="1" x="2523"/>
        <item m="1" x="7349"/>
        <item m="1" x="6686"/>
        <item m="1" x="860"/>
        <item m="1" x="4158"/>
        <item m="1" x="5271"/>
        <item m="1" x="4220"/>
        <item m="1" x="3540"/>
        <item m="1" x="3647"/>
        <item m="1" x="4081"/>
        <item m="1" x="4226"/>
        <item m="1" x="3018"/>
        <item m="1" x="3903"/>
        <item m="1" x="4041"/>
        <item m="1" x="4666"/>
        <item m="1" x="4247"/>
        <item m="1" x="2580"/>
        <item m="1" x="4467"/>
        <item m="1" x="4608"/>
        <item m="1" x="4754"/>
        <item m="1" x="4885"/>
        <item m="1" x="5012"/>
        <item m="1" x="5149"/>
        <item m="1" x="4322"/>
        <item m="1" x="4337"/>
        <item m="1" x="1733"/>
        <item m="1" x="2562"/>
        <item m="1" x="1224"/>
        <item m="1" x="1379"/>
        <item m="1" x="1522"/>
        <item m="1" x="2240"/>
        <item m="1" x="1691"/>
        <item m="1" x="1158"/>
        <item m="1" x="630"/>
        <item m="1" x="4922"/>
        <item m="1" x="4393"/>
        <item m="1" x="3869"/>
        <item m="1" x="3377"/>
        <item m="1" x="5518"/>
        <item m="1" x="5636"/>
        <item m="1" x="14"/>
        <item m="1" x="2879"/>
        <item m="1" x="2374"/>
        <item m="1" x="1836"/>
        <item m="1" x="4755"/>
        <item m="1" x="3135"/>
        <item m="1" x="6047"/>
        <item m="1" x="5928"/>
        <item m="1" x="1163"/>
        <item m="1" x="632"/>
        <item m="1" x="5522"/>
        <item m="1" x="5041"/>
        <item m="1" x="4531"/>
        <item m="1" x="4003"/>
        <item m="1" x="3497"/>
        <item m="1" x="1520"/>
        <item m="1" x="4228"/>
        <item m="1" x="2205"/>
        <item m="1" x="1654"/>
        <item m="1" x="5500"/>
        <item m="1" x="7490"/>
        <item m="1" x="2821"/>
        <item m="1" x="5305"/>
        <item m="1" x="4816"/>
        <item m="1" x="4275"/>
        <item m="1" x="5042"/>
        <item m="1" x="4534"/>
        <item m="1" x="7157"/>
        <item m="1" x="6683"/>
        <item m="1" x="1924"/>
        <item m="1" x="1392"/>
        <item m="1" x="323"/>
        <item m="1" x="7298"/>
        <item m="1" x="496"/>
        <item m="1" x="7420"/>
        <item m="1" x="2750"/>
        <item m="1" x="1705"/>
        <item m="1" x="1173"/>
        <item m="1" x="1302"/>
        <item m="1" x="767"/>
        <item m="1" x="205"/>
        <item m="1" x="3507"/>
        <item m="1" x="7512"/>
        <item m="1" x="6687"/>
        <item m="1" x="1396"/>
        <item m="1" x="3576"/>
        <item m="1" x="456"/>
        <item m="1" x="7374"/>
        <item m="1" x="6902"/>
        <item m="1" x="6466"/>
        <item m="1" x="5507"/>
        <item m="1" x="571"/>
        <item m="1" x="1228"/>
        <item m="1" x="4992"/>
        <item m="1" x="1375"/>
        <item m="1" x="5118"/>
        <item m="1" x="6757"/>
        <item m="1" x="1066"/>
        <item m="1" x="524"/>
        <item m="1" x="5799"/>
        <item m="1" x="2778"/>
        <item m="1" x="2274"/>
        <item m="1" x="1735"/>
        <item m="1" x="7429"/>
        <item m="1" x="6964"/>
        <item m="1" x="6520"/>
        <item m="1" x="6061"/>
        <item m="1" x="5567"/>
        <item m="1" x="646"/>
        <item m="1" x="32"/>
        <item m="1" x="7549"/>
        <item m="1" x="2887"/>
        <item m="1" x="2385"/>
        <item m="1" x="1850"/>
        <item m="1" x="1310"/>
        <item m="1" x="776"/>
        <item m="1" x="1455"/>
        <item m="1" x="7046"/>
        <item m="1" x="6590"/>
        <item m="1" x="6151"/>
        <item m="1" x="5655"/>
        <item m="1" x="5189"/>
        <item m="1" x="4678"/>
        <item m="1" x="4141"/>
        <item m="1" x="3626"/>
        <item m="1" x="3153"/>
        <item m="1" x="6280"/>
        <item m="1" x="5780"/>
        <item m="1" x="5303"/>
        <item m="1" x="4814"/>
        <item m="1" x="6810"/>
        <item m="1" x="1534"/>
        <item m="1" x="1019"/>
        <item m="1" x="3697"/>
        <item m="1" x="610"/>
        <item m="1" x="6353"/>
        <item m="1" x="5852"/>
        <item m="1" x="4370"/>
        <item m="1" x="3847"/>
        <item m="1" x="3350"/>
        <item m="1" x="7032"/>
        <item m="1" x="5637"/>
        <item m="1" x="139"/>
        <item m="1" x="7629"/>
        <item m="1" x="2966"/>
        <item m="1" x="2463"/>
        <item m="1" x="1918"/>
        <item m="1" x="1384"/>
        <item m="1" x="317"/>
        <item m="1" x="5133"/>
        <item m="1" x="4630"/>
        <item m="1" x="4087"/>
        <item m="1" x="3569"/>
        <item m="1" x="3093"/>
        <item m="1" x="2574"/>
        <item m="1" x="1003"/>
        <item m="1" x="7111"/>
        <item m="1" x="6656"/>
        <item m="1" x="6224"/>
        <item m="1" x="5253"/>
        <item m="1" x="4225"/>
        <item m="1" x="3679"/>
        <item m="1" x="3214"/>
        <item m="1" x="2697"/>
        <item m="1" x="7694"/>
        <item m="1" x="5370"/>
        <item m="1" x="7343"/>
        <item m="1" x="6871"/>
        <item m="1" x="2157"/>
        <item m="1" x="1611"/>
        <item m="1" x="1072"/>
        <item m="1" x="4308"/>
        <item m="1" x="3788"/>
        <item m="1" x="3289"/>
        <item m="1" x="2786"/>
        <item m="1" x="2288"/>
        <item m="1" x="1750"/>
        <item m="1" x="1194"/>
        <item m="1" x="668"/>
        <item m="1" x="6415"/>
        <item m="1" x="5925"/>
        <item m="1" x="4953"/>
        <item m="1" x="4446"/>
        <item m="1" x="3913"/>
        <item m="1" x="3411"/>
        <item m="1" x="2911"/>
        <item m="1" x="7563"/>
        <item m="1" x="7092"/>
        <item m="1" x="6645"/>
        <item m="1" x="6209"/>
        <item m="1" x="789"/>
        <item m="1" x="5194"/>
        <item m="1" x="170"/>
        <item m="1" x="2435"/>
        <item m="1" x="1887"/>
        <item m="1" x="1356"/>
        <item m="1" x="816"/>
        <item m="1" x="281"/>
        <item m="1" x="6934"/>
        <item m="1" x="6493"/>
        <item m="1" x="3365"/>
        <item m="1" x="2861"/>
        <item m="1" x="2353"/>
        <item m="1" x="1815"/>
        <item m="1" x="1276"/>
        <item m="1" x="751"/>
        <item m="1" x="169"/>
        <item m="1" x="5437"/>
        <item m="1" x="499"/>
        <item m="1" x="2251"/>
        <item m="1" x="1174"/>
        <item m="1" x="20"/>
        <item m="1" x="3387"/>
        <item m="1" x="2881"/>
        <item m="1" x="1303"/>
        <item m="1" x="770"/>
        <item m="1" x="1713"/>
        <item m="1" x="639"/>
        <item m="1" x="27"/>
        <item m="1" x="3887"/>
        <item m="1" x="2884"/>
        <item m="1" x="2381"/>
        <item m="1" x="1845"/>
        <item m="1" x="773"/>
        <item m="1" x="213"/>
        <item m="1" x="6927"/>
        <item m="1" x="6482"/>
        <item m="1" x="6015"/>
        <item m="1" x="5537"/>
        <item m="1" x="4781"/>
        <item m="1" x="4237"/>
        <item m="1" x="7379"/>
        <item m="1" x="6908"/>
        <item m="1" x="6468"/>
        <item m="1" x="581"/>
        <item m="1" x="2329"/>
        <item m="1" x="719"/>
        <item m="1" x="3448"/>
        <item m="1" x="314"/>
        <item m="1" x="6989"/>
        <item m="1" x="2565"/>
        <item m="1" x="4760"/>
        <item m="1" x="7692"/>
        <item m="1" x="6762"/>
        <item m="1" x="2018"/>
        <item m="1" x="1482"/>
        <item m="1" x="946"/>
        <item m="1" x="4166"/>
        <item m="1" x="3169"/>
        <item m="1" x="3782"/>
        <item m="1" x="2282"/>
        <item m="1" x="1745"/>
        <item m="1" x="6526"/>
        <item m="1" x="7556"/>
        <item m="1" x="2895"/>
        <item m="1" x="2389"/>
        <item m="1" x="1856"/>
        <item m="1" x="1314"/>
        <item m="1" x="784"/>
        <item m="1" x="227"/>
        <item m="1" x="5059"/>
        <item m="1" x="4562"/>
        <item m="1" x="4026"/>
        <item m="1" x="6695"/>
        <item m="1" x="6289"/>
        <item m="1" x="5783"/>
        <item m="1" x="6750"/>
        <item m="1" x="5831"/>
        <item m="1" x="5351"/>
        <item m="1" x="4868"/>
        <item m="1" x="4341"/>
        <item m="1" x="3817"/>
        <item m="1" x="3309"/>
        <item m="1" x="7442"/>
        <item m="1" x="656"/>
        <item m="1" x="1579"/>
        <item m="1" x="5411"/>
        <item m="1" x="4260"/>
        <item m="1" x="600"/>
        <item m="1" x="3843"/>
        <item m="1" x="3428"/>
        <item m="1" x="5018"/>
        <item m="1" x="298"/>
        <item m="1" x="1262"/>
        <item m="1" x="741"/>
        <item m="1" x="4512"/>
        <item m="1" x="2570"/>
        <item m="1" x="1513"/>
        <item m="1" x="2942"/>
        <item m="1" x="307"/>
        <item m="1" x="6203"/>
        <item m="1" x="7630"/>
        <item m="1" x="3412"/>
        <item m="1" x="515"/>
        <item m="1" x="3476"/>
        <item m="1" x="895"/>
        <item m="1" x="3118"/>
        <item m="1" x="5408"/>
        <item m="1" x="5550"/>
        <item m="1" x="2244"/>
        <item m="1" x="1696"/>
        <item m="1" x="1297"/>
        <item m="1" x="2486"/>
        <item m="1" x="5258"/>
        <item m="1" x="3217"/>
        <item m="1" x="6464"/>
        <item m="1" x="2055"/>
        <item m="1" x="5532"/>
        <item m="1" x="5044"/>
        <item m="1" x="876"/>
        <item m="1" x="1525"/>
        <item m="1" x="3224"/>
        <item m="1" x="5027"/>
        <item m="1" x="4214"/>
        <item m="1" x="3878"/>
        <item m="1" x="3614"/>
        <item m="1" x="527"/>
        <item m="1" x="1954"/>
        <item m="1" x="6251"/>
        <item m="1" x="1682"/>
        <item m="1" x="4439"/>
        <item m="1" x="4163"/>
        <item m="1" x="3898"/>
        <item m="1" x="3633"/>
        <item m="1" x="4442"/>
        <item m="1" x="4173"/>
        <item m="1" x="3902"/>
        <item m="1" x="3635"/>
        <item m="1" x="4035"/>
        <item m="1" x="3778"/>
        <item m="1" x="4180"/>
        <item m="1" x="3917"/>
        <item m="1" x="1843"/>
        <item m="1" x="6147"/>
        <item m="1" x="4469"/>
        <item m="1" x="4201"/>
        <item m="1" x="4746"/>
        <item m="1" x="4476"/>
        <item m="1" x="4206"/>
        <item m="1" x="4617"/>
        <item m="1" x="4345"/>
        <item m="1" x="583"/>
        <item m="1" x="4486"/>
        <item m="1" x="4212"/>
        <item m="1" x="3774"/>
        <item m="1" x="3529"/>
        <item m="1" x="4338"/>
        <item m="1" x="4067"/>
        <item m="1" x="4500"/>
        <item m="1" x="3636"/>
        <item m="1" x="4483"/>
        <item m="1" x="4207"/>
        <item m="1" x="3785"/>
        <item m="1" x="3537"/>
        <item m="1" x="6169"/>
        <item m="1" x="4614"/>
        <item m="1" x="4064"/>
        <item m="1" x="3813"/>
        <item m="1" x="4775"/>
        <item m="1" x="4504"/>
        <item m="1" x="4233"/>
        <item m="1" x="4219"/>
        <item m="1" x="4779"/>
        <item m="1" x="4510"/>
        <item m="1" x="4235"/>
        <item m="1" x="3941"/>
        <item m="1" x="3666"/>
        <item m="1" x="920"/>
        <item m="1" x="4057"/>
        <item m="1" x="3799"/>
        <item m="1" x="3548"/>
        <item m="1" x="3649"/>
        <item m="1" x="3423"/>
        <item m="1" x="5025"/>
        <item m="1" x="3031"/>
        <item m="1" x="2770"/>
        <item m="1" x="2755"/>
        <item m="1" x="2497"/>
        <item m="1" x="5178"/>
        <item m="1" x="3538"/>
        <item m="1" x="4079"/>
        <item m="1" x="3825"/>
        <item m="1" x="3562"/>
        <item m="1" x="3166"/>
        <item m="1" x="2902"/>
        <item m="1" x="2641"/>
        <item m="1" x="3431"/>
        <item m="1" x="3197"/>
        <item m="1" x="5338"/>
        <item m="1" x="5961"/>
        <item m="1" x="3051"/>
        <item m="1" x="5320"/>
        <item m="1" x="661"/>
        <item m="1" x="3450"/>
        <item m="1" x="3215"/>
        <item m="1" x="2263"/>
        <item m="1" x="7711"/>
        <item m="1" x="3039"/>
        <item m="1" x="4386"/>
        <item m="1" x="5464"/>
        <item m="1" x="2516"/>
        <item m="1" x="2280"/>
        <item m="1" x="4674"/>
        <item m="1" x="3053"/>
        <item m="1" x="3326"/>
        <item m="1" x="3094"/>
        <item m="1" x="2267"/>
        <item m="1" x="2004"/>
        <item m="1" x="2662"/>
        <item m="1" x="2420"/>
        <item m="1" x="3465"/>
        <item m="1" x="2567"/>
        <item m="1" x="2668"/>
        <item m="1" x="2427"/>
        <item m="1" x="2810"/>
        <item m="1" x="2543"/>
        <item m="1" x="3346"/>
        <item m="1" x="3109"/>
        <item m="1" x="1688"/>
        <item m="1" x="1424"/>
        <item m="1" x="2113"/>
        <item m="1" x="1831"/>
        <item m="1" x="1564"/>
        <item m="1" x="3198"/>
        <item m="1" x="2940"/>
        <item m="1" x="2685"/>
        <item m="1" x="1693"/>
        <item m="1" x="1428"/>
        <item m="1" x="2671"/>
        <item m="1" x="2430"/>
        <item m="1" x="2414"/>
        <item m="1" x="2159"/>
        <item m="1" x="4406"/>
        <item m="1" x="2793"/>
        <item m="1" x="2930"/>
        <item m="1" x="2677"/>
        <item m="1" x="2437"/>
        <item m="1" x="3696"/>
        <item m="1" x="2120"/>
        <item m="1" x="7357"/>
        <item m="1" x="1988"/>
        <item m="1" x="1719"/>
        <item m="1" x="1456"/>
        <item m="1" x="2508"/>
        <item m="1" x="1734"/>
        <item m="1" x="3591"/>
        <item m="1" x="7712"/>
        <item m="1" x="7244"/>
        <item m="1" x="4709"/>
        <item m="1" x="2452"/>
        <item m="1" x="2569"/>
        <item m="1" x="2704"/>
        <item m="1" x="2469"/>
        <item m="1" x="3710"/>
        <item m="1" x="2150"/>
        <item m="1" x="7378"/>
        <item m="1" x="2025"/>
        <item m="1" x="1751"/>
        <item m="1" x="1881"/>
        <item m="1" x="3226"/>
        <item m="1" x="7355"/>
        <item m="1" x="1569"/>
        <item m="1" x="6880"/>
        <item m="1" x="1166"/>
        <item m="1" x="913"/>
        <item m="1" x="1593"/>
        <item m="1" x="1322"/>
        <item m="1" x="2438"/>
        <item m="1" x="2180"/>
        <item m="1" x="1889"/>
        <item m="1" x="1439"/>
        <item m="1" x="1172"/>
        <item m="1" x="918"/>
        <item m="1" x="1584"/>
        <item m="1" x="1309"/>
        <item m="1" x="1055"/>
        <item m="1" x="1727"/>
        <item m="1" x="1470"/>
        <item m="1" x="1184"/>
        <item m="1" x="1864"/>
        <item m="1" x="1599"/>
        <item m="1" x="1326"/>
        <item m="1" x="2021"/>
        <item m="1" x="1747"/>
        <item m="1" x="1484"/>
        <item m="1" x="2318"/>
        <item m="1" x="2057"/>
        <item m="1" x="3373"/>
        <item m="1" x="7497"/>
        <item m="1" x="1743"/>
        <item m="1" x="7025"/>
        <item m="1" x="2204"/>
        <item m="1" x="1912"/>
        <item m="1" x="1871"/>
        <item m="1" x="2584"/>
        <item m="1" x="2339"/>
        <item m="1" x="2079"/>
        <item m="1" x="3124"/>
        <item m="1" x="6796"/>
        <item m="1" x="3759"/>
        <item m="1" x="2190"/>
        <item m="1" x="7397"/>
        <item m="1" x="766"/>
        <item m="1" x="495"/>
        <item m="1" x="2577"/>
        <item m="1" x="6769"/>
        <item m="1" x="6346"/>
        <item m="1" x="772"/>
        <item m="1" x="500"/>
        <item m="1" x="3000"/>
        <item m="1" x="7138"/>
        <item m="1" x="1323"/>
        <item m="1" x="6672"/>
        <item m="1" x="3254"/>
        <item m="1" x="7381"/>
        <item m="1" x="1615"/>
        <item m="1" x="6917"/>
        <item m="1" x="3386"/>
        <item m="1" x="7513"/>
        <item m="1" x="2862"/>
        <item m="1" x="7012"/>
        <item m="1" x="1185"/>
        <item m="1" x="6558"/>
        <item m="1" x="4360"/>
        <item m="1" x="1343"/>
        <item m="1" x="6921"/>
        <item m="1" x="1076"/>
        <item m="1" x="3779"/>
        <item m="1" x="2203"/>
        <item m="1" x="7408"/>
        <item m="1" x="3399"/>
        <item m="1" x="3158"/>
        <item m="1" x="7276"/>
        <item m="1" x="1210"/>
        <item m="1" x="6814"/>
        <item m="1" x="969"/>
        <item m="1" x="1088"/>
        <item m="1" x="815"/>
        <item m="1" x="1216"/>
        <item m="1" x="974"/>
        <item m="1" x="1642"/>
        <item m="1" x="1373"/>
        <item m="1" x="1104"/>
        <item m="1" x="7759"/>
        <item m="1" x="1787"/>
        <item m="1" x="198"/>
        <item m="1" x="798"/>
        <item m="1" x="525"/>
        <item m="1" x="1196"/>
        <item m="1" x="949"/>
        <item m="1" x="669"/>
        <item m="1" x="1079"/>
        <item m="1" x="809"/>
        <item m="1" x="1208"/>
        <item m="1" x="966"/>
        <item m="1" x="3425"/>
        <item m="1" x="6095"/>
        <item m="1" x="3553"/>
        <item m="1" x="6241"/>
        <item m="1" x="659"/>
        <item m="1" x="377"/>
        <item m="1" x="3833"/>
        <item m="1" x="6470"/>
        <item m="1" x="1658"/>
        <item m="1" x="3046"/>
        <item m="1" x="2876"/>
        <item m="1" x="7183"/>
        <item m="1" x="6137"/>
        <item m="1" x="1198"/>
        <item m="1" x="90"/>
        <item m="1" x="951"/>
        <item m="1" x="1300"/>
        <item m="1" x="673"/>
        <item m="1" x="210"/>
        <item m="1" x="522"/>
        <item m="1" x="242"/>
        <item m="1" x="667"/>
        <item m="1" x="386"/>
        <item m="1" x="530"/>
        <item m="1" x="259"/>
        <item m="1" x="1102"/>
        <item m="1" x="840"/>
        <item m="1" x="1388"/>
        <item m="1" x="1117"/>
        <item m="1" x="7557"/>
        <item m="1" x="1359"/>
        <item m="1" x="2760"/>
        <item m="1" x="830"/>
        <item m="1" x="558"/>
        <item m="1" x="993"/>
        <item m="1" x="712"/>
        <item m="1" x="3336"/>
        <item m="1" x="7465"/>
        <item m="1" x="1252"/>
        <item m="1" x="1012"/>
        <item m="1" x="6484"/>
        <item m="1" x="544"/>
        <item m="1" x="6276"/>
        <item m="1" x="279"/>
        <item m="1" x="975"/>
        <item m="1" x="691"/>
        <item m="1" x="422"/>
        <item m="1" x="843"/>
        <item m="1" x="566"/>
        <item m="1" x="2906"/>
        <item m="1" x="1261"/>
        <item m="1" x="1016"/>
        <item m="1" x="1413"/>
        <item m="1" x="23"/>
        <item m="1" x="967"/>
        <item m="1" x="684"/>
        <item m="1" x="407"/>
        <item m="1" x="6935"/>
        <item m="1" x="5228"/>
        <item m="1" x="555"/>
        <item m="1" x="802"/>
        <item m="1" x="256"/>
        <item m="1" x="690"/>
        <item m="1" x="416"/>
        <item m="1" x="838"/>
        <item m="1" x="564"/>
        <item m="1" x="1944"/>
        <item m="1" x="6245"/>
        <item m="1" x="5743"/>
        <item m="1" x="818"/>
        <item m="1" x="547"/>
        <item m="1" x="285"/>
        <item m="1" x="2632"/>
        <item m="1" x="6819"/>
        <item m="1" x="978"/>
        <item m="1" x="697"/>
        <item m="1" x="6404"/>
        <item m="1" x="425"/>
        <item m="1" x="1105"/>
        <item m="1" x="850"/>
        <item m="1" x="568"/>
        <item m="1" x="5746"/>
        <item m="1" x="1109"/>
        <item m="1" x="858"/>
        <item m="1" x="578"/>
        <item m="1" x="2958"/>
        <item m="1" x="863"/>
        <item m="1" x="586"/>
        <item m="1" x="1822"/>
        <item m="1" x="6116"/>
        <item m="1" x="3721"/>
        <item m="1" x="725"/>
        <item m="1" x="6414"/>
        <item m="1" x="442"/>
        <item m="1" x="2656"/>
        <item m="1" x="6831"/>
        <item m="1" x="1008"/>
        <item m="1" x="6417"/>
        <item m="1" x="1543"/>
        <item m="1" x="1828"/>
        <item m="1" x="6127"/>
        <item m="1" x="83"/>
        <item m="1" x="5640"/>
        <item m="1" x="2975"/>
        <item m="1" x="1278"/>
        <item m="1" x="1138"/>
        <item m="1" x="5017"/>
        <item m="1" x="7616"/>
        <item m="1" x="5808"/>
        <item m="1" x="7033"/>
        <item m="1" x="4065"/>
        <item m="1" x="157"/>
        <item m="1" x="480"/>
        <item m="1" x="189"/>
        <item m="1" x="2334"/>
        <item m="1" x="2592"/>
        <item m="1" x="1772"/>
        <item m="1" x="1907"/>
        <item m="1" x="1193"/>
        <item m="1" x="1345"/>
        <item m="1" x="1493"/>
        <item m="1" x="1779"/>
        <item m="1" x="1921"/>
        <item m="1" x="1643"/>
        <item m="1" x="1790"/>
        <item m="1" x="1204"/>
        <item m="1" x="1361"/>
        <item m="1" x="1504"/>
        <item m="1" x="214"/>
        <item m="1" x="369"/>
        <item m="1" x="519"/>
        <item m="1" x="1220"/>
        <item m="1" x="537"/>
        <item m="1" x="991"/>
        <item m="1" x="679"/>
        <item m="1" x="823"/>
        <item m="1" x="260"/>
        <item m="1" x="6832"/>
        <item m="1" x="412"/>
        <item m="1" x="559"/>
        <item m="1" x="713"/>
        <item m="1" x="864"/>
        <item m="1" x="2254"/>
        <item m="1" x="7475"/>
        <item m="1" x="2390"/>
        <item m="1" x="7606"/>
        <item m="1" x="2506"/>
        <item m="1" x="7717"/>
        <item m="1" x="2646"/>
        <item m="1" x="2787"/>
        <item m="1" x="2921"/>
        <item m="1" x="7066"/>
        <item m="1" x="1250"/>
        <item m="1" x="7196"/>
        <item m="1" x="1403"/>
        <item m="1" x="7319"/>
        <item m="1" x="1537"/>
        <item m="1" x="2710"/>
        <item m="1" x="6666"/>
        <item m="1" x="6453"/>
        <item m="1" x="6233"/>
        <item m="1" x="2726"/>
        <item m="1" x="2598"/>
        <item m="1" x="6101"/>
        <item m="1" x="5742"/>
        <item m="1" x="4728"/>
        <item m="1" x="3019"/>
        <item m="1" x="6684"/>
        <item m="1" x="6477"/>
        <item m="1" x="3276"/>
        <item m="1" x="6696"/>
        <item m="1" x="7772"/>
        <item m="1" x="5849"/>
        <item m="1" x="245"/>
        <item m="1" x="1775"/>
        <item m="1" x="2213"/>
        <item m="1" x="6244"/>
        <item m="1" x="5976"/>
        <item m="1" x="249"/>
        <item m="1" x="1799"/>
        <item m="1" x="5602"/>
        <item m="1" x="1813"/>
        <item m="1" x="5384"/>
        <item m="1" x="5171"/>
        <item m="1" x="7700"/>
        <item m="1" x="5767"/>
        <item m="1" x="5598"/>
        <item m="1" x="5898"/>
        <item m="1" x="4897"/>
        <item m="1" x="1124"/>
        <item m="1" x="6730"/>
        <item m="1" x="5268"/>
        <item m="1" x="7741"/>
        <item m="1" x="4776"/>
        <item m="1" x="1265"/>
        <item m="1" x="6847"/>
        <item m="1" x="5020"/>
        <item m="1" x="171"/>
        <item m="1" x="642"/>
        <item m="1" x="794"/>
        <item m="1" x="670"/>
        <item m="1" x="243"/>
        <item m="1" x="387"/>
        <item m="1" x="55"/>
        <item m="1" x="392"/>
        <item m="1" x="686"/>
        <item m="1" x="401"/>
        <item m="1" x="80"/>
        <item m="1" x="986"/>
        <item m="1" x="3480"/>
        <item m="1" x="69"/>
        <item m="1" x="1679"/>
        <item m="1" x="91"/>
        <item m="1" x="277"/>
        <item m="1" x="3421"/>
        <item m="1" x="3295"/>
        <item m="1" x="7287"/>
        <item m="1" x="3055"/>
        <item m="1" x="650"/>
        <item m="1" x="2255"/>
        <item m="1" x="4241"/>
        <item m="1" x="1967"/>
        <item m="1" x="1972"/>
        <item m="1" x="373"/>
        <item m="1" x="2941"/>
        <item m="1" x="4593"/>
        <item m="1" x="4407"/>
        <item m="1" x="2794"/>
        <item m="1" x="2531"/>
        <item m="1" x="3884"/>
        <item m="1" x="2293"/>
        <item m="1" x="3193"/>
        <item m="1" x="3516"/>
        <item m="1" x="2678"/>
        <item m="1" x="2439"/>
        <item m="1" x="1471"/>
        <item m="1" x="1136"/>
        <item m="1" x="5491"/>
        <item m="1" x="7747"/>
        <item m="1" x="271"/>
        <item m="1" x="4723"/>
        <item m="1" x="3105"/>
        <item m="1" x="2848"/>
        <item m="1" x="4190"/>
        <item m="1" x="2585"/>
        <item m="1" x="1142"/>
        <item m="1" x="2314"/>
        <item m="1" x="7753"/>
        <item m="1" x="302"/>
        <item m="1" x="4481"/>
        <item m="1" x="1711"/>
        <item m="1" x="925"/>
        <item m="1" x="7155"/>
        <item m="1" x="1341"/>
        <item m="1" x="2987"/>
        <item m="1" x="1462"/>
        <item m="1" x="1741"/>
        <item m="1" x="2181"/>
        <item m="1" x="3517"/>
        <item m="1" x="463"/>
        <item m="1" x="4903"/>
        <item m="1" x="1876"/>
        <item m="1" x="649"/>
        <item m="1" x="6359"/>
        <item m="1" x="370"/>
        <item m="1" x="4509"/>
        <item m="1" x="6806"/>
        <item m="1" x="1891"/>
        <item m="1" x="161"/>
        <item m="1" x="7165"/>
        <item m="1" x="2051"/>
        <item m="1" x="335"/>
        <item m="1" x="7281"/>
        <item m="1" x="2197"/>
        <item m="1" x="475"/>
        <item m="1" x="7407"/>
        <item m="1" x="1333"/>
        <item m="1" x="6467"/>
        <item m="1" x="637"/>
        <item m="1" x="5051"/>
        <item m="1" x="1347"/>
        <item m="1" x="7067"/>
        <item m="1" x="7197"/>
        <item m="1" x="7320"/>
        <item m="1" x="1538"/>
        <item m="1" x="1906"/>
        <item m="1" x="1344"/>
        <item m="1" x="4091"/>
        <item m="1" x="1350"/>
        <item m="1" x="4095"/>
        <item m="1" x="968"/>
        <item m="1" x="6591"/>
        <item m="1" x="687"/>
        <item m="1" x="1916"/>
        <item m="1" x="6947"/>
        <item m="1" x="2086"/>
        <item m="1" x="6352"/>
        <item m="1" x="6096"/>
        <item m="1" x="5714"/>
        <item m="1" x="2913"/>
        <item m="1" x="3049"/>
        <item m="1" x="1664"/>
        <item m="1" x="4412"/>
        <item m="1" x="6736"/>
        <item m="1" x="7087"/>
        <item m="1" x="9"/>
        <item m="1" x="2916"/>
        <item m="1" x="5373"/>
        <item m="1" x="1812"/>
        <item m="1" x="1945"/>
        <item m="1" x="2777"/>
        <item m="1" x="5244"/>
        <item m="1" x="219"/>
        <item m="1" x="5729"/>
        <item m="1" x="5856"/>
        <item m="1" x="1955"/>
        <item m="1" x="6252"/>
        <item m="1" x="5710"/>
        <item m="1" x="388"/>
        <item m="1" x="5873"/>
        <item m="1" x="1253"/>
        <item m="1" x="1698"/>
        <item m="1" x="6000"/>
        <item m="1" x="4316"/>
        <item m="1" x="1415"/>
        <item m="1" x="5282"/>
        <item m="1" x="5116"/>
        <item m="1" x="5249"/>
        <item m="1" x="1129"/>
        <item m="1" x="6517"/>
        <item m="1" x="606"/>
        <item m="1" x="5519"/>
        <item m="1" x="6302"/>
        <item m="1" x="4008"/>
        <item m="1" x="5497"/>
        <item m="1" x="5752"/>
        <item m="1" x="7755"/>
        <item m="1" x="7285"/>
        <item m="1" x="1505"/>
        <item m="1" x="5179"/>
        <item m="1" x="5932"/>
        <item m="1" x="5168"/>
        <item m="1" x="5181"/>
        <item m="1" x="5800"/>
        <item m="1" x="4886"/>
        <item m="1" x="5013"/>
        <item m="1" x="5152"/>
        <item m="1" x="5283"/>
        <item m="1" x="4046"/>
        <item m="1" x="4187"/>
        <item m="1" x="4324"/>
        <item m="1" x="5313"/>
        <item m="1" x="5021"/>
        <item m="1" x="4913"/>
        <item m="1" x="3777"/>
        <item m="1" x="5412"/>
        <item m="1" x="146"/>
        <item m="1" x="4635"/>
        <item m="1" x="5676"/>
        <item m="1" x="4924"/>
        <item m="1" x="5047"/>
        <item m="1" x="5187"/>
        <item m="1" x="7675"/>
        <item m="1" x="5310"/>
        <item m="1" x="476"/>
        <item m="1" x="5417"/>
        <item m="1" x="6564"/>
        <item m="1" x="1635"/>
        <item m="1" x="4103"/>
        <item m="1" x="5421"/>
        <item m="1" x="3800"/>
        <item m="1" x="777"/>
        <item m="1" x="3938"/>
        <item m="1" x="4078"/>
        <item m="1" x="7279"/>
        <item m="1" x="7404"/>
        <item m="1" x="4800"/>
        <item m="1" x="7668"/>
        <item m="1" x="4931"/>
        <item m="1" x="7421"/>
        <item m="1" x="4685"/>
        <item m="1" x="3032"/>
        <item m="1" x="3287"/>
        <item m="1" x="3417"/>
        <item m="1" x="7172"/>
        <item m="1" x="4961"/>
        <item m="1" x="4238"/>
        <item m="1" x="3035"/>
        <item m="1" x="3171"/>
        <item m="1" x="4387"/>
        <item m="1" x="4533"/>
        <item m="1" x="4675"/>
        <item m="1" x="7551"/>
        <item m="1" x="4818"/>
        <item m="1" x="7780"/>
        <item m="1" x="7695"/>
        <item m="1" x="3583"/>
        <item m="1" x="4396"/>
        <item m="1" x="4537"/>
        <item m="1" x="3838"/>
        <item m="1" x="7293"/>
        <item m="1" x="4717"/>
        <item m="1" x="4870"/>
        <item m="1" x="2394"/>
        <item m="1" x="3343"/>
        <item m="1" x="2131"/>
        <item m="1" x="2268"/>
        <item m="1" x="2401"/>
        <item m="1" x="3601"/>
        <item m="1" x="3725"/>
        <item m="1" x="4291"/>
        <item m="1" x="4443"/>
        <item m="1" x="4592"/>
        <item m="1" x="3367"/>
        <item m="1" x="4202"/>
        <item m="1" x="4343"/>
        <item m="1" x="4299"/>
        <item m="1" x="4448"/>
        <item m="1" x="3737"/>
        <item m="1" x="3763"/>
        <item m="1" x="3631"/>
        <item m="1" x="1577"/>
        <item m="1" x="1997"/>
        <item m="1" x="985"/>
        <item m="1" x="6167"/>
        <item m="1" x="6304"/>
        <item m="1" x="539"/>
        <item m="1" x="5768"/>
        <item m="1" x="851"/>
        <item m="1" x="1947"/>
        <item m="1" x="6052"/>
        <item m="1" x="7036"/>
        <item m="1" x="6198"/>
        <item m="1" x="7161"/>
        <item m="1" x="7277"/>
        <item m="1" x="6441"/>
        <item m="1" x="7398"/>
        <item m="1" x="5804"/>
        <item m="1" x="4218"/>
        <item m="1" x="6895"/>
        <item m="1" x="2224"/>
        <item m="1" x="1062"/>
        <item m="1" x="5418"/>
        <item m="1" x="3152"/>
        <item m="1" x="4515"/>
        <item m="1" x="7044"/>
        <item m="1" x="7540"/>
        <item m="1" x="1182"/>
        <item m="1" x="1641"/>
        <item m="1" x="6076"/>
        <item m="1" x="6345"/>
        <item m="1" x="5434"/>
        <item m="1" x="4379"/>
        <item m="1" x="4548"/>
        <item m="1" x="4269"/>
        <item m="1" x="4682"/>
        <item m="1" x="5316"/>
        <item m="1" x="3670"/>
        <item m="1" x="6225"/>
        <item m="1" x="1652"/>
        <item m="1" x="4804"/>
        <item m="1" x="1800"/>
        <item m="1" x="4258"/>
        <item m="1" x="5324"/>
        <item m="1" x="4107"/>
        <item m="1" x="4012"/>
        <item m="1" x="4415"/>
        <item m="1" x="1951"/>
        <item m="1" x="955"/>
        <item m="1" x="4710"/>
        <item m="1" x="5841"/>
        <item m="1" x="5964"/>
        <item m="1" x="4408"/>
        <item m="1" x="1398"/>
        <item m="1" x="4135"/>
        <item m="1" x="2931"/>
        <item m="1" x="4274"/>
        <item m="1" x="6243"/>
        <item m="1" x="4686"/>
        <item m="1" x="6367"/>
        <item m="1" x="4831"/>
        <item m="1" x="1485"/>
        <item m="1" x="2613"/>
        <item m="1" x="1618"/>
        <item m="1" x="2744"/>
        <item m="1" x="1762"/>
        <item m="1" x="2885"/>
        <item m="1" x="1896"/>
        <item m="1" x="3028"/>
        <item m="1" x="4691"/>
        <item m="1" x="4433"/>
        <item m="1" x="4157"/>
        <item m="1" x="4836"/>
        <item m="1" x="4577"/>
        <item m="1" x="4300"/>
        <item m="1" x="4958"/>
        <item m="1" x="4714"/>
        <item m="1" x="4449"/>
        <item m="1" x="4287"/>
        <item m="1" x="4453"/>
        <item m="1" x="1122"/>
        <item m="1" x="2127"/>
        <item m="1" x="5716"/>
        <item m="1" x="4128"/>
        <item m="1" x="3572"/>
        <item m="1" x="7697"/>
        <item m="1" x="4959"/>
        <item m="1" x="3097"/>
        <item m="1" x="5088"/>
        <item m="1" x="5975"/>
        <item m="1" x="4426"/>
        <item m="1" x="3896"/>
        <item m="1" x="2963"/>
        <item m="1" x="3103"/>
        <item m="1" x="3231"/>
        <item m="1" x="3363"/>
        <item m="1" x="3483"/>
        <item m="1" x="3865"/>
        <item m="1" x="3376"/>
        <item m="1" x="4005"/>
        <item m="1" x="3501"/>
        <item m="1" x="4413"/>
        <item m="1" x="3622"/>
        <item m="1" x="3752"/>
        <item m="1" x="3901"/>
        <item m="1" x="7363"/>
        <item m="1" x="5478"/>
        <item m="1" x="874"/>
        <item m="1" x="3382"/>
        <item m="1" x="3894"/>
        <item m="1" x="1549"/>
        <item m="1" x="4704"/>
        <item m="1" x="6180"/>
        <item m="1" x="3087"/>
        <item m="1" x="3589"/>
        <item m="1" x="7710"/>
        <item m="1" x="5153"/>
        <item m="1" x="1998"/>
        <item m="1" x="3372"/>
        <item m="1" x="3127"/>
        <item m="1" x="5371"/>
        <item m="1" x="5896"/>
        <item m="1" x="1038"/>
        <item m="1" x="4036"/>
        <item m="1" x="3780"/>
        <item m="1" x="1161"/>
        <item m="1" x="4181"/>
        <item m="1" x="5525"/>
        <item m="1" x="3918"/>
        <item m="1" x="4861"/>
        <item m="1" x="2995"/>
        <item m="1" x="2713"/>
        <item m="1" x="5256"/>
        <item m="1" x="3379"/>
        <item m="1" x="5875"/>
        <item m="1" x="4047"/>
        <item m="1" x="3786"/>
        <item m="1" x="1013"/>
        <item m="1" x="5377"/>
        <item m="1" x="2422"/>
        <item m="1" x="1134"/>
        <item m="1" x="5490"/>
        <item m="1" x="2539"/>
        <item m="1" x="7100"/>
        <item m="1" x="4292"/>
        <item m="1" x="1285"/>
        <item m="1" x="7229"/>
        <item m="1" x="4444"/>
        <item m="1" x="1427"/>
        <item m="1" x="2854"/>
        <item m="1" x="2590"/>
        <item m="1" x="2996"/>
        <item m="1" x="2715"/>
        <item m="1" x="1673"/>
        <item m="1" x="7718"/>
        <item m="1" x="4988"/>
        <item m="1" x="2011"/>
        <item m="1" x="4494"/>
        <item m="1" x="1928"/>
        <item m="1" x="3514"/>
        <item m="1" x="5941"/>
        <item m="1" x="2758"/>
        <item m="1" x="3632"/>
        <item m="1" x="5022"/>
        <item m="1" x="6073"/>
        <item m="1" x="3162"/>
        <item m="1" x="1950"/>
        <item m="1" x="2489"/>
        <item m="1" x="339"/>
        <item m="1" x="3809"/>
        <item m="1" x="3180"/>
        <item m="1" x="2920"/>
        <item m="1" x="1372"/>
        <item m="1" x="1100"/>
        <item m="1" x="3407"/>
        <item m="1" x="7531"/>
        <item m="1" x="1785"/>
        <item m="1" x="3539"/>
        <item m="1" x="7663"/>
        <item m="1" x="7182"/>
        <item m="1" x="3646"/>
        <item m="1" x="7766"/>
        <item m="1" x="7300"/>
        <item m="1" x="3805"/>
        <item m="1" x="7431"/>
        <item m="1" x="3940"/>
        <item m="1" x="7565"/>
        <item m="1" x="5199"/>
        <item m="1" x="2109"/>
        <item m="1" x="2492"/>
        <item m="1" x="2249"/>
        <item m="1" x="3284"/>
        <item m="1" x="7406"/>
        <item m="1" x="4380"/>
        <item m="1" x="3814"/>
        <item m="1" x="7294"/>
        <item m="1" x="1523"/>
        <item m="1" x="1245"/>
        <item m="1" x="5077"/>
        <item m="1" x="2105"/>
        <item m="1" x="6919"/>
        <item m="1" x="1075"/>
        <item m="1" x="1205"/>
        <item m="1" x="7167"/>
        <item m="1" x="6458"/>
        <item m="1" x="510"/>
        <item m="1" x="2636"/>
        <item m="1" x="3983"/>
        <item m="1" x="7062"/>
        <item m="1" x="1241"/>
        <item m="1" x="7192"/>
        <item m="1" x="1399"/>
        <item m="1" x="7311"/>
        <item m="1" x="1536"/>
        <item m="1" x="239"/>
        <item m="1" x="7576"/>
        <item m="1" x="7081"/>
        <item m="1" x="7458"/>
        <item m="1" x="7530"/>
        <item m="1" x="7056"/>
        <item m="1" x="6612"/>
        <item m="1" x="6181"/>
        <item m="1" x="5670"/>
        <item m="1" x="5202"/>
        <item m="1" x="4698"/>
        <item m="1" x="2101"/>
        <item m="1" x="1039"/>
        <item m="1" x="6906"/>
        <item m="1" x="7131"/>
        <item m="1" x="1093"/>
        <item m="1" x="5827"/>
        <item m="1" x="4856"/>
        <item m="1" x="68"/>
        <item m="1" x="261"/>
        <item m="1" x="89"/>
        <item m="1" x="2515"/>
        <item m="1" x="2653"/>
        <item m="1" x="2932"/>
        <item m="1" x="3208"/>
        <item m="1" x="3324"/>
        <item m="1" x="3461"/>
        <item m="1" x="3013"/>
        <item m="1" x="2736"/>
        <item m="1" x="742"/>
        <item m="1" x="1299"/>
        <item m="1" x="1448"/>
        <item m="1" x="4707"/>
        <item m="1" x="7703"/>
        <item m="1" x="3115"/>
        <item m="1" x="7247"/>
        <item m="1" x="4474"/>
        <item m="1" x="1466"/>
        <item m="1" x="5788"/>
        <item m="1" x="2505"/>
        <item m="1" x="2919"/>
        <item m="1" x="3317"/>
        <item m="1" x="2509"/>
        <item m="1" x="2708"/>
        <item m="1" x="2719"/>
        <item m="1" x="915"/>
        <item m="1" x="405"/>
        <item m="1" x="3190"/>
        <item m="1" x="2676"/>
        <item m="1" x="2178"/>
        <item m="1" x="1627"/>
        <item m="1" x="1090"/>
        <item m="1" x="545"/>
        <item m="1" x="5345"/>
        <item m="1" x="4854"/>
        <item m="1" x="4326"/>
        <item m="1" x="3798"/>
        <item m="1" x="3300"/>
        <item m="1" x="2802"/>
        <item m="1" x="680"/>
        <item m="1" x="6427"/>
        <item m="1" x="5940"/>
        <item m="1" x="2925"/>
        <item m="1" x="4020"/>
        <item m="1" x="3513"/>
        <item m="1" x="6588"/>
        <item m="1" x="2365"/>
        <item m="1" x="5404"/>
        <item m="1" x="7593"/>
        <item m="1" x="4598"/>
        <item m="1" x="5220"/>
        <item m="1" x="7305"/>
        <item m="1" x="2118"/>
        <item m="1" x="1582"/>
        <item m="1" x="504"/>
        <item m="1" x="4271"/>
        <item m="1" x="3268"/>
        <item m="1" x="2257"/>
        <item m="1" x="6391"/>
        <item m="1" x="7392"/>
        <item m="1" x="6487"/>
        <item m="1" x="6020"/>
        <item m="1" x="5540"/>
        <item m="1" x="5054"/>
        <item m="1" x="4550"/>
        <item m="1" x="4017"/>
        <item m="1" x="7662"/>
        <item m="1" x="3010"/>
        <item m="1" x="1961"/>
        <item m="1" x="1426"/>
        <item m="1" x="907"/>
        <item m="1" x="4289"/>
        <item m="1" x="4293"/>
        <item m="1" x="4303"/>
        <item m="1" x="3734"/>
        <item m="1" x="3770"/>
        <item m="1" x="3260"/>
        <item m="1" x="3280"/>
        <item m="1" x="2748"/>
        <item m="1" x="2275"/>
        <item m="1" x="2283"/>
        <item m="1" x="1171"/>
        <item m="1" x="1190"/>
        <item m="1" x="644"/>
        <item m="1" x="16"/>
        <item m="1" x="5775"/>
        <item m="1" x="3390"/>
        <item m="1" x="7516"/>
        <item m="1" x="1933"/>
        <item m="1" x="1863"/>
        <item m="1" x="2161"/>
        <item m="1" x="1449"/>
        <item m="1" x="1588"/>
        <item m="1" x="1589"/>
        <item m="1" x="4702"/>
        <item m="1" x="5095"/>
        <item m="1" x="5359"/>
        <item m="1" x="4282"/>
        <item m="1" x="1830"/>
        <item m="1" x="2124"/>
        <item m="1" x="2399"/>
        <item m="1" x="1130"/>
        <item m="1" x="1274"/>
        <item m="1" x="2015"/>
        <item m="1" x="4165"/>
        <item m="1" x="648"/>
        <item m="1" x="65"/>
        <item m="1" x="5389"/>
        <item m="1" x="884"/>
        <item m="1" x="6516"/>
        <item m="1" x="2359"/>
        <item m="1" x="2443"/>
        <item m="1" x="6640"/>
        <item m="1" x="1971"/>
        <item m="1" x="2117"/>
        <item m="1" x="2265"/>
        <item m="1" x="2396"/>
        <item m="1" x="2518"/>
        <item m="1" x="2657"/>
        <item m="1" x="2797"/>
        <item m="1" x="2935"/>
        <item m="1" x="3076"/>
        <item m="1" x="1979"/>
        <item m="1" x="2130"/>
        <item m="1" x="2806"/>
        <item m="1" x="3081"/>
        <item m="1" x="3213"/>
        <item m="1" x="1985"/>
        <item m="1" x="2136"/>
        <item m="1" x="2408"/>
        <item m="1" x="2528"/>
        <item m="1" x="2670"/>
        <item m="1" x="2813"/>
        <item m="1" x="2948"/>
        <item m="1" x="3086"/>
        <item m="1" x="1446"/>
        <item m="1" x="2039"/>
        <item m="1" x="1623"/>
        <item m="1" x="272"/>
        <item m="1" x="709"/>
        <item m="1" x="419"/>
        <item m="1" x="4424"/>
        <item m="1" x="3750"/>
        <item m="1" x="3757"/>
        <item m="1" x="3766"/>
        <item m="1" x="3771"/>
        <item m="1" x="3775"/>
        <item m="1" x="3784"/>
        <item m="1" x="3397"/>
        <item m="1" x="3415"/>
        <item m="1" x="3419"/>
        <item m="1" x="3426"/>
        <item m="1" x="7085"/>
        <item m="1" x="2907"/>
        <item m="1" x="2790"/>
        <item m="1" x="2922"/>
        <item m="1" x="3204"/>
        <item m="1" x="3456"/>
        <item m="1" x="2261"/>
        <item m="1" x="2409"/>
        <item m="1" x="2140"/>
        <item m="1" x="1715"/>
        <item m="1" x="1325"/>
        <item m="1" x="1331"/>
        <item m="1" x="1335"/>
        <item m="1" x="1349"/>
        <item m="1" x="1358"/>
        <item m="1" x="658"/>
        <item m="1" x="254"/>
        <item m="1" x="7272"/>
        <item m="1" x="4783"/>
        <item m="1" x="3706"/>
        <item m="1" x="3713"/>
        <item m="1" x="3731"/>
        <item m="1" x="1616"/>
        <item m="1" x="6170"/>
        <item m="1" x="6178"/>
        <item m="1" x="6183"/>
        <item m="1" x="6195"/>
        <item m="1" x="3494"/>
        <item m="1" x="3008"/>
        <item m="1" x="6089"/>
        <item m="1" x="436"/>
        <item m="1" x="2690"/>
        <item m="1" x="4874"/>
        <item m="1" x="6861"/>
        <item m="1" x="2756"/>
        <item m="1" x="2475"/>
        <item m="1" x="7127"/>
        <item m="1" x="584"/>
        <item m="1" x="2835"/>
        <item m="1" x="5000"/>
        <item m="1" x="6990"/>
        <item m="1" x="4169"/>
        <item m="1" x="7762"/>
        <item m="1" x="2896"/>
        <item m="1" x="5063"/>
        <item m="1" x="7050"/>
        <item m="1" x="2091"/>
        <item m="1" x="2976"/>
        <item m="1" x="5138"/>
        <item m="1" x="7117"/>
        <item m="1" x="2164"/>
        <item m="1" x="4313"/>
        <item m="1" x="1339"/>
        <item m="1" x="3034"/>
        <item m="1" x="5196"/>
        <item m="1" x="1825"/>
        <item m="1" x="3596"/>
        <item m="1" x="1966"/>
        <item m="1" x="2511"/>
        <item m="1" x="2652"/>
        <item m="1" x="2791"/>
        <item m="1" x="2023"/>
        <item m="1" x="651"/>
        <item m="1" x="666"/>
        <item m="1" x="2898"/>
        <item m="1" x="5064"/>
        <item m="1" x="1763"/>
        <item m="1" x="4605"/>
        <item m="1" x="6644"/>
        <item m="1" x="2621"/>
        <item m="1" x="4808"/>
        <item m="1" x="3972"/>
        <item m="1" x="1764"/>
        <item m="1" x="3173"/>
        <item m="1" x="7292"/>
        <item m="1" x="2366"/>
        <item m="1" x="4528"/>
        <item m="1" x="6572"/>
        <item m="1" x="4810"/>
        <item m="1" x="3975"/>
        <item m="1" x="441"/>
        <item m="1" x="2030"/>
        <item m="1" x="1164"/>
        <item m="1" x="3381"/>
        <item m="1" x="5523"/>
        <item m="1" x="7505"/>
        <item m="1" x="2095"/>
        <item m="1" x="4243"/>
        <item m="1" x="1222"/>
        <item m="1" x="3439"/>
        <item m="1" x="7568"/>
        <item m="1" x="1454"/>
        <item m="1" x="5902"/>
        <item m="1" x="2992"/>
        <item m="1" x="1655"/>
        <item m="1" x="3990"/>
        <item m="1" x="5956"/>
        <item m="1" x="805"/>
        <item m="1" x="3052"/>
        <item m="1" x="5208"/>
        <item m="1" x="7180"/>
        <item m="1" x="4311"/>
        <item m="1" x="4058"/>
        <item m="1" x="6418"/>
        <item m="1" x="3862"/>
        <item m="1" x="5989"/>
        <item m="1" x="3089"/>
        <item m="1" x="2566"/>
        <item m="1" x="2936"/>
        <item m="1" x="5101"/>
        <item m="1" x="2132"/>
        <item m="1" x="4280"/>
        <item m="1" x="6398"/>
        <item m="1" x="1495"/>
        <item m="1" x="647"/>
        <item m="1" x="2888"/>
        <item m="1" x="5420"/>
        <item m="1" x="1562"/>
        <item m="1" x="3722"/>
        <item m="1" x="1518"/>
        <item m="1" x="473"/>
        <item m="1" x="3043"/>
        <item m="1" x="5204"/>
        <item m="1" x="7178"/>
        <item m="1" x="3119"/>
        <item m="1" x="7249"/>
        <item m="1" x="2310"/>
        <item m="1" x="4480"/>
        <item m="1" x="953"/>
        <item m="1" x="5333"/>
        <item m="1" x="2376"/>
        <item m="1" x="1033"/>
        <item m="1" x="6649"/>
        <item m="1" x="518"/>
        <item m="1" x="603"/>
        <item m="1" x="664"/>
        <item m="1" x="7054"/>
        <item m="1" x="747"/>
        <item m="1" x="804"/>
        <item m="1" x="7179"/>
        <item m="1" x="2184"/>
        <item m="1" x="6431"/>
        <item m="1" x="6439"/>
        <item m="1" x="4378"/>
        <item m="1" x="4405"/>
        <item m="1" x="3558"/>
        <item m="1" x="3570"/>
        <item m="1" x="3071"/>
        <item m="1" x="7217"/>
        <item m="1" x="3623"/>
        <item m="1" x="1823"/>
        <item m="1" x="2575"/>
        <item m="1" x="6885"/>
        <item m="1" x="3699"/>
        <item m="1" x="3235"/>
        <item m="1" x="1054"/>
        <item m="1" x="3269"/>
        <item m="1" x="1557"/>
        <item m="1" x="1040"/>
        <item m="1" x="478"/>
        <item m="1" x="3715"/>
        <item m="1" x="3250"/>
        <item m="1" x="2730"/>
        <item m="1" x="2235"/>
        <item m="1" x="1683"/>
        <item m="1" x="1148"/>
        <item m="1" x="624"/>
        <item m="1" x="4382"/>
        <item m="1" x="626"/>
        <item m="1" x="1288"/>
        <item m="1" x="759"/>
        <item m="1" x="3995"/>
        <item m="1" x="3490"/>
        <item m="1" x="3005"/>
        <item m="1" x="2483"/>
        <item m="1" x="1422"/>
        <item m="1" x="904"/>
        <item m="1" x="6122"/>
        <item m="1" x="5628"/>
        <item m="1" x="5174"/>
        <item m="1" x="4657"/>
        <item m="1" x="4116"/>
        <item m="1" x="3604"/>
        <item m="1" x="3129"/>
        <item m="1" x="2610"/>
        <item m="1" x="2102"/>
        <item m="1" x="1553"/>
        <item m="1" x="7623"/>
        <item m="1" x="7146"/>
        <item m="1" x="5290"/>
        <item m="1" x="4796"/>
        <item m="1" x="4251"/>
        <item m="1" x="3712"/>
        <item m="1" x="7726"/>
        <item m="1" x="7257"/>
        <item m="1" x="6798"/>
        <item m="1" x="6373"/>
        <item m="1" x="5868"/>
        <item m="1" x="997"/>
        <item m="1" x="439"/>
        <item m="1" x="3212"/>
        <item m="1" x="1650"/>
        <item m="1" x="576"/>
        <item m="1" x="5362"/>
        <item m="1" x="4880"/>
        <item m="1" x="4352"/>
        <item m="1" x="3829"/>
        <item m="1" x="3319"/>
        <item m="1" x="2831"/>
        <item m="1" x="1784"/>
        <item m="1" x="1231"/>
        <item m="1" x="7338"/>
        <item m="1" x="6863"/>
        <item m="1" x="5950"/>
        <item m="1" x="4994"/>
        <item m="1" x="4490"/>
        <item m="1" x="3443"/>
        <item m="1" x="7455"/>
        <item m="1" x="6988"/>
        <item m="1" x="6537"/>
        <item m="1" x="6082"/>
        <item m="1" x="5589"/>
        <item m="1" x="1894"/>
        <item m="1" x="1363"/>
        <item m="1" x="290"/>
        <item m="1" x="4060"/>
        <item m="1" x="3550"/>
        <item m="1" x="3062"/>
        <item m="1" x="2042"/>
        <item m="1" x="1497"/>
        <item m="1" x="2731"/>
        <item m="1" x="2236"/>
        <item m="1" x="1684"/>
        <item m="1" x="1149"/>
        <item m="1" x="625"/>
        <item m="1" x="5395"/>
        <item m="1" x="1045"/>
        <item m="1" x="1048"/>
        <item m="1" x="487"/>
        <item m="1" x="973"/>
        <item m="1" x="6933"/>
        <item m="1" x="7416"/>
        <item m="1" x="6051"/>
        <item m="1" x="1862"/>
        <item m="1" x="792"/>
        <item m="1" x="5667"/>
        <item m="1" x="4150"/>
        <item m="1" x="7654"/>
        <item m="1" x="5314"/>
        <item m="1" x="4288"/>
        <item m="1" x="3765"/>
        <item m="1" x="7754"/>
        <item m="1" x="7283"/>
        <item m="1" x="6821"/>
        <item m="1" x="6405"/>
        <item m="1" x="5900"/>
        <item m="1" x="1028"/>
        <item m="1" x="471"/>
        <item m="1" x="3240"/>
        <item m="1" x="358"/>
        <item m="1" x="505"/>
        <item m="1" x="5798"/>
        <item m="1" x="1034"/>
        <item m="1" x="5382"/>
        <item m="1" x="4901"/>
        <item m="1" x="4369"/>
        <item m="1" x="3845"/>
        <item m="1" x="911"/>
        <item m="1" x="5180"/>
        <item m="1" x="1047"/>
        <item m="1" x="7637"/>
        <item m="1" x="7735"/>
        <item m="1" x="6380"/>
        <item m="1" x="5876"/>
        <item m="1" x="5405"/>
        <item m="1" x="449"/>
        <item m="1" x="1657"/>
        <item m="1" x="593"/>
        <item m="1" x="4890"/>
        <item m="1" x="4356"/>
        <item m="1" x="3837"/>
        <item m="1" x="3331"/>
        <item m="1" x="2840"/>
        <item m="1" x="2335"/>
        <item m="1" x="1794"/>
        <item m="1" x="1244"/>
        <item m="1" x="730"/>
        <item m="1" x="142"/>
        <item m="1" x="6876"/>
        <item m="1" x="6449"/>
        <item m="1" x="5958"/>
        <item m="1" x="5472"/>
        <item m="1" x="5009"/>
        <item m="1" x="4498"/>
        <item m="1" x="3965"/>
        <item m="1" x="3453"/>
        <item m="1" x="2969"/>
        <item m="1" x="2466"/>
        <item m="1" x="7461"/>
        <item m="1" x="6995"/>
        <item m="1" x="6543"/>
        <item m="1" x="5596"/>
        <item m="1" x="5136"/>
        <item m="1" x="4631"/>
        <item m="1" x="1370"/>
        <item m="1" x="835"/>
        <item m="1" x="3557"/>
        <item m="1" x="3075"/>
        <item m="1" x="2552"/>
        <item m="1" x="2054"/>
        <item m="1" x="983"/>
        <item m="1" x="428"/>
        <item m="1" x="5701"/>
        <item m="1" x="5235"/>
        <item m="1" x="4750"/>
        <item m="1" x="4213"/>
        <item m="1" x="3668"/>
        <item m="1" x="3202"/>
        <item m="1" x="2688"/>
        <item m="1" x="206"/>
        <item m="1" x="215"/>
        <item m="1" x="2237"/>
        <item m="1" x="1685"/>
        <item m="1" x="1150"/>
        <item m="1" x="4918"/>
        <item m="1" x="4383"/>
        <item m="1" x="3860"/>
        <item m="1" x="2358"/>
        <item m="1" x="181"/>
        <item m="1" x="5986"/>
        <item m="1" x="5512"/>
        <item m="1" x="5033"/>
        <item m="1" x="4526"/>
        <item m="1" x="3993"/>
        <item m="1" x="3488"/>
        <item m="1" x="3003"/>
        <item m="1" x="2482"/>
        <item m="1" x="6119"/>
        <item m="1" x="5625"/>
        <item m="1" x="5170"/>
        <item m="1" x="4656"/>
        <item m="1" x="7620"/>
        <item m="1" x="7143"/>
        <item m="1" x="6674"/>
        <item m="1" x="1910"/>
        <item m="1" x="310"/>
        <item m="1" x="4083"/>
        <item m="1" x="3085"/>
        <item m="1" x="2561"/>
        <item m="1" x="2065"/>
        <item m="1" x="1510"/>
        <item m="1" x="437"/>
        <item m="1" x="6218"/>
        <item m="1" x="5706"/>
        <item m="1" x="5247"/>
        <item m="1" x="4759"/>
        <item m="1" x="4217"/>
        <item m="1" x="3211"/>
        <item m="1" x="2691"/>
        <item m="1" x="2200"/>
        <item m="1" x="1647"/>
        <item m="1" x="7225"/>
        <item m="1" x="6338"/>
        <item m="1" x="4878"/>
        <item m="1" x="4351"/>
        <item m="1" x="3828"/>
        <item m="1" x="552"/>
        <item m="1" x="7480"/>
        <item m="1" x="2812"/>
        <item m="1" x="1767"/>
        <item m="1" x="1213"/>
        <item m="1" x="4979"/>
        <item m="1" x="4471"/>
        <item m="1" x="3930"/>
        <item m="1" x="3429"/>
        <item m="1" x="1892"/>
        <item m="1" x="820"/>
        <item m="1" x="6972"/>
        <item m="1" x="5573"/>
        <item m="1" x="3060"/>
        <item m="1" x="2541"/>
        <item m="1" x="7553"/>
        <item m="1" x="7084"/>
        <item m="1" x="5691"/>
        <item m="1" x="4737"/>
        <item m="1" x="7678"/>
        <item m="1" x="6744"/>
        <item m="1" x="1996"/>
        <item m="1" x="1461"/>
        <item m="1" x="934"/>
        <item m="1" x="4145"/>
        <item m="1" x="2626"/>
        <item m="1" x="2129"/>
        <item m="1" x="1586"/>
        <item m="1" x="1058"/>
        <item m="1" x="509"/>
        <item m="1" x="3749"/>
        <item m="1" x="3274"/>
        <item m="1" x="2764"/>
        <item m="1" x="2260"/>
        <item m="1" x="1723"/>
        <item m="1" x="7748"/>
        <item m="1" x="7278"/>
        <item m="1" x="6815"/>
        <item m="1" x="5415"/>
        <item m="1" x="4939"/>
        <item m="1" x="4417"/>
        <item m="1" x="633"/>
        <item m="1" x="4"/>
        <item m="1" x="7539"/>
        <item m="1" x="194"/>
        <item m="1" x="4532"/>
        <item m="1" x="4004"/>
        <item m="1" x="2487"/>
        <item m="1" x="1964"/>
        <item m="1" x="908"/>
        <item m="1" x="6574"/>
        <item m="1" x="6130"/>
        <item m="1" x="5177"/>
        <item m="1" x="4663"/>
        <item m="1" x="4124"/>
        <item m="1" x="7154"/>
        <item m="1" x="6681"/>
        <item m="1" x="7263"/>
        <item m="1" x="6800"/>
        <item m="1" x="2072"/>
        <item m="1" x="1521"/>
        <item m="1" x="447"/>
        <item m="1" x="3684"/>
        <item m="1" x="3218"/>
        <item m="1" x="2702"/>
        <item m="1" x="589"/>
        <item m="1" x="4888"/>
        <item m="1" x="5954"/>
        <item m="1" x="7612"/>
        <item m="1" x="831"/>
        <item m="1" x="4610"/>
        <item m="1" x="4070"/>
        <item m="1" x="3072"/>
        <item m="1" x="1503"/>
        <item m="1" x="981"/>
        <item m="1" x="5233"/>
        <item m="1" x="7218"/>
        <item m="1" x="6331"/>
        <item m="1" x="5350"/>
        <item m="1" x="4867"/>
        <item m="1" x="1592"/>
        <item m="1" x="1063"/>
        <item m="1" x="517"/>
        <item m="1" x="2772"/>
        <item m="1" x="1188"/>
        <item m="1" x="653"/>
        <item m="1" x="51"/>
        <item m="1" x="5901"/>
        <item m="1" x="5419"/>
        <item m="1" x="3899"/>
        <item m="1" x="3400"/>
        <item m="1" x="2899"/>
        <item m="1" x="7399"/>
        <item m="1" x="6498"/>
        <item m="1" x="6036"/>
        <item m="1" x="5547"/>
        <item m="1" x="5067"/>
        <item m="1" x="921"/>
        <item m="1" x="359"/>
        <item m="1" x="2340"/>
        <item m="1" x="1804"/>
        <item m="1" x="1255"/>
        <item m="1" x="6452"/>
        <item m="1" x="5965"/>
        <item m="1" x="5015"/>
        <item m="1" x="4507"/>
        <item m="1" x="3970"/>
        <item m="1" x="7468"/>
        <item m="1" x="6091"/>
        <item m="1" x="5143"/>
        <item m="1" x="4757"/>
        <item m="1" x="3209"/>
        <item m="1" x="2198"/>
        <item m="1" x="1645"/>
        <item m="1" x="7222"/>
        <item m="1" x="6337"/>
        <item m="1" x="5834"/>
        <item m="1" x="5360"/>
        <item m="1" x="4877"/>
        <item m="1" x="4349"/>
        <item m="1" x="2829"/>
        <item m="1" x="5460"/>
        <item m="1" x="2277"/>
        <item m="1" x="663"/>
        <item m="1" x="1869"/>
        <item m="1" x="1330"/>
        <item m="1" x="797"/>
        <item m="1" x="6507"/>
        <item m="1" x="5073"/>
        <item m="1" x="4573"/>
        <item m="1" x="4033"/>
        <item m="1" x="3530"/>
        <item m="1" x="2510"/>
        <item m="1" x="5200"/>
        <item m="1" x="4696"/>
        <item m="1" x="4161"/>
        <item m="1" x="932"/>
        <item m="1" x="365"/>
        <item m="1" x="3156"/>
        <item m="1" x="2625"/>
        <item m="1" x="2122"/>
        <item m="1" x="1056"/>
        <item m="1" x="5306"/>
        <item m="1" x="3272"/>
        <item m="1" x="2258"/>
        <item m="1" x="1720"/>
        <item m="1" x="6393"/>
        <item m="1" x="5889"/>
        <item m="1" x="5413"/>
        <item m="1" x="7393"/>
        <item m="1" x="6489"/>
        <item m="1" x="6023"/>
        <item m="1" x="1155"/>
        <item m="1" x="627"/>
        <item m="1" x="4389"/>
        <item m="1" x="3864"/>
        <item m="1" x="3375"/>
        <item m="1" x="2361"/>
        <item m="1" x="1292"/>
        <item m="1" x="7413"/>
        <item m="1" x="2737"/>
        <item m="1" x="2241"/>
        <item m="1" x="631"/>
        <item m="1" x="4926"/>
        <item m="1" x="3872"/>
        <item m="1" x="3380"/>
        <item m="1" x="2874"/>
        <item m="1" x="7636"/>
        <item m="1" x="3096"/>
        <item m="1" x="5842"/>
        <item m="1" x="5372"/>
        <item m="1" x="4889"/>
        <item m="1" x="563"/>
        <item m="1" x="7491"/>
        <item m="1" x="702"/>
        <item m="1" x="4986"/>
        <item m="1" x="6977"/>
        <item m="1" x="2742"/>
        <item m="1" x="2246"/>
        <item m="1" x="1167"/>
        <item m="1" x="635"/>
        <item m="1" x="10"/>
        <item m="1" x="7418"/>
        <item m="1" x="2746"/>
        <item m="1" x="2248"/>
        <item m="1" x="1700"/>
        <item m="1" x="4932"/>
        <item m="1" x="4403"/>
        <item m="1" x="3881"/>
        <item m="1" x="3384"/>
        <item m="1" x="2880"/>
        <item m="1" x="2375"/>
        <item m="1" x="1837"/>
        <item m="1" x="1301"/>
        <item m="1" x="764"/>
        <item m="1" x="6923"/>
        <item m="1" x="6478"/>
        <item m="1" x="6003"/>
        <item m="1" x="5533"/>
        <item m="1" x="3503"/>
        <item m="1" x="2491"/>
        <item m="1" x="7508"/>
        <item m="1" x="7039"/>
        <item m="1" x="6578"/>
        <item m="1" x="6140"/>
        <item m="1" x="7641"/>
        <item m="1" x="7158"/>
        <item m="1" x="6685"/>
        <item m="1" x="1930"/>
        <item m="1" x="1395"/>
        <item m="1" x="877"/>
        <item m="1" x="325"/>
        <item m="1" x="4094"/>
        <item m="1" x="3102"/>
        <item m="1" x="2583"/>
        <item m="1" x="2076"/>
        <item m="1" x="1526"/>
        <item m="1" x="1010"/>
        <item m="1" x="454"/>
        <item m="1" x="6230"/>
        <item m="1" x="5720"/>
        <item m="1" x="4772"/>
        <item m="1" x="3686"/>
        <item m="1" x="7235"/>
        <item m="1" x="4362"/>
        <item m="1" x="7495"/>
        <item m="1" x="4990"/>
        <item m="1" x="3950"/>
        <item m="1" x="845"/>
        <item m="1" x="305"/>
        <item m="1" x="5586"/>
        <item m="1" x="4620"/>
        <item m="1" x="4074"/>
        <item m="1" x="6648"/>
        <item m="1" x="6215"/>
        <item m="1" x="5703"/>
        <item m="1" x="2013"/>
        <item m="1" x="1476"/>
        <item m="1" x="4160"/>
        <item m="1" x="3165"/>
        <item m="1" x="2639"/>
        <item m="1" x="2147"/>
        <item m="1" x="1065"/>
        <item m="1" x="6301"/>
        <item m="1" x="5318"/>
        <item m="1" x="4830"/>
        <item m="1" x="4290"/>
        <item m="1" x="3282"/>
        <item m="1" x="2775"/>
        <item m="1" x="4949"/>
        <item m="1" x="5477"/>
        <item m="1" x="7591"/>
        <item m="1" x="7123"/>
        <item m="1" x="1353"/>
        <item m="1" x="811"/>
        <item m="1" x="278"/>
        <item m="1" x="4051"/>
        <item m="1" x="3054"/>
        <item m="1" x="2536"/>
        <item m="1" x="2038"/>
        <item m="1" x="1492"/>
        <item m="1" x="961"/>
        <item m="1" x="7422"/>
        <item m="1" x="2753"/>
        <item m="1" x="2252"/>
        <item m="1" x="1708"/>
        <item m="1" x="1175"/>
        <item m="1" x="636"/>
        <item m="1" x="21"/>
        <item m="1" x="4935"/>
        <item m="1" x="4409"/>
        <item m="1" x="3388"/>
        <item m="1" x="2882"/>
        <item m="1" x="2379"/>
        <item m="1" x="1841"/>
        <item m="1" x="771"/>
        <item m="1" x="6926"/>
        <item m="1" x="6480"/>
        <item m="1" x="6009"/>
        <item m="1" x="5534"/>
        <item m="1" x="4014"/>
        <item m="1" x="7514"/>
        <item m="1" x="6583"/>
        <item m="1" x="5648"/>
        <item m="1" x="1935"/>
        <item m="1" x="883"/>
        <item m="1" x="331"/>
        <item m="1" x="2080"/>
        <item m="1" x="457"/>
        <item m="1" x="5272"/>
        <item m="1" x="3690"/>
        <item m="1" x="7238"/>
        <item m="1" x="5846"/>
        <item m="1" x="577"/>
        <item m="1" x="2326"/>
        <item m="1" x="6387"/>
        <item m="1" x="4726"/>
        <item m="1" x="4732"/>
        <item m="1" x="4749"/>
        <item m="1" x="4193"/>
        <item m="1" x="5004"/>
        <item m="1" x="3962"/>
        <item m="1" x="4400"/>
        <item m="1" x="1387"/>
        <item m="1" x="5713"/>
        <item m="1" x="3184"/>
        <item m="1" x="7301"/>
        <item m="1" x="22"/>
        <item m="1" x="1529"/>
        <item m="1" x="3304"/>
        <item m="1" x="7433"/>
        <item m="1" x="1671"/>
        <item m="1" x="5971"/>
        <item m="1" x="3061"/>
        <item m="1" x="7206"/>
        <item m="1" x="3437"/>
        <item m="1" x="7567"/>
        <item m="1" x="7186"/>
        <item m="1" x="3691"/>
        <item m="1" x="678"/>
        <item m="1" x="5087"/>
        <item m="1" x="6940"/>
        <item m="1" x="4112"/>
        <item m="1" x="1106"/>
        <item m="1" x="5461"/>
        <item m="1" x="1674"/>
        <item m="1" x="6366"/>
        <item m="1" x="2383"/>
        <item m="1" x="6586"/>
        <item m="1" x="3694"/>
        <item m="1" x="682"/>
        <item m="1" x="5092"/>
        <item m="1" x="1111"/>
        <item m="1" x="7065"/>
        <item m="1" x="4257"/>
        <item m="1" x="1249"/>
        <item m="1" x="44"/>
        <item m="1" x="4559"/>
        <item m="1" x="3311"/>
        <item m="1" x="238"/>
        <item m="1" x="4689"/>
        <item m="1" x="3444"/>
        <item m="1" x="381"/>
        <item m="1" x="4834"/>
        <item m="1" x="6121"/>
        <item m="1" x="5453"/>
        <item m="1" x="833"/>
        <item m="1" x="3991"/>
        <item m="1" x="1254"/>
        <item m="1" x="5603"/>
        <item m="1" x="5968"/>
        <item m="1" x="3058"/>
        <item m="1" x="1406"/>
        <item m="1" x="5730"/>
        <item m="1" x="7323"/>
        <item m="1" x="47"/>
        <item m="1" x="1541"/>
        <item m="1" x="6248"/>
        <item m="1" x="7446"/>
        <item m="1" x="244"/>
        <item m="1" x="4695"/>
        <item m="1" x="6377"/>
        <item m="1" x="4839"/>
        <item m="1" x="6601"/>
        <item m="1" x="694"/>
        <item m="1" x="5458"/>
        <item m="1" x="2507"/>
        <item m="1" x="6703"/>
        <item m="1" x="846"/>
        <item m="1" x="5241"/>
        <item m="1" x="5592"/>
        <item m="1" x="1548"/>
        <item m="1" x="5862"/>
        <item m="1" x="704"/>
        <item m="1" x="857"/>
        <item m="1" x="5245"/>
        <item m="1" x="5482"/>
        <item m="1" x="7080"/>
        <item m="1" x="4273"/>
        <item m="1" x="1267"/>
        <item m="1" x="3070"/>
        <item m="1" x="7216"/>
        <item m="1" x="4427"/>
        <item m="1" x="7333"/>
        <item m="1" x="5864"/>
        <item m="1" x="1692"/>
        <item m="1" x="3460"/>
        <item m="1" x="399"/>
        <item m="1" x="1983"/>
        <item m="1" x="5250"/>
        <item m="1" x="2659"/>
        <item m="1" x="6834"/>
        <item m="1" x="5726"/>
        <item m="1" x="6959"/>
        <item m="1" x="5487"/>
        <item m="1" x="2937"/>
        <item m="1" x="7088"/>
        <item m="1" x="3079"/>
        <item m="1" x="7339"/>
        <item m="1" x="75"/>
        <item m="1" x="1558"/>
        <item m="1" x="265"/>
        <item m="1" x="4850"/>
        <item m="1" x="1842"/>
        <item m="1" x="3587"/>
        <item m="1" x="6716"/>
        <item m="1" x="5255"/>
        <item m="1" x="4013"/>
        <item m="1" x="4286"/>
        <item m="1" x="1279"/>
        <item m="1" x="5616"/>
        <item m="1" x="4435"/>
        <item m="1" x="7344"/>
        <item m="1" x="81"/>
        <item m="1" x="4584"/>
        <item m="1" x="7466"/>
        <item m="1" x="4721"/>
        <item m="1" x="1702"/>
        <item m="1" x="6005"/>
        <item m="1" x="6390"/>
        <item m="1" x="3467"/>
        <item m="1" x="404"/>
        <item m="1" x="6494"/>
        <item m="1" x="7713"/>
        <item m="1" x="553"/>
        <item m="1" x="4981"/>
        <item m="1" x="6621"/>
        <item m="1" x="3719"/>
        <item m="1" x="5130"/>
        <item m="1" x="2530"/>
        <item m="1" x="6726"/>
        <item m="1" x="875"/>
        <item m="1" x="5265"/>
        <item m="1" x="6844"/>
        <item m="1" x="2815"/>
        <item m="1" x="3090"/>
        <item m="1" x="1423"/>
        <item m="1" x="5751"/>
        <item m="1" x="3220"/>
        <item m="1" x="7471"/>
        <item m="1" x="276"/>
        <item m="1" x="4730"/>
        <item m="1" x="1710"/>
        <item m="1" x="6011"/>
        <item m="1" x="7598"/>
        <item m="1" x="4858"/>
        <item m="1" x="6296"/>
        <item m="1" x="7348"/>
        <item m="1" x="4967"/>
        <item m="1" x="3340"/>
        <item m="1" x="7470"/>
        <item m="1" x="275"/>
        <item m="1" x="4729"/>
        <item m="1" x="5097"/>
        <item m="1" x="2125"/>
        <item m="1" x="6395"/>
        <item m="1" x="411"/>
        <item m="1" x="3709"/>
        <item m="1" x="710"/>
        <item m="1" x="1011"/>
        <item m="1" x="5728"/>
        <item m="1" x="2804"/>
        <item m="1" x="6963"/>
        <item m="1" x="4140"/>
        <item m="1" x="1133"/>
        <item m="1" x="5489"/>
        <item m="1" x="2939"/>
        <item m="1" x="5614"/>
        <item m="1" x="3225"/>
        <item m="1" x="7354"/>
        <item m="1" x="6275"/>
        <item m="1" x="7473"/>
        <item m="1" x="4733"/>
        <item m="1" x="5104"/>
        <item m="1" x="6402"/>
        <item m="1" x="4865"/>
        <item m="1" x="2527"/>
        <item m="1" x="6722"/>
        <item m="1" x="3877"/>
        <item m="1" x="872"/>
        <item m="1" x="5261"/>
        <item m="1" x="2947"/>
        <item m="1" x="7096"/>
        <item m="1" x="6846"/>
        <item m="1" x="2953"/>
        <item m="1" x="3362"/>
        <item m="1" x="7488"/>
        <item m="1" x="300"/>
        <item m="1" x="4745"/>
        <item m="1" x="2145"/>
        <item m="1" x="6409"/>
        <item m="1" x="3482"/>
        <item m="1" x="7615"/>
        <item m="1" x="4873"/>
        <item m="1" x="582"/>
        <item m="1" x="2418"/>
        <item m="1" x="5137"/>
        <item m="1" x="5485"/>
        <item m="1" x="2535"/>
        <item m="1" x="4023"/>
        <item m="1" x="5744"/>
        <item m="1" x="2823"/>
        <item m="1" x="6979"/>
        <item m="1" x="4151"/>
        <item m="1" x="1143"/>
        <item m="1" x="5501"/>
        <item m="1" x="5627"/>
        <item m="1" x="5996"/>
        <item m="1" x="1430"/>
        <item m="1" x="4859"/>
        <item m="1" x="1854"/>
        <item m="1" x="5122"/>
        <item m="1" x="2149"/>
        <item m="1" x="6857"/>
        <item m="1" x="4030"/>
        <item m="1" x="1026"/>
        <item m="1" x="5388"/>
        <item m="1" x="2828"/>
        <item m="1" x="6984"/>
        <item m="1" x="5506"/>
        <item m="1" x="5871"/>
        <item m="1" x="2960"/>
        <item m="1" x="3100"/>
        <item m="1" x="7232"/>
        <item m="1" x="4452"/>
        <item m="1" x="1436"/>
        <item m="1" x="5763"/>
        <item m="1" x="1858"/>
        <item m="1" x="306"/>
        <item m="1" x="5129"/>
        <item m="1" x="2154"/>
        <item m="1" x="4882"/>
        <item m="1" x="5264"/>
        <item m="1" x="3615"/>
        <item m="1" x="7738"/>
        <item m="1" x="596"/>
        <item m="1" x="5011"/>
        <item m="1" x="5381"/>
        <item m="1" x="740"/>
        <item m="1" x="2546"/>
        <item m="1" x="6746"/>
        <item m="1" x="5280"/>
        <item m="1" x="2689"/>
        <item m="1" x="1151"/>
        <item m="1" x="5513"/>
        <item m="1" x="2971"/>
        <item m="1" x="7113"/>
        <item m="1" x="5644"/>
        <item m="1" x="6008"/>
        <item m="1" x="3107"/>
        <item m="1" x="1444"/>
        <item m="1" x="4612"/>
        <item m="1" x="7496"/>
        <item m="1" x="4758"/>
        <item m="1" x="5135"/>
        <item m="1" x="5270"/>
        <item m="1" x="2292"/>
        <item m="1" x="6514"/>
        <item m="1" x="7742"/>
        <item m="1" x="601"/>
        <item m="1" x="746"/>
        <item m="1" x="5498"/>
        <item m="1" x="3897"/>
        <item m="1" x="5623"/>
        <item m="1" x="1036"/>
        <item m="1" x="5393"/>
        <item m="1" x="5753"/>
        <item m="1" x="6992"/>
        <item m="1" x="4172"/>
        <item m="1" x="1159"/>
        <item m="1" x="2977"/>
        <item m="1" x="7118"/>
        <item m="1" x="117"/>
        <item m="1" x="4621"/>
        <item m="1" x="4762"/>
        <item m="1" x="2166"/>
        <item m="1" x="451"/>
        <item m="1" x="4892"/>
        <item m="1" x="5758"/>
        <item m="1" x="2842"/>
        <item m="1" x="6996"/>
        <item m="1" x="4178"/>
        <item m="1" x="1165"/>
        <item m="1" x="4625"/>
        <item m="1" x="2029"/>
        <item m="1" x="6522"/>
        <item m="1" x="3629"/>
        <item m="1" x="7746"/>
        <item m="1" x="611"/>
        <item m="1" x="3762"/>
        <item m="1" x="5159"/>
        <item m="1" x="5509"/>
        <item m="1" x="898"/>
        <item m="1" x="5286"/>
        <item m="1" x="5638"/>
        <item m="1" x="4323"/>
        <item m="1" x="5789"/>
        <item m="1" x="7507"/>
        <item m="1" x="4770"/>
        <item m="1" x="2306"/>
        <item m="1" x="6763"/>
        <item m="1" x="5406"/>
        <item m="1" x="5774"/>
        <item m="1" x="2852"/>
        <item m="1" x="7132"/>
        <item m="1" x="4194"/>
        <item m="1" x="4600"/>
        <item m="1" x="5890"/>
        <item m="1" x="7128"/>
        <item m="1" x="1729"/>
        <item m="1" x="6035"/>
        <item m="1" x="4484"/>
        <item m="1" x="4876"/>
        <item m="1" x="1867"/>
        <item m="1" x="6174"/>
        <item m="1" x="7375"/>
        <item m="1" x="5140"/>
        <item m="1" x="6422"/>
        <item m="1" x="3505"/>
        <item m="1" x="455"/>
        <item m="1" x="4896"/>
        <item m="1" x="3758"/>
        <item m="1" x="5504"/>
        <item m="1" x="2555"/>
        <item m="1" x="6756"/>
        <item m="1" x="4315"/>
        <item m="1" x="5646"/>
        <item m="1" x="2705"/>
        <item m="1" x="6879"/>
        <item m="1" x="4050"/>
        <item m="1" x="4461"/>
        <item m="1" x="1451"/>
        <item m="1" x="4604"/>
        <item m="1" x="7136"/>
        <item m="1" x="4336"/>
        <item m="1" x="6038"/>
        <item m="1" x="3122"/>
        <item m="1" x="6182"/>
        <item m="1" x="5010"/>
        <item m="1" x="7506"/>
        <item m="1" x="2172"/>
        <item m="1" x="612"/>
        <item m="1" x="2447"/>
        <item m="1" x="3767"/>
        <item m="1" x="754"/>
        <item m="1" x="5163"/>
        <item m="1" x="3908"/>
        <item m="1" x="4200"/>
        <item m="1" x="2999"/>
        <item m="1" x="4756"/>
        <item m="1" x="6317"/>
        <item m="1" x="5281"/>
        <item m="1" x="6650"/>
        <item m="1" x="3772"/>
        <item m="1" x="2571"/>
        <item m="1" x="6766"/>
        <item m="1" x="4056"/>
        <item m="1" x="4475"/>
        <item m="1" x="1467"/>
        <item m="1" x="5790"/>
        <item m="1" x="2858"/>
        <item m="1" x="7009"/>
        <item m="1" x="4616"/>
        <item m="1" x="1596"/>
        <item m="1" x="5909"/>
        <item m="1" x="4344"/>
        <item m="1" x="4761"/>
        <item m="1" x="2188"/>
        <item m="1" x="3521"/>
        <item m="1" x="7648"/>
        <item m="1" x="467"/>
        <item m="1" x="4908"/>
        <item m="1" x="2316"/>
        <item m="1" x="6530"/>
        <item m="1" x="6651"/>
        <item m="1" x="3776"/>
        <item m="1" x="758"/>
        <item m="1" x="5172"/>
        <item m="1" x="5520"/>
        <item m="1" x="3914"/>
        <item m="1" x="5291"/>
        <item m="1" x="5659"/>
        <item m="1" x="6889"/>
        <item m="1" x="4059"/>
        <item m="1" x="4485"/>
        <item m="1" x="7015"/>
        <item m="1" x="4211"/>
        <item m="1" x="1880"/>
        <item m="1" x="6193"/>
        <item m="1" x="3261"/>
        <item m="1" x="7386"/>
        <item m="1" x="4643"/>
        <item m="1" x="6438"/>
        <item m="1" x="7651"/>
        <item m="1" x="469"/>
        <item m="1" x="7756"/>
        <item m="1" x="621"/>
        <item m="1" x="5031"/>
        <item m="1" x="5399"/>
        <item m="1" x="2460"/>
        <item m="1" x="6653"/>
        <item m="1" x="2717"/>
        <item m="1" x="3007"/>
        <item m="1" x="3265"/>
        <item m="1" x="7389"/>
        <item m="1" x="334"/>
        <item m="1" x="5164"/>
        <item m="1" x="7758"/>
        <item m="1" x="3920"/>
        <item m="1" x="4071"/>
        <item m="1" x="4506"/>
        <item m="1" x="1888"/>
        <item m="1" x="6204"/>
        <item m="1" x="7657"/>
        <item m="1" x="4075"/>
        <item m="1" x="4493"/>
        <item m="1" x="5805"/>
        <item m="1" x="7028"/>
        <item m="1" x="4221"/>
        <item m="1" x="167"/>
        <item m="1" x="2056"/>
        <item m="1" x="3403"/>
        <item m="1" x="338"/>
        <item m="1" x="4790"/>
        <item m="1" x="5175"/>
        <item m="1" x="2202"/>
        <item m="1" x="479"/>
        <item m="1" x="6544"/>
        <item m="1" x="2474"/>
        <item m="1" x="3794"/>
        <item m="1" x="5183"/>
        <item m="1" x="2597"/>
        <item m="1" x="5671"/>
        <item m="1" x="2729"/>
        <item m="1" x="6907"/>
        <item m="1" x="4082"/>
        <item m="1" x="6063"/>
        <item m="1" x="7528"/>
        <item m="1" x="5937"/>
        <item m="1" x="4517"/>
        <item m="1" x="4912"/>
        <item m="1" x="1901"/>
        <item m="1" x="6214"/>
        <item m="1" x="2344"/>
        <item m="1" x="6549"/>
        <item m="1" x="7765"/>
        <item m="1" x="3804"/>
        <item m="1" x="3939"/>
        <item m="1" x="3150"/>
        <item m="1" x="4513"/>
        <item m="1" x="5030"/>
        <item m="1" x="4539"/>
        <item m="1" x="6238"/>
        <item m="1" x="375"/>
        <item m="1" x="6111"/>
        <item m="1" x="5227"/>
        <item m="1" x="2664"/>
        <item m="1" x="6860"/>
        <item m="1" x="5590"/>
        <item m="1" x="2644"/>
        <item m="1" x="3263"/>
        <item m="1" x="3518"/>
        <item m="1" x="2337"/>
        <item m="1" x="3642"/>
        <item m="1" x="3931"/>
        <item m="1" x="2002"/>
        <item m="1" x="6292"/>
        <item m="1" x="1993"/>
        <item m="1" x="347"/>
        <item m="1" x="6310"/>
        <item m="1" x="3732"/>
        <item m="1" x="2444"/>
        <item m="1" x="7016"/>
        <item m="1" x="1487"/>
        <item m="1" x="5809"/>
        <item m="1" x="3747"/>
        <item m="1" x="1140"/>
        <item m="1" x="5496"/>
        <item m="1" x="1152"/>
        <item m="1" x="5514"/>
        <item m="1" x="7750"/>
        <item m="1" x="2331"/>
        <item m="1" x="2599"/>
        <item m="1" x="6783"/>
        <item m="1" x="6448"/>
        <item m="1" x="3285"/>
        <item m="1" x="768"/>
        <item m="1" x="4651"/>
        <item m="1" x="3292"/>
        <item m="1" x="7419"/>
        <item m="1" x="3651"/>
        <item m="1" x="641"/>
        <item m="1" x="5053"/>
        <item m="1" x="7403"/>
        <item m="1" x="4655"/>
        <item m="1" x="3234"/>
        <item m="1" x="7443"/>
        <item m="1" x="2792"/>
        <item m="1" x="5848"/>
        <item m="1" x="3221"/>
        <item m="1" x="890"/>
        <item m="1" x="1875"/>
        <item m="1" x="765"/>
        <item m="1" x="2210"/>
        <item m="1" x="6212"/>
        <item m="1" x="4455"/>
        <item m="1" x="1442"/>
        <item m="1" x="963"/>
        <item m="1" x="4587"/>
        <item m="1" x="5144"/>
        <item m="1" x="5150"/>
        <item m="1" x="7176"/>
        <item m="1" x="1958"/>
        <item m="1" x="3607"/>
        <item m="1" x="2238"/>
        <item m="1" x="3861"/>
        <item m="1" x="6909"/>
        <item m="1" x="3959"/>
        <item m="1" x="6708"/>
        <item m="1" x="6237"/>
        <item m="1" x="6363"/>
        <item m="1" x="5205"/>
        <item m="1" x="5156"/>
        <item m="1" x="5325"/>
        <item m="1" x="5435"/>
        <item m="1" x="4955"/>
        <item m="1" x="3371"/>
        <item m="1" x="3491"/>
        <item m="1" x="3738"/>
        <item m="1" x="3716"/>
        <item m="1" x="5396"/>
        <item m="1" x="2043"/>
        <item m="1" x="3006"/>
        <item m="1" x="4997"/>
        <item m="1" x="1271"/>
        <item m="1" x="5611"/>
        <item m="1" x="2681"/>
        <item m="1" x="4024"/>
        <item m="1" x="4662"/>
        <item m="1" x="4430"/>
        <item m="1" x="4152"/>
        <item m="1" x="415"/>
        <item m="1" x="6297"/>
        <item m="1" x="6364"/>
        <item m="1" x="4826"/>
        <item m="1" x="1819"/>
        <item m="1" x="1412"/>
        <item m="1" x="5736"/>
        <item m="1" x="6973"/>
        <item m="1" x="7097"/>
        <item m="1" x="1281"/>
        <item m="1" x="1681"/>
        <item m="1" x="7224"/>
        <item m="1" x="4438"/>
        <item m="1" x="1420"/>
        <item m="1" x="1829"/>
        <item m="1" x="6128"/>
        <item m="1" x="2301"/>
        <item m="1" x="7203"/>
        <item m="1" x="7564"/>
        <item m="1" x="4822"/>
        <item m="1" x="1803"/>
        <item m="1" x="4638"/>
        <item m="1" x="3510"/>
        <item m="1" x="3551"/>
        <item m="1" x="7524"/>
        <item m="1" x="7258"/>
        <item m="1" x="622"/>
        <item m="1" x="5296"/>
        <item m="1" x="523"/>
        <item m="1" x="2724"/>
        <item m="1" x="1346"/>
        <item m="1" x="5678"/>
        <item m="1" x="2747"/>
        <item m="1" x="3151"/>
        <item m="1" x="7275"/>
        <item m="1" x="4514"/>
        <item m="1" x="1494"/>
        <item m="1" x="5822"/>
        <item m="1" x="3968"/>
        <item m="1" x="954"/>
        <item m="1" x="5334"/>
        <item m="1" x="6584"/>
        <item m="1" x="4944"/>
        <item m="1" x="5601"/>
        <item m="1" x="2973"/>
        <item m="1" x="5113"/>
        <item m="1" x="1575"/>
        <item m="1" x="5397"/>
        <item m="1" x="6891"/>
        <item m="1" x="4039"/>
        <item m="1" x="5058"/>
        <item m="1" x="5039"/>
        <item m="1" x="897"/>
        <item m="1" x="2634"/>
        <item m="1" x="4977"/>
        <item m="1" x="4957"/>
        <item m="1" x="6260"/>
        <item m="1" x="2380"/>
        <item m="1" x="6822"/>
        <item m="1" x="3984"/>
        <item m="1" x="988"/>
        <item m="1" x="5353"/>
        <item m="1" x="1381"/>
        <item m="1" x="956"/>
        <item m="1" x="6504"/>
        <item m="1" x="6850"/>
        <item m="1" x="2538"/>
        <item m="1" x="2214"/>
        <item m="1" x="6226"/>
        <item m="1" x="6357"/>
        <item m="1" x="1357"/>
        <item m="1" x="5687"/>
        <item m="1" x="2901"/>
        <item m="1" x="7171"/>
        <item m="1" x="4797"/>
        <item m="1" x="5741"/>
        <item m="1" x="3267"/>
        <item m="1" x="1199"/>
        <item m="1" x="6486"/>
        <item m="1" x="6496"/>
        <item m="1" x="3342"/>
        <item m="1" x="3369"/>
        <item m="1" x="2436"/>
        <item m="1" x="7729"/>
        <item m="1" x="4156"/>
        <item m="1" x="4179"/>
        <item m="1" x="1732"/>
        <item m="1" x="591"/>
        <item m="1" x="2712"/>
        <item m="1" x="123"/>
        <item m="1" x="6911"/>
        <item m="1" x="3406"/>
        <item m="1" x="6083"/>
        <item m="1" x="6227"/>
        <item m="1" x="2229"/>
        <item m="1" x="3957"/>
        <item m="1" x="2093"/>
        <item m="1" x="237"/>
        <item m="1" x="2377"/>
        <item m="1" x="3848"/>
        <item m="1" x="2915"/>
        <item m="1" x="7063"/>
        <item m="1" x="7194"/>
        <item m="1" x="2111"/>
        <item m="1" x="4844"/>
        <item m="1" x="2640"/>
        <item m="1" x="5984"/>
        <item m="1" x="1419"/>
        <item m="1" x="406"/>
        <item m="1" x="3594"/>
        <item m="1" x="1156"/>
        <item m="1" x="4491"/>
        <item m="1" x="3255"/>
        <item m="1" x="330"/>
        <item m="1" x="5656"/>
        <item m="1" x="4645"/>
        <item m="1" x="1508"/>
        <item m="1" x="2961"/>
        <item m="1" x="905"/>
        <item m="1" x="5796"/>
        <item m="1" x="1612"/>
        <item m="1" x="3014"/>
        <item m="1" x="7509"/>
        <item m="1" x="327"/>
        <item m="1" x="4774"/>
        <item m="1" x="1757"/>
        <item m="1" x="6053"/>
        <item m="1" x="465"/>
        <item m="1" x="7688"/>
        <item m="1" x="7608"/>
        <item m="1" x="7617"/>
        <item m="1" x="6032"/>
        <item m="1" x="6060"/>
        <item m="1" x="6074"/>
        <item m="1" x="2819"/>
        <item m="1" x="888"/>
        <item m="1" x="6361"/>
        <item m="1" x="3676"/>
        <item m="1" x="7784"/>
        <item m="1" x="6139"/>
        <item m="1" x="1014"/>
        <item m="1" x="5379"/>
        <item m="1" x="2426"/>
        <item m="1" x="6632"/>
        <item m="1" x="3736"/>
        <item m="1" x="4144"/>
        <item m="1" x="1135"/>
        <item m="1" x="1115"/>
        <item m="1" x="4366"/>
        <item m="1" x="4653"/>
        <item m="1" x="1637"/>
        <item m="1" x="3418"/>
        <item m="1" x="2484"/>
        <item m="1" x="1295"/>
        <item m="1" x="2699"/>
        <item m="1" x="1046"/>
        <item m="1" x="2022"/>
        <item m="1" x="1748"/>
        <item m="1" x="2169"/>
        <item m="1" x="4334"/>
        <item m="1" x="5160"/>
        <item m="1" x="5521"/>
        <item m="1" x="3915"/>
        <item m="1" x="1457"/>
        <item m="1" x="1736"/>
        <item m="1" x="6040"/>
        <item m="1" x="137"/>
        <item m="1" x="4629"/>
        <item m="1" x="1609"/>
        <item m="1" x="2034"/>
        <item m="1" x="1756"/>
        <item m="1" x="2308"/>
        <item m="1" x="2047"/>
        <item m="1" x="2451"/>
        <item m="1" x="1168"/>
        <item m="1" x="5528"/>
        <item m="1" x="1307"/>
        <item m="1" x="4052"/>
        <item m="1" x="1053"/>
        <item m="1" x="1464"/>
        <item m="1" x="7007"/>
        <item m="1" x="4205"/>
        <item m="1" x="1595"/>
        <item m="1" x="5907"/>
        <item m="1" x="7139"/>
        <item m="1" x="6044"/>
        <item m="1" x="3131"/>
        <item m="1" x="2037"/>
        <item m="1" x="333"/>
        <item m="1" x="2186"/>
        <item m="1" x="6433"/>
        <item m="1" x="3519"/>
        <item m="1" x="466"/>
        <item m="1" x="4906"/>
        <item m="1" x="2313"/>
        <item m="1" x="3634"/>
        <item m="1" x="7752"/>
        <item m="1" x="618"/>
        <item m="1" x="5024"/>
        <item m="1" x="2052"/>
        <item m="1" x="2456"/>
        <item m="1" x="756"/>
        <item m="1" x="5169"/>
        <item m="1" x="2201"/>
        <item m="1" x="3534"/>
        <item m="1" x="4917"/>
        <item m="1" x="344"/>
        <item m="1" x="6546"/>
        <item m="1" x="4806"/>
        <item m="1" x="5839"/>
        <item m="1" x="7778"/>
        <item m="1" x="1663"/>
        <item m="1" x="3050"/>
        <item m="1" x="7191"/>
        <item m="1" x="7682"/>
        <item m="1" x="2752"/>
        <item m="1" x="119"/>
        <item m="1" x="3547"/>
        <item m="1" x="423"/>
        <item m="1" x="1602"/>
        <item m="1" x="5484"/>
        <item m="1" x="438"/>
        <item m="1" x="5887"/>
        <item m="1" x="3768"/>
        <item m="1" x="3834"/>
        <item m="1" x="585"/>
        <item m="1" x="598"/>
        <item m="1" x="608"/>
        <item m="1" x="2860"/>
        <item m="1" x="620"/>
        <item m="1" x="5913"/>
        <item m="1" x="2488"/>
        <item m="1" x="2533"/>
        <item m="1" x="1463"/>
        <item m="1" x="1905"/>
        <item m="1" x="6382"/>
        <item m="1" x="4109"/>
        <item m="1" x="2167"/>
        <item m="1" x="2175"/>
        <item m="1" x="7200"/>
        <item m="1" x="7228"/>
        <item m="1" x="7234"/>
        <item m="1" x="1807"/>
        <item m="1" x="6535"/>
        <item m="1" x="6724"/>
        <item m="1" x="6754"/>
        <item m="1" x="7548"/>
        <item m="1" x="5663"/>
        <item m="1" x="4668"/>
        <item m="1" x="2619"/>
        <item m="1" x="2638"/>
        <item m="1" x="2648"/>
        <item m="1" x="2660"/>
        <item m="1" x="5043"/>
        <item m="1" x="6014"/>
        <item m="1" x="7566"/>
        <item m="1" x="5699"/>
        <item m="1" x="2322"/>
        <item m="1" x="5618"/>
        <item m="1" x="6629"/>
        <item m="1" x="5891"/>
        <item m="1" x="3065"/>
        <item m="1" x="1351"/>
        <item m="1" x="4210"/>
        <item m="1" x="2148"/>
        <item m="1" x="1753"/>
        <item m="1" x="4937"/>
        <item m="1" x="5951"/>
        <item m="1" x="3826"/>
        <item m="1" x="4936"/>
        <item m="1" x="1801"/>
        <item m="1" x="2363"/>
        <item m="1" x="1640"/>
        <item m="1" x="2217"/>
        <item m="1" x="2745"/>
        <item m="1" x="1132"/>
        <item m="1" x="2279"/>
        <item m="1" x="7599"/>
        <item m="1" x="2009"/>
        <item m="1" x="865"/>
        <item m="1" x="2424"/>
        <item m="1" x="7719"/>
        <item m="1" x="7076"/>
        <item m="1" x="5693"/>
        <item m="1" x="2944"/>
        <item m="1" x="1857"/>
        <item m="1" x="781"/>
        <item m="1" x="7649"/>
        <item m="1" x="6665"/>
        <item m="1" x="6213"/>
        <item m="1" x="7659"/>
        <item m="1" x="6974"/>
        <item m="1" x="6518"/>
        <item m="1" x="4535"/>
        <item m="1" x="4019"/>
        <item m="1" x="3486"/>
        <item m="1" x="5681"/>
        <item m="1" x="2457"/>
        <item m="1" x="5908"/>
        <item m="1" x="2141"/>
        <item m="1" x="1946"/>
        <item m="1" x="2534"/>
        <item m="1" x="6735"/>
        <item m="1" x="5438"/>
        <item m="1" x="6688"/>
        <item m="1" x="2771"/>
        <item m="1" x="6306"/>
        <item m="1" x="706"/>
        <item m="1" x="1600"/>
        <item m="1" x="5112"/>
        <item m="1" x="6309"/>
        <item m="1" x="2517"/>
        <item m="1" x="700"/>
        <item m="1" x="806"/>
        <item m="1" x="7534"/>
        <item m="1" x="1125"/>
        <item m="1" x="1531"/>
        <item m="1" x="5301"/>
        <item m="1" x="2347"/>
        <item m="1" x="6374"/>
        <item m="1" x="5911"/>
        <item m="1" x="2294"/>
        <item m="1" x="597"/>
        <item m="1" x="4203"/>
        <item m="1" x="7220"/>
        <item m="1" x="7227"/>
        <item m="1" x="6712"/>
        <item m="1" x="6721"/>
        <item m="1" x="6729"/>
        <item m="1" x="6734"/>
        <item m="1" x="6740"/>
        <item m="1" x="819"/>
        <item m="1" x="1277"/>
        <item m="1" x="7782"/>
        <item m="1" x="5945"/>
        <item m="1" x="724"/>
        <item m="1" x="4524"/>
        <item m="1" x="6290"/>
        <item m="1" x="5127"/>
        <item m="1" x="5029"/>
        <item m="1" x="3455"/>
        <item m="1" x="3578"/>
        <item m="1" x="5929"/>
        <item m="1" x="3811"/>
        <item m="1" x="3414"/>
        <item m="1" x="3858"/>
        <item m="1" x="4006"/>
        <item m="1" x="4069"/>
        <item m="1" x="4215"/>
        <item m="1" x="7334"/>
        <item m="1" x="3621"/>
        <item m="1" x="458"/>
        <item m="1" x="7777"/>
        <item m="1" x="7101"/>
        <item m="1" x="5893"/>
        <item m="1" x="2032"/>
        <item m="1" x="1400"/>
        <item m="1" x="5919"/>
        <item m="1" x="2019"/>
        <item m="1" x="5658"/>
        <item m="1" x="3170"/>
        <item m="1" x="557"/>
        <item m="1" x="6965"/>
        <item m="1" x="6436"/>
        <item m="1" x="7626"/>
        <item m="1" x="319"/>
        <item m="1" x="6273"/>
        <item m="1" x="1268"/>
        <item m="1" x="6893"/>
        <item m="1" x="6898"/>
        <item m="1" x="6901"/>
        <item m="1" x="6472"/>
        <item m="1" x="4520"/>
        <item m="1" x="3977"/>
        <item m="1" x="3978"/>
        <item m="1" x="3982"/>
        <item m="1" x="3466"/>
        <item m="1" x="3469"/>
        <item m="1" x="3473"/>
        <item m="1" x="3477"/>
        <item m="1" x="3487"/>
        <item m="1" x="3493"/>
        <item m="1" x="7469"/>
        <item m="1" x="7472"/>
        <item m="1" x="7481"/>
        <item m="1" x="7500"/>
        <item m="1" x="7503"/>
        <item m="1" x="6999"/>
        <item m="1" x="7020"/>
        <item m="1" x="7023"/>
        <item m="1" x="7027"/>
        <item m="1" x="6545"/>
        <item m="1" x="6547"/>
        <item m="1" x="6552"/>
        <item m="1" x="6562"/>
        <item m="1" x="6565"/>
        <item m="1" x="6098"/>
        <item m="1" x="6108"/>
        <item m="1" x="5599"/>
        <item m="1" x="5633"/>
        <item m="1" x="3893"/>
        <item m="1" x="6456"/>
        <item m="1" x="7614"/>
        <item m="1" x="7619"/>
        <item m="1" x="2938"/>
        <item m="1" x="2952"/>
        <item m="1" x="2970"/>
        <item m="1" x="268"/>
        <item m="1" x="4594"/>
        <item m="1" x="452"/>
        <item m="1" x="1015"/>
        <item m="1" x="5689"/>
        <item m="1" x="5285"/>
        <item m="1" x="5620"/>
        <item m="1" x="3909"/>
        <item m="1" x="3928"/>
        <item m="1" x="3656"/>
        <item m="1" x="3228"/>
        <item m="1" x="2196"/>
        <item m="1" x="1835"/>
        <item m="1" x="7438"/>
        <item m="1" x="3905"/>
        <item m="1" x="3657"/>
        <item m="1" x="3364"/>
        <item m="1" x="2082"/>
        <item m="1" x="4998"/>
        <item m="1" x="3870"/>
        <item m="1" x="3680"/>
        <item m="1" x="2765"/>
        <item m="1" x="4278"/>
        <item m="1" x="6853"/>
        <item m="1" x="5065"/>
        <item m="1" x="3823"/>
        <item m="1" x="793"/>
        <item m="1" x="5198"/>
        <item m="1" x="6799"/>
        <item m="1" x="6596"/>
        <item m="1" x="4106"/>
        <item m="1" x="1098"/>
        <item m="1" x="5454"/>
        <item m="1" x="7055"/>
        <item m="1" x="4250"/>
        <item m="1" x="5588"/>
        <item m="1" x="7071"/>
        <item m="1" x="5947"/>
        <item m="1" x="6229"/>
        <item m="1" x="6460"/>
        <item m="1" x="6676"/>
        <item m="1" x="7170"/>
        <item m="1" x="7414"/>
        <item m="1" x="5201"/>
        <item m="1" x="5436"/>
        <item m="1" x="7447"/>
        <item m="1" x="5981"/>
        <item m="1" x="3312"/>
        <item m="1" x="4690"/>
        <item m="1" x="1676"/>
        <item m="1" x="5979"/>
        <item m="1" x="6582"/>
        <item m="1" x="3689"/>
        <item m="1" x="5085"/>
        <item m="1" x="1237"/>
        <item m="1" x="6253"/>
        <item m="1" x="3321"/>
        <item m="1" x="7456"/>
        <item m="1" x="4703"/>
        <item m="1" x="1687"/>
        <item m="1" x="5987"/>
        <item m="1" x="7587"/>
        <item m="1" x="393"/>
        <item m="1" x="4845"/>
        <item m="1" x="5878"/>
        <item m="1" x="5769"/>
        <item m="1" x="828"/>
        <item m="1" x="5505"/>
        <item m="1" x="735"/>
        <item m="1" x="3104"/>
        <item m="1" x="4093"/>
        <item m="1" x="4374"/>
        <item m="1" x="5424"/>
        <item m="1" x="106"/>
        <item m="1" x="6299"/>
        <item m="1" x="2033"/>
        <item m="1" x="6316"/>
        <item m="1" x="6634"/>
        <item m="1" x="894"/>
        <item m="1" x="2302"/>
        <item m="1" x="6524"/>
        <item m="1" x="5629"/>
        <item m="1" x="2693"/>
        <item m="1" x="6865"/>
        <item m="1" x="5524"/>
        <item m="1" x="1305"/>
        <item m="1" x="5649"/>
        <item m="1" x="6026"/>
        <item m="1" x="3112"/>
        <item m="1" x="4468"/>
        <item m="1" x="5782"/>
        <item m="1" x="744"/>
        <item m="1" x="5151"/>
        <item m="1" x="4840"/>
        <item m="1" x="2762"/>
        <item m="1" x="4085"/>
        <item m="1" x="7483"/>
        <item m="1" x="4545"/>
        <item m="1" x="4827"/>
        <item m="1" x="7043"/>
        <item m="1" x="6355"/>
        <item m="1" x="5812"/>
        <item m="1" x="6339"/>
        <item m="1" x="6548"/>
        <item m="1" x="4871"/>
        <item m="1" x="1201"/>
        <item m="1" x="5184"/>
        <item m="1" x="1049"/>
        <item m="1" x="4911"/>
        <item m="1" x="5502"/>
        <item m="1" x="6358"/>
        <item m="1" x="1703"/>
        <item m="1" x="6034"/>
        <item m="1" x="3393"/>
        <item m="1" x="5978"/>
        <item m="1" x="3992"/>
        <item m="1" x="6429"/>
        <item m="1" x="1638"/>
        <item m="1" x="6360"/>
        <item m="1" x="3404"/>
        <item m="1" x="5621"/>
        <item m="1" x="7115"/>
        <item m="1" x="7125"/>
        <item m="1" x="1669"/>
        <item m="1" x="5927"/>
        <item m="1" x="6881"/>
        <item m="1" x="3232"/>
        <item m="1" x="1235"/>
        <item m="1" x="6569"/>
        <item m="1" x="2455"/>
        <item m="1" x="2462"/>
        <item m="1" x="1348"/>
        <item m="1" x="1367"/>
        <item m="1" x="554"/>
        <item m="1" x="567"/>
        <item m="1" x="1737"/>
        <item m="1" x="5495"/>
        <item m="1" x="3868"/>
        <item m="1" x="3890"/>
        <item m="1" x="3906"/>
        <item m="1" x="6419"/>
        <item m="1" x="7569"/>
        <item m="1" x="5882"/>
        <item m="1" x="3592"/>
        <item m="1" x="1512"/>
        <item m="1" x="4613"/>
        <item m="1" x="3174"/>
        <item m="1" x="4261"/>
        <item m="1" x="2114"/>
        <item m="1" x="3987"/>
        <item m="1" x="6495"/>
        <item m="1" x="3271"/>
        <item m="1" x="1233"/>
        <item m="1" x="3923"/>
        <item m="1" x="5576"/>
        <item m="1" x="5584"/>
        <item m="1" x="4184"/>
        <item m="1" x="6018"/>
        <item m="1" x="7252"/>
        <item m="1" x="5828"/>
        <item m="1" x="1162"/>
        <item m="1" x="4786"/>
        <item m="1" x="4294"/>
        <item m="1" x="2139"/>
        <item m="1" x="5549"/>
        <item m="1" x="5587"/>
        <item m="1" x="4538"/>
        <item m="1" x="4552"/>
        <item m="1" x="4565"/>
        <item m="1" x="4571"/>
        <item m="1" x="1042"/>
        <item m="1" x="4357"/>
        <item m="1" x="7493"/>
        <item m="1" x="594"/>
        <item m="1" x="5966"/>
        <item m="1" x="6013"/>
        <item m="1" x="2955"/>
        <item m="1" x="2986"/>
        <item m="1" x="1934"/>
        <item m="1" x="7555"/>
        <item m="1" x="6585"/>
        <item m="1" x="6642"/>
        <item m="1" x="6396"/>
        <item m="1" x="2160"/>
        <item m="1" x="2749"/>
        <item m="1" x="2607"/>
        <item m="1" x="1561"/>
        <item m="1" x="3253"/>
        <item m="1" x="1200"/>
        <item m="1" x="100"/>
        <item m="1" x="2494"/>
        <item m="1" x="378"/>
        <item m="1" x="1555"/>
        <item m="1" x="60"/>
        <item m="1" x="1389"/>
        <item m="1" x="3879"/>
        <item m="1" x="2894"/>
        <item m="1" x="4833"/>
        <item m="1" x="3041"/>
        <item m="1" x="6883"/>
        <item m="1" x="6900"/>
        <item m="1" x="1883"/>
        <item m="1" x="732"/>
        <item m="1" x="6199"/>
        <item m="1" x="1243"/>
        <item m="1" x="18"/>
        <item m="1" x="4432"/>
        <item m="1" x="1707"/>
        <item m="1" x="5049"/>
        <item m="1" x="5173"/>
        <item m="1" x="1695"/>
        <item m="1" x="5499"/>
        <item m="1" x="5510"/>
        <item m="1" x="7720"/>
        <item m="1" x="6490"/>
        <item m="1" x="5680"/>
        <item m="1" x="5468"/>
        <item m="1" x="3874"/>
        <item m="1" x="4551"/>
        <item m="1" x="6069"/>
        <item m="1" x="1914"/>
        <item m="1" x="1160"/>
        <item m="1" x="2709"/>
        <item m="1" x="1833"/>
        <item m="1" x="7580"/>
        <item m="1" x="3567"/>
        <item m="1" x="3733"/>
        <item m="1" x="5881"/>
        <item m="1" x="2855"/>
        <item m="1" x="2865"/>
        <item m="1" x="2877"/>
        <item m="1" x="7609"/>
        <item m="1" x="722"/>
        <item m="1" x="3069"/>
        <item m="1" x="7187"/>
        <item m="1" x="7214"/>
        <item m="1" x="1895"/>
        <item m="1" x="6528"/>
        <item m="1" x="5608"/>
        <item m="1" x="4639"/>
        <item m="1" x="570"/>
        <item m="1" x="1712"/>
        <item m="1" x="5267"/>
        <item m="1" x="7236"/>
        <item m="1" x="889"/>
        <item m="1" x="7241"/>
        <item m="1" x="267"/>
        <item m="1" x="6473"/>
        <item m="1" x="7690"/>
        <item m="1" x="4740"/>
        <item m="1" x="791"/>
        <item m="1" x="2604"/>
        <item m="1" x="4787"/>
        <item m="1" x="2608"/>
        <item m="1" x="4793"/>
        <item m="1" x="7757"/>
        <item m="1" x="6354"/>
        <item m="1" x="6802"/>
        <item m="1" x="7291"/>
        <item m="1" x="7546"/>
        <item m="1" x="7069"/>
        <item m="1" x="7322"/>
        <item m="1" x="6828"/>
        <item m="1" x="7328"/>
        <item m="1" x="6444"/>
        <item m="1" x="2089"/>
        <item m="1" x="2649"/>
        <item m="1" x="1601"/>
        <item m="1" x="1316"/>
        <item m="1" x="1607"/>
        <item m="1" x="2998"/>
        <item m="1" x="3002"/>
        <item m="1" x="3781"/>
        <item m="1" x="1324"/>
        <item m="1" x="2286"/>
        <item m="1" x="11"/>
        <item m="1" x="371"/>
        <item m="1" x="397"/>
        <item m="1" x="432"/>
        <item m="1" x="440"/>
        <item m="1" x="738"/>
        <item m="1" x="7764"/>
        <item m="1" x="7537"/>
        <item m="1" x="5897"/>
        <item m="1" x="4899"/>
        <item m="1" x="6679"/>
        <item m="1" x="6691"/>
        <item m="1" x="5527"/>
        <item m="1" x="5785"/>
        <item m="1" x="3672"/>
        <item m="1" x="3966"/>
        <item m="1" x="3974"/>
        <item m="1" x="2637"/>
        <item m="1" x="4544"/>
        <item m="1" x="5083"/>
        <item m="1" x="3760"/>
        <item m="1" x="3740"/>
        <item m="1" x="3245"/>
        <item m="1" x="3820"/>
        <item m="1" x="4089"/>
        <item m="1" x="1006"/>
        <item m="1" x="5072"/>
        <item m="1" x="2706"/>
        <item m="1" x="3479"/>
        <item m="1" x="5356"/>
        <item m="1" x="7910"/>
        <item m="1" x="7911"/>
        <item m="1" x="7891"/>
        <item m="1" x="7870"/>
        <item m="1" x="7842"/>
        <item m="1" x="2227"/>
        <item m="1" x="408"/>
        <item m="1" x="5045"/>
        <item m="1" x="5050"/>
        <item m="1" x="5469"/>
        <item m="1" x="6533"/>
        <item m="1" x="5070"/>
        <item m="1" x="7843"/>
        <item m="1" x="7844"/>
        <item m="1" x="5026"/>
        <item m="1" x="1027"/>
        <item m="1" x="4216"/>
        <item m="1" x="4718"/>
        <item m="1" x="4333"/>
        <item m="1" x="7243"/>
        <item m="1" x="4692"/>
        <item m="1" x="7835"/>
        <item m="1" x="7837"/>
        <item m="1" x="7828"/>
        <item m="1" x="6025"/>
        <item m="1" x="1317"/>
        <item m="1" x="1486"/>
        <item m="1" x="1622"/>
        <item m="1" x="808"/>
        <item m="1" x="3944"/>
        <item m="1" x="5481"/>
        <item m="1" x="2805"/>
        <item m="1" x="607"/>
        <item m="1" x="619"/>
        <item m="1" x="4642"/>
        <item m="1" x="5354"/>
        <item m="1" x="5367"/>
        <item m="1" x="4581"/>
        <item m="1" x="1195"/>
        <item m="1" x="2010"/>
        <item m="1" x="7145"/>
        <item m="1" x="7812"/>
        <item m="1" x="2974"/>
        <item m="1" x="6412"/>
        <item m="1" x="7906"/>
        <item m="1" x="2864"/>
        <item m="1" x="1509"/>
        <item m="1" x="7860"/>
        <item m="1" x="4295"/>
        <item m="1" x="7950"/>
        <item m="1" x="5997"/>
        <item m="1" x="7885"/>
        <item m="1" x="3227"/>
        <item m="1" x="3353"/>
        <item m="1" x="1123"/>
        <item m="1" x="711"/>
        <item m="1" x="5120"/>
        <item m="1" x="7829"/>
        <item m="1" x="3485"/>
        <item m="1" x="3609"/>
        <item m="1" x="6882"/>
        <item m="1" x="7965"/>
        <item m="1" x="4159"/>
        <item m="1" x="739"/>
        <item m="1" x="7890"/>
        <item m="1" x="7818"/>
        <item m="1" x="6709"/>
        <item m="1" x="6154"/>
        <item m="1" x="6157"/>
        <item m="1" x="1941"/>
        <item m="1" x="1943"/>
        <item m="1" x="1949"/>
        <item m="1" x="1953"/>
        <item m="1" x="1959"/>
        <item m="1" x="1409"/>
        <item m="1" x="7849"/>
        <item m="1" x="4114"/>
        <item m="1" x="3134"/>
        <item m="1" x="2596"/>
        <item m="1" x="483"/>
        <item m="1" x="6671"/>
        <item m="1" x="6675"/>
        <item m="1" x="5733"/>
        <item m="1" x="5302"/>
        <item m="1" x="4799"/>
        <item m="1" x="4801"/>
        <item m="1" x="7831"/>
        <item m="1" x="7806"/>
        <item m="1" x="7807"/>
        <item m="1" x="5383"/>
        <item m="1" x="4904"/>
        <item m="1" x="7991"/>
        <item m="1" x="7943"/>
        <item m="1" x="7898"/>
        <item m="1" x="7899"/>
        <item m="1" x="7851"/>
        <item m="1" x="7852"/>
        <item m="1" x="7853"/>
        <item m="1" x="7854"/>
        <item m="1" x="7855"/>
        <item m="1" x="7856"/>
        <item m="1" x="7820"/>
        <item m="1" x="7809"/>
        <item m="1" x="7362"/>
        <item m="1" x="7369"/>
        <item m="1" x="7377"/>
        <item m="1" x="7390"/>
        <item m="1" x="6887"/>
        <item m="1" x="6916"/>
        <item m="1" x="6925"/>
        <item m="1" x="6928"/>
        <item m="1" x="2212"/>
        <item m="1" x="2967"/>
        <item m="1" x="7791"/>
        <item m="1" x="7432"/>
        <item m="1" x="7444"/>
        <item m="1" x="7452"/>
        <item m="1" x="6542"/>
        <item m="1" x="4599"/>
        <item m="1" x="4602"/>
        <item m="1" x="4607"/>
        <item m="1" x="4623"/>
        <item m="1" x="4088"/>
        <item m="1" x="3177"/>
        <item m="1" x="3183"/>
        <item m="1" x="3187"/>
        <item m="1" x="3200"/>
        <item m="1" x="3206"/>
        <item m="1" x="7808"/>
        <item m="1" x="7998"/>
        <item m="1" x="7999"/>
        <item m="1" x="7964"/>
        <item m="1" x="7871"/>
        <item m="1" x="4402"/>
        <item m="1" x="4423"/>
        <item m="1" x="6483"/>
        <item m="1" x="5548"/>
        <item m="1" x="6176"/>
        <item m="1" x="4687"/>
        <item m="1" x="3717"/>
        <item m="1" x="3723"/>
        <item m="1" x="3727"/>
        <item m="1" x="3735"/>
        <item m="1" x="3742"/>
        <item m="1" x="2230"/>
        <item m="1" x="2231"/>
        <item m="1" x="2242"/>
        <item m="1" x="2247"/>
        <item m="1" x="4624"/>
        <item m="1" x="3083"/>
        <item m="1" x="3091"/>
        <item m="1" x="2050"/>
        <item m="1" x="2064"/>
        <item m="1" x="2084"/>
        <item m="1" x="2088"/>
        <item m="1" x="2090"/>
        <item m="1" x="7815"/>
        <item m="1" x="7798"/>
        <item m="1" x="7799"/>
        <item m="1" x="7572"/>
        <item m="1" x="7582"/>
        <item m="1" x="7585"/>
        <item m="1" x="7802"/>
        <item m="1" x="7804"/>
        <item m="1" x="7237"/>
        <item m="1" x="7239"/>
        <item m="1" x="7242"/>
        <item m="1" x="7245"/>
        <item m="1" x="6749"/>
        <item m="1" x="4354"/>
        <item m="1" x="1209"/>
        <item m="1" x="1238"/>
        <item m="1" x="685"/>
        <item m="1" x="7299"/>
        <item m="1" x="7303"/>
        <item m="1" x="7329"/>
        <item m="1" x="6874"/>
        <item m="1" x="5936"/>
        <item m="1" x="7825"/>
        <item m="1" x="7811"/>
        <item m="1" x="7790"/>
        <item m="1" x="7449"/>
        <item m="1" x="6953"/>
        <item m="1" x="4049"/>
        <item m="1" x="3511"/>
        <item m="1" x="3523"/>
        <item m="1" x="3527"/>
        <item m="1" x="3531"/>
        <item m="1" x="3024"/>
        <item m="1" x="2499"/>
        <item m="1" x="2504"/>
        <item m="1" x="1976"/>
        <item m="1" x="2007"/>
        <item m="1" x="2024"/>
        <item m="1" x="1441"/>
        <item m="1" x="1473"/>
        <item m="1" x="931"/>
        <item m="1" x="941"/>
        <item m="1" x="947"/>
        <item m="1" x="6177"/>
        <item m="1" x="6189"/>
        <item m="1" x="5647"/>
        <item m="1" x="7266"/>
        <item m="1" x="7270"/>
        <item m="1" x="7274"/>
        <item m="1" x="6785"/>
        <item m="1" x="6790"/>
        <item m="1" x="6793"/>
        <item m="1" x="6365"/>
        <item m="1" x="7625"/>
        <item m="1" x="7632"/>
        <item m="1" x="7151"/>
        <item m="1" x="1890"/>
        <item m="1" x="1898"/>
        <item m="1" x="6168"/>
        <item m="1" x="6173"/>
        <item m="1" x="6185"/>
        <item m="1" x="6192"/>
        <item m="1" x="7929"/>
        <item m="1" x="7847"/>
        <item m="1" x="482"/>
        <item m="1" x="2735"/>
        <item m="1" x="4923"/>
        <item m="1" x="6913"/>
        <item m="1" x="484"/>
        <item m="1" x="2739"/>
        <item m="1" x="488"/>
        <item m="1" x="490"/>
        <item m="1" x="2743"/>
        <item m="1" x="494"/>
        <item m="1" x="497"/>
        <item m="1" x="3341"/>
        <item m="1" x="5545"/>
        <item m="1" x="4563"/>
        <item m="1" x="3522"/>
        <item m="1" x="3027"/>
        <item m="1" x="2501"/>
        <item m="1" x="2000"/>
        <item m="1" x="6028"/>
        <item m="1" x="5061"/>
        <item m="1" x="7794"/>
        <item m="1" x="7049"/>
        <item m="1" x="5787"/>
        <item m="1" x="5308"/>
        <item m="1" x="5062"/>
        <item m="1" x="4564"/>
        <item m="1" x="5309"/>
        <item m="1" x="5317"/>
        <item m="1" x="4820"/>
        <item m="1" x="4823"/>
        <item m="1" x="4283"/>
        <item m="1" x="3754"/>
        <item m="1" x="3761"/>
        <item m="1" x="3275"/>
        <item m="1" x="3279"/>
        <item m="1" x="2766"/>
        <item m="1" x="2262"/>
        <item m="1" x="6019"/>
        <item m="1" x="6264"/>
        <item m="1" x="1186"/>
        <item m="1" x="7522"/>
        <item m="1" x="7838"/>
        <item m="1" x="336"/>
        <item m="1" x="7979"/>
        <item m="1" x="2605"/>
        <item m="1" x="4788"/>
        <item m="1" x="6791"/>
        <item m="1" x="7821"/>
        <item m="1" x="7955"/>
        <item m="1" x="7956"/>
        <item m="1" x="7846"/>
        <item m="1" x="402"/>
        <item m="1" x="341"/>
        <item m="1" x="7527"/>
        <item m="1" x="7839"/>
        <item m="1" x="343"/>
        <item m="1" x="346"/>
        <item m="1" x="7840"/>
        <item m="1" x="485"/>
        <item m="1" x="7538"/>
        <item m="1" x="337"/>
        <item m="1" x="2606"/>
        <item m="1" x="4789"/>
        <item m="1" x="6792"/>
        <item m="1" x="7822"/>
        <item m="1" x="2667"/>
        <item m="1" x="4849"/>
        <item m="1" x="7823"/>
        <item m="1" x="4916"/>
        <item m="1" x="7826"/>
        <item m="1" x="7827"/>
        <item m="1" x="4541"/>
        <item m="1" x="7980"/>
        <item m="1" x="7987"/>
        <item m="1" x="282"/>
        <item m="1" x="295"/>
        <item m="1" x="7975"/>
        <item m="1" x="7830"/>
        <item m="1" x="7803"/>
        <item m="1" x="7709"/>
        <item m="1" x="2545"/>
        <item m="1" x="2556"/>
        <item m="1" x="2044"/>
        <item m="1" x="2061"/>
        <item m="1" x="7894"/>
        <item m="1" x="7897"/>
        <item m="1" x="4741"/>
        <item m="1" x="3659"/>
        <item m="1" x="1096"/>
        <item m="1" x="7949"/>
        <item m="1" x="7900"/>
        <item m="1" x="7435"/>
        <item m="1" x="354"/>
        <item m="1" x="431"/>
        <item m="1" x="6563"/>
        <item m="1" x="6600"/>
        <item m="1" x="2433"/>
        <item m="1" x="4597"/>
        <item m="1" x="4055"/>
        <item m="1" x="6637"/>
        <item m="1" x="6662"/>
        <item m="1" x="7817"/>
        <item m="1" x="4659"/>
        <item m="1" x="4120"/>
        <item m="1" x="6677"/>
        <item m="1" x="6804"/>
        <item m="1" x="6702"/>
        <item m="1" x="7819"/>
        <item m="1" x="7904"/>
        <item m="1" x="7966"/>
        <item m="1" x="7907"/>
        <item m="1" x="7912"/>
        <item m="1" x="6755"/>
        <item m="1" x="6334"/>
        <item m="1" x="4811"/>
        <item m="1" x="512"/>
        <item m="1" x="595"/>
        <item m="1" x="7974"/>
        <item m="1" x="7978"/>
        <item m="1" x="7918"/>
        <item m="1" x="7923"/>
        <item m="1" x="7984"/>
        <item m="1" x="7992"/>
        <item m="1" x="2299"/>
        <item m="1" x="2367"/>
        <item m="1" x="4529"/>
        <item m="1" x="7919"/>
        <item m="1" x="7925"/>
        <item m="1" x="7985"/>
        <item m="1" x="7993"/>
        <item m="1" x="2304"/>
        <item m="1" x="2370"/>
        <item m="1" x="7921"/>
        <item m="1" x="7927"/>
        <item m="1" x="7986"/>
        <item m="1" x="7994"/>
        <item m="1" x="2307"/>
        <item m="1" x="2372"/>
        <item m="1" x="7922"/>
        <item m="1" x="7930"/>
        <item m="1" x="2179"/>
        <item m="1" x="7924"/>
        <item m="1" x="7935"/>
        <item m="1" x="2185"/>
        <item m="1" x="7926"/>
        <item m="1" x="7931"/>
        <item m="1" x="2317"/>
        <item m="1" x="7928"/>
        <item m="1" x="7933"/>
        <item m="1" x="2320"/>
        <item m="1" x="7932"/>
        <item m="1" x="7936"/>
        <item m="1" x="7981"/>
        <item m="1" x="7983"/>
        <item m="1" x="7988"/>
        <item m="1" x="7996"/>
        <item m="1" x="2325"/>
        <item m="1" x="2388"/>
        <item m="1" x="7970"/>
        <item m="1" x="7973"/>
        <item m="1" x="1952"/>
        <item m="1" x="7995"/>
        <item m="1" x="7951"/>
        <item m="1" x="7952"/>
        <item m="1" x="1754"/>
        <item m="1" x="1755"/>
        <item m="1" x="3916"/>
        <item m="1" x="3919"/>
        <item m="1" x="7953"/>
        <item m="1" x="1203"/>
        <item m="1" x="677"/>
        <item m="1" x="3420"/>
        <item m="1" x="3430"/>
        <item m="1" x="2918"/>
        <item m="1" x="6055"/>
        <item m="1" x="6066"/>
        <item m="1" x="6072"/>
        <item m="1" x="5562"/>
        <item m="1" x="7795"/>
        <item m="1" x="7544"/>
        <item m="1" x="7959"/>
        <item m="1" x="1286"/>
        <item m="1" x="757"/>
        <item m="1" x="3489"/>
        <item m="1" x="3499"/>
        <item m="1" x="3004"/>
        <item m="1" x="6131"/>
        <item m="1" x="6141"/>
        <item m="1" x="5626"/>
        <item m="1" x="7801"/>
        <item m="1" x="7621"/>
        <item m="1" x="7883"/>
        <item m="1" x="7972"/>
        <item m="1" x="1429"/>
        <item m="1" x="909"/>
        <item m="1" x="3612"/>
        <item m="1" x="3619"/>
        <item m="1" x="3141"/>
        <item m="1" x="6259"/>
        <item m="1" x="6268"/>
        <item m="1" x="6274"/>
        <item m="1" x="5755"/>
        <item m="1" x="7805"/>
        <item m="1" x="7732"/>
        <item m="1" x="4267"/>
        <item m="1" x="7954"/>
        <item m="1" x="1761"/>
        <item m="1" x="3922"/>
        <item m="1" x="6056"/>
        <item m="1" x="5563"/>
        <item m="1" x="7960"/>
        <item m="1" x="1826"/>
        <item m="1" x="3997"/>
        <item m="1" x="5632"/>
        <item m="1" x="7967"/>
        <item m="1" x="4061"/>
        <item m="1" x="6205"/>
        <item m="1" x="5694"/>
        <item m="1" x="7886"/>
        <item m="1" x="7889"/>
        <item m="1" x="3705"/>
        <item m="1" x="3239"/>
        <item m="1" x="7892"/>
        <item m="1" x="7895"/>
        <item m="1" x="3793"/>
        <item m="1" x="3294"/>
        <item m="1" x="7961"/>
        <item m="1" x="7920"/>
        <item m="1" x="7937"/>
        <item m="1" x="472"/>
        <item m="1" x="2722"/>
        <item m="1" x="2754"/>
        <item m="1" x="5390"/>
        <item m="1" x="7939"/>
        <item m="1" x="7942"/>
        <item m="1" x="2798"/>
        <item m="1" x="2832"/>
        <item m="1" x="5439"/>
        <item m="1" x="7789"/>
        <item m="1" x="7944"/>
        <item m="1" x="7948"/>
        <item m="1" x="1154"/>
        <item m="1" x="2868"/>
        <item m="1" x="2893"/>
        <item m="1" x="7863"/>
        <item m="1" x="7864"/>
        <item m="1" x="7867"/>
        <item m="1" x="810"/>
        <item m="1" x="7865"/>
        <item m="1" x="7868"/>
        <item m="1" x="814"/>
        <item m="1" x="7915"/>
        <item m="1" x="7934"/>
        <item m="1" x="7941"/>
        <item m="1" x="7866"/>
        <item m="1" x="7905"/>
        <item m="1" x="7872"/>
        <item m="1" x="7914"/>
        <item m="1" x="7908"/>
        <item m="1" x="7909"/>
        <item m="1" x="7876"/>
        <item m="1" x="7902"/>
        <item m="1" x="7878"/>
        <item m="1" x="7879"/>
        <item m="1" x="7880"/>
        <item m="1" x="7881"/>
        <item m="1" x="7884"/>
        <item m="1" x="2654"/>
        <item m="1" x="2162"/>
        <item m="1" x="7810"/>
        <item m="1" x="7962"/>
        <item m="1" x="2369"/>
        <item m="1" x="7887"/>
        <item m="1" x="2721"/>
        <item m="1" x="2228"/>
        <item m="1" x="7813"/>
        <item m="1" x="7968"/>
        <item m="1" x="2446"/>
        <item m="1" x="7877"/>
        <item m="1" x="950"/>
        <item m="1" x="3176"/>
        <item m="1" x="5331"/>
        <item m="1" x="7295"/>
        <item m="1" x="7888"/>
        <item m="1" x="1030"/>
        <item m="1" x="3241"/>
        <item m="1" x="5391"/>
        <item m="1" x="7366"/>
        <item m="1" x="7893"/>
        <item m="1" x="1083"/>
        <item m="1" x="5440"/>
        <item m="1" x="7424"/>
        <item m="1" x="541"/>
        <item m="1" x="7845"/>
        <item m="1" x="7848"/>
        <item m="1" x="7850"/>
        <item m="1" x="7858"/>
        <item m="1" x="7861"/>
        <item m="1" x="7832"/>
        <item m="1" x="7859"/>
        <item m="1" x="7862"/>
        <item m="1" x="3242"/>
        <item m="1" x="7367"/>
        <item m="1" x="5123"/>
        <item m="1" x="7103"/>
        <item m="1" x="4522"/>
        <item m="1" x="3981"/>
        <item m="1" x="6557"/>
        <item m="1" x="6105"/>
        <item m="1" x="7816"/>
        <item m="1" x="7800"/>
        <item m="1" x="6920"/>
        <item m="1" x="5428"/>
        <item m="1" x="5560"/>
        <item m="1" x="7286"/>
        <item m="1" x="7410"/>
        <item m="1" x="2357"/>
        <item m="1" x="943"/>
        <item m="1" x="1070"/>
        <item m="1" x="1355"/>
        <item m="1" x="5402"/>
        <item m="1" x="3945"/>
        <item m="1" x="1697"/>
        <item m="1" x="5999"/>
        <item m="1" x="867"/>
        <item m="1" x="7945"/>
        <item m="1" x="6001"/>
        <item m="1" x="7792"/>
        <item m="1" x="7874"/>
        <item m="1" x="3948"/>
        <item m="1" x="3955"/>
        <item m="1" x="734"/>
        <item m="1" x="7946"/>
        <item m="1" x="7793"/>
        <item m="1" x="3952"/>
        <item m="1" x="4018"/>
        <item m="1" x="1706"/>
        <item m="1" x="6006"/>
        <item m="1" x="878"/>
        <item m="1" x="1709"/>
        <item m="1" x="6016"/>
        <item m="1" x="887"/>
        <item m="1" x="7947"/>
        <item m="1" x="1717"/>
        <item m="1" x="7957"/>
        <item m="1" x="1792"/>
        <item m="1" x="3960"/>
        <item m="1" x="5756"/>
        <item m="1" x="7736"/>
        <item m="1" x="5760"/>
        <item m="1" x="7737"/>
        <item m="1" x="3616"/>
        <item m="1" x="5765"/>
        <item m="1" x="7739"/>
        <item m="1" x="4456"/>
        <item m="1" x="1774"/>
        <item m="1" x="3946"/>
        <item m="1" x="6075"/>
        <item m="1" x="7797"/>
        <item m="1" x="1377"/>
        <item m="1" x="855"/>
        <item m="1" x="309"/>
        <item m="1" x="7976"/>
        <item m="1" x="7916"/>
        <item m="1" x="7882"/>
        <item m="1" x="1778"/>
        <item m="1" x="1789"/>
        <item m="1" x="3949"/>
        <item m="1" x="1846"/>
        <item m="1" x="4016"/>
        <item m="1" x="3669"/>
        <item m="1" x="1573"/>
        <item m="1" x="1648"/>
        <item m="1" x="1580"/>
        <item m="1" x="1223"/>
        <item m="1" x="1234"/>
        <item m="1" x="1304"/>
        <item m="1" x="1321"/>
        <item m="1" x="1378"/>
        <item m="1" x="1393"/>
        <item m="1" x="1459"/>
        <item m="1" x="1475"/>
        <item m="1" x="1591"/>
        <item m="1" x="1662"/>
        <item m="1" x="1739"/>
        <item m="1" x="984"/>
        <item m="1" x="3203"/>
        <item m="1" x="1108"/>
        <item m="1" x="1240"/>
        <item m="1" x="728"/>
        <item m="1" x="914"/>
        <item m="1" x="3142"/>
        <item m="1" x="987"/>
        <item m="1" x="433"/>
        <item m="1" x="7990"/>
        <item m="1" x="7940"/>
        <item m="1" x="7896"/>
        <item m="1" x="3205"/>
        <item m="1" x="5352"/>
        <item m="1" x="501"/>
        <item m="1" x="7997"/>
        <item m="1" x="3264"/>
        <item m="1" x="7388"/>
        <item m="1" x="3395"/>
        <item m="1" x="1246"/>
        <item m="1" x="731"/>
        <item m="1" x="1401"/>
        <item m="1" x="885"/>
        <item m="1" x="332"/>
        <item m="1" x="7977"/>
        <item m="1" x="3579"/>
        <item m="1" x="3108"/>
        <item m="1" x="2588"/>
        <item m="1" x="2081"/>
        <item m="1" x="703"/>
        <item m="1" x="708"/>
        <item m="1" x="3021"/>
        <item m="1" x="3025"/>
        <item m="1" x="856"/>
        <item m="1" x="2454"/>
        <item m="1" x="7989"/>
        <item m="1" x="236"/>
        <item m="1" x="879"/>
        <item m="1" x="1020"/>
        <item m="1" x="462"/>
        <item m="1" x="355"/>
        <item m="1" x="7969"/>
        <item m="1" x="7913"/>
        <item m="1" x="7873"/>
        <item m="1" x="4611"/>
        <item m="1" x="7875"/>
        <item m="1" x="7917"/>
        <item m="1" x="4626"/>
        <item m="1" x="7938"/>
        <item m="1" x="2336"/>
        <item m="1" x="2360"/>
        <item m="1" x="1272"/>
        <item m="1" x="7836"/>
        <item m="1" x="1282"/>
        <item m="1" x="750"/>
        <item m="1" x="3953"/>
        <item m="1" x="1248"/>
        <item m="1" x="7857"/>
        <item m="1" x="1287"/>
        <item m="1" x="7775"/>
        <item m="1" x="7982"/>
        <item m="1" x="4229"/>
        <item m="1" x="2559"/>
        <item m="1" x="7841"/>
        <item m="1" x="2905"/>
        <item m="1" x="321"/>
        <item m="1" x="7788"/>
        <item m="1" x="4739"/>
        <item m="1" x="7903"/>
        <item m="1" x="7971"/>
        <item m="1" x="5422"/>
        <item m="1" x="464"/>
        <item m="1" x="5165"/>
        <item m="1" x="4162"/>
        <item m="1" x="5920"/>
        <item m="1" x="1820"/>
        <item m="1" x="935"/>
        <item m="1" x="7901"/>
        <item m="1" x="4946"/>
        <item m="1" x="3306"/>
        <item m="1" x="2428"/>
        <item m="1" x="7869"/>
        <item m="1" x="2243"/>
        <item m="1" x="7833"/>
        <item m="1" x="7834"/>
        <item m="1" x="7814"/>
        <item m="1" x="1416"/>
        <item m="1" x="4342"/>
        <item m="1" x="614"/>
        <item m="1" x="7796"/>
        <item m="1" x="7958"/>
        <item m="1" x="6704"/>
        <item m="1" x="5275"/>
        <item m="1" x="7824"/>
        <item m="1" x="3474"/>
        <item m="1" x="6899"/>
        <item m="1" x="7963"/>
        <item t="default"/>
      </items>
    </pivotField>
    <pivotField axis="axisRow" showAll="0" sortType="ascending">
      <items count="40">
        <item m="1" x="26"/>
        <item m="1" x="19"/>
        <item m="1" x="16"/>
        <item m="1" x="13"/>
        <item m="1" x="10"/>
        <item m="1" x="7"/>
        <item m="1" x="4"/>
        <item m="1" x="1"/>
        <item m="1" x="36"/>
        <item m="1" x="33"/>
        <item m="1" x="27"/>
        <item m="1" x="20"/>
        <item m="1" x="28"/>
        <item m="1" x="21"/>
        <item m="1" x="17"/>
        <item m="1" x="14"/>
        <item m="1" x="11"/>
        <item m="1" x="8"/>
        <item m="1" x="5"/>
        <item m="1" x="2"/>
        <item m="1" x="37"/>
        <item m="1" x="34"/>
        <item m="1" x="29"/>
        <item m="1" x="22"/>
        <item m="1" x="30"/>
        <item m="1" x="23"/>
        <item m="1" x="18"/>
        <item m="1" x="15"/>
        <item m="1" x="12"/>
        <item m="1" x="9"/>
        <item m="1" x="6"/>
        <item m="1" x="3"/>
        <item m="1" x="38"/>
        <item m="1" x="35"/>
        <item m="1" x="31"/>
        <item m="1" x="24"/>
        <item m="1" x="32"/>
        <item m="1" x="25"/>
        <item x="0"/>
        <item t="default"/>
      </items>
    </pivotField>
    <pivotField dataField="1" showAll="0"/>
    <pivotField dataField="1" showAll="0"/>
    <pivotField dataField="1" showAll="0"/>
  </pivotFields>
  <rowFields count="1">
    <field x="2"/>
  </rowFields>
  <rowItems count="2">
    <i>
      <x v="3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0" hier="-1"/>
    <pageField fld="1" hier="-1"/>
  </pageFields>
  <dataFields count="3">
    <dataField name="EGRESOS " fld="3" baseField="0" baseItem="0"/>
    <dataField name="INGRESOS " fld="5" baseField="0" baseItem="0"/>
    <dataField name="DEVOLUCIONES " fld="4" baseField="0" baseItem="0"/>
  </dataFields>
  <formats count="6">
    <format dxfId="24">
      <pivotArea dataOnly="0" labelOnly="1" fieldPosition="0">
        <references count="1">
          <reference field="2" count="0"/>
        </references>
      </pivotArea>
    </format>
    <format dxfId="23">
      <pivotArea dataOnly="0" labelOnly="1" fieldPosition="0">
        <references count="1">
          <reference field="2" count="0"/>
        </references>
      </pivotArea>
    </format>
    <format dxfId="22">
      <pivotArea collapsedLevelsAreSubtotals="1" fieldPosition="0">
        <references count="1">
          <reference field="2" count="0"/>
        </references>
      </pivotArea>
    </format>
    <format dxfId="21">
      <pivotArea dataOnly="0" labelOnly="1" fieldPosition="0">
        <references count="1">
          <reference field="2" count="0"/>
        </references>
      </pivotArea>
    </format>
    <format dxfId="20">
      <pivotArea grandRow="1" outline="0" collapsedLevelsAreSubtotals="1" fieldPosition="0"/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D_Evolucion_Buffers" cacheId="17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chartFormat="17" fieldListSortAscending="1">
  <location ref="AS6:AT6" firstHeaderRow="0" firstDataRow="1" firstDataCol="1" rowPageCount="4" colPageCount="1"/>
  <pivotFields count="16">
    <pivotField showAll="0"/>
    <pivotField showAll="0"/>
    <pivotField showAll="0"/>
    <pivotField axis="axisPage" showAll="0">
      <items count="3">
        <item m="1" x="1"/>
        <item m="1" x="0"/>
        <item t="default"/>
      </items>
    </pivotField>
    <pivotField axis="axisPage" showAll="0">
      <items count="3230">
        <item m="1" x="1883"/>
        <item m="1" x="202"/>
        <item m="1" x="1390"/>
        <item m="1" x="2612"/>
        <item m="1" x="2628"/>
        <item m="1" x="2279"/>
        <item m="1" x="1995"/>
        <item m="1" x="1733"/>
        <item m="1" x="1737"/>
        <item m="1" x="1451"/>
        <item m="1" x="1455"/>
        <item m="1" x="1471"/>
        <item m="1" x="1184"/>
        <item m="1" x="2344"/>
        <item m="1" x="1795"/>
        <item m="1" x="1798"/>
        <item m="1" x="2289"/>
        <item m="1" x="935"/>
        <item m="1" x="333"/>
        <item m="1" x="338"/>
        <item m="1" x="340"/>
        <item m="1" x="342"/>
        <item m="1" x="349"/>
        <item m="1" x="353"/>
        <item m="1" x="356"/>
        <item m="1" x="359"/>
        <item m="1" x="31"/>
        <item m="1" x="33"/>
        <item m="1" x="2994"/>
        <item m="1" x="3001"/>
        <item m="1" x="3035"/>
        <item m="1" x="3038"/>
        <item m="1" x="1316"/>
        <item m="1" x="463"/>
        <item m="1" x="176"/>
        <item m="1" x="177"/>
        <item m="1" x="182"/>
        <item m="1" x="193"/>
        <item m="1" x="3067"/>
        <item m="1" x="1097"/>
        <item m="1" x="1099"/>
        <item m="1" x="1102"/>
        <item m="1" x="1336"/>
        <item m="1" x="1343"/>
        <item m="1" x="3127"/>
        <item m="1" x="3130"/>
        <item m="1" x="1303"/>
        <item m="1" x="2461"/>
        <item m="1" x="1989"/>
        <item m="1" x="2135"/>
        <item m="1" x="2797"/>
        <item m="1" x="1359"/>
        <item m="1" x="1052"/>
        <item m="1" x="2806"/>
        <item m="1" x="85"/>
        <item m="1" x="2053"/>
        <item m="1" x="2085"/>
        <item m="1" x="103"/>
        <item m="1" x="48"/>
        <item m="1" x="718"/>
        <item m="1" x="2913"/>
        <item m="1" x="449"/>
        <item m="1" x="2800"/>
        <item m="1" x="621"/>
        <item m="1" x="3142"/>
        <item m="1" x="3042"/>
        <item m="1" x="1513"/>
        <item m="1" x="1736"/>
        <item m="1" x="856"/>
        <item m="1" x="1579"/>
        <item m="1" x="2417"/>
        <item m="1" x="2960"/>
        <item m="1" x="1014"/>
        <item m="1" x="2225"/>
        <item m="1" x="2055"/>
        <item m="1" x="1061"/>
        <item m="1" x="906"/>
        <item m="1" x="1217"/>
        <item m="1" x="102"/>
        <item m="1" x="714"/>
        <item m="1" x="2768"/>
        <item m="1" x="305"/>
        <item m="1" x="1594"/>
        <item m="1" x="2147"/>
        <item m="1" x="2688"/>
        <item m="1" x="3223"/>
        <item m="1" x="1927"/>
        <item m="1" x="926"/>
        <item m="1" x="1393"/>
        <item m="1" x="3221"/>
        <item m="1" x="2976"/>
        <item m="1" x="2885"/>
        <item m="1" x="2802"/>
        <item m="1" x="2019"/>
        <item m="1" x="456"/>
        <item m="1" x="1140"/>
        <item m="1" x="2500"/>
        <item m="1" x="2522"/>
        <item m="1" x="1454"/>
        <item m="1" x="2025"/>
        <item m="1" x="2497"/>
        <item m="1" x="970"/>
        <item m="1" x="2383"/>
        <item m="1" x="1422"/>
        <item m="1" x="1694"/>
        <item m="1" x="2832"/>
        <item m="1" x="1129"/>
        <item m="1" x="539"/>
        <item m="1" x="666"/>
        <item m="1" x="1122"/>
        <item m="1" x="500"/>
        <item m="1" x="765"/>
        <item m="1" x="1317"/>
        <item m="1" x="2185"/>
        <item m="1" x="83"/>
        <item m="1" x="397"/>
        <item m="1" x="2669"/>
        <item m="1" x="303"/>
        <item m="1" x="2301"/>
        <item m="1" x="1774"/>
        <item m="1" x="2169"/>
        <item m="1" x="2848"/>
        <item m="1" x="2704"/>
        <item m="1" x="20"/>
        <item m="1" x="3164"/>
        <item m="1" x="762"/>
        <item m="1" x="1048"/>
        <item m="1" x="3205"/>
        <item m="1" x="2668"/>
        <item m="1" x="1906"/>
        <item m="1" x="2772"/>
        <item m="1" x="2315"/>
        <item m="1" x="2516"/>
        <item m="1" x="2000"/>
        <item m="1" x="1192"/>
        <item m="1" x="2875"/>
        <item m="1" x="2103"/>
        <item m="1" x="2723"/>
        <item m="1" x="1247"/>
        <item m="1" x="1617"/>
        <item m="1" x="1652"/>
        <item m="1" x="1226"/>
        <item m="1" x="3149"/>
        <item m="1" x="816"/>
        <item m="1" x="628"/>
        <item m="1" x="1932"/>
        <item m="1" x="1833"/>
        <item m="1" x="2574"/>
        <item m="1" x="1349"/>
        <item m="1" x="2456"/>
        <item m="1" x="1142"/>
        <item m="1" x="614"/>
        <item m="1" x="1558"/>
        <item m="1" x="2190"/>
        <item m="1" x="252"/>
        <item m="1" x="2430"/>
        <item m="1" x="1504"/>
        <item m="1" x="767"/>
        <item m="1" x="3046"/>
        <item m="1" x="1631"/>
        <item m="1" x="1512"/>
        <item m="1" x="1434"/>
        <item m="1" x="2713"/>
        <item m="1" x="2129"/>
        <item m="1" x="1859"/>
        <item m="1" x="2381"/>
        <item m="1" x="2073"/>
        <item m="1" x="1542"/>
        <item m="1" x="1277"/>
        <item m="1" x="684"/>
        <item m="1" x="432"/>
        <item m="1" x="144"/>
        <item m="1" x="3014"/>
        <item m="1" x="2445"/>
        <item m="1" x="1610"/>
        <item m="1" x="1613"/>
        <item m="1" x="1335"/>
        <item m="1" x="2809"/>
        <item m="1" x="2811"/>
        <item m="1" x="2814"/>
        <item m="1" x="2819"/>
        <item m="1" x="2518"/>
        <item m="1" x="2526"/>
        <item m="1" x="2755"/>
        <item m="1" x="2180"/>
        <item m="1" x="2182"/>
        <item m="1" x="2186"/>
        <item m="1" x="2188"/>
        <item m="1" x="180"/>
        <item m="1" x="2540"/>
        <item m="1" x="2548"/>
        <item m="1" x="2249"/>
        <item m="1" x="1444"/>
        <item m="1" x="1934"/>
        <item m="1" x="1105"/>
        <item m="1" x="542"/>
        <item m="1" x="546"/>
        <item m="1" x="2895"/>
        <item m="1" x="2899"/>
        <item m="1" x="2907"/>
        <item m="1" x="3152"/>
        <item m="1" x="2573"/>
        <item m="1" x="2007"/>
        <item m="1" x="1467"/>
        <item m="1" x="1469"/>
        <item m="1" x="1195"/>
        <item m="1" x="1139"/>
        <item m="1" x="831"/>
        <item m="1" x="564"/>
        <item m="1" x="284"/>
        <item m="1" x="2308"/>
        <item m="1" x="1749"/>
        <item m="1" x="347"/>
        <item m="1" x="953"/>
        <item m="1" x="1323"/>
        <item m="1" x="723"/>
        <item m="1" x="737"/>
        <item m="1" x="458"/>
        <item m="1" x="3060"/>
        <item m="1" x="2793"/>
        <item m="1" x="1939"/>
        <item m="1" x="490"/>
        <item m="1" x="496"/>
        <item m="1" x="1000"/>
        <item m="1" x="405"/>
        <item m="1" x="1012"/>
        <item m="1" x="2887"/>
        <item m="1" x="68"/>
        <item m="1" x="196"/>
        <item m="1" x="1466"/>
        <item m="1" x="918"/>
        <item m="1" x="2100"/>
        <item m="1" x="2598"/>
        <item m="1" x="1427"/>
        <item m="1" x="2698"/>
        <item m="1" x="2355"/>
        <item m="1" x="2541"/>
        <item m="1" x="3217"/>
        <item m="1" x="2560"/>
        <item m="1" x="1107"/>
        <item m="1" x="777"/>
        <item m="1" x="710"/>
        <item m="1" x="188"/>
        <item m="1" x="229"/>
        <item m="1" x="773"/>
        <item m="1" x="2910"/>
        <item m="1" x="2038"/>
        <item m="1" x="2544"/>
        <item m="1" x="25"/>
        <item m="1" x="2345"/>
        <item m="1" x="1604"/>
        <item m="1" x="2662"/>
        <item m="1" x="1901"/>
        <item m="1" x="787"/>
        <item m="1" x="706"/>
        <item m="1" x="2674"/>
        <item m="1" x="674"/>
        <item m="1" x="2125"/>
        <item m="1" x="2524"/>
        <item m="1" x="15"/>
        <item m="1" x="1245"/>
        <item m="1" x="2385"/>
        <item m="1" x="1861"/>
        <item m="1" x="796"/>
        <item m="1" x="750"/>
        <item m="1" x="1960"/>
        <item m="1" x="2904"/>
        <item m="1" x="2604"/>
        <item m="1" x="1461"/>
        <item m="1" x="1847"/>
        <item m="1" x="1991"/>
        <item m="1" x="3100"/>
        <item m="1" x="844"/>
        <item m="1" x="283"/>
        <item m="1" x="2288"/>
        <item m="1" x="2585"/>
        <item m="1" x="2892"/>
        <item m="1" x="2230"/>
        <item m="1" x="2065"/>
        <item m="1" x="308"/>
        <item m="1" x="1725"/>
        <item m="1" x="2863"/>
        <item m="1" x="78"/>
        <item m="1" x="3015"/>
        <item m="1" x="744"/>
        <item m="1" x="2624"/>
        <item m="1" x="535"/>
        <item m="1" x="2949"/>
        <item m="1" x="441"/>
        <item m="1" x="300"/>
        <item m="1" x="1680"/>
        <item m="1" x="813"/>
        <item m="1" x="1379"/>
        <item m="1" x="367"/>
        <item m="1" x="1675"/>
        <item m="1" x="3155"/>
        <item m="1" x="2319"/>
        <item m="1" x="3022"/>
        <item m="1" x="2557"/>
        <item m="1" x="211"/>
        <item m="1" x="779"/>
        <item m="1" x="1163"/>
        <item m="1" x="1485"/>
        <item m="1" x="1224"/>
        <item m="1" x="1007"/>
        <item m="1" x="1678"/>
        <item m="1" x="2410"/>
        <item m="1" x="2313"/>
        <item m="1" x="1511"/>
        <item m="1" x="1355"/>
        <item m="1" x="1395"/>
        <item m="1" x="2638"/>
        <item m="1" x="1951"/>
        <item m="1" x="968"/>
        <item m="1" x="1663"/>
        <item m="1" x="1112"/>
        <item m="1" x="1712"/>
        <item m="1" x="2277"/>
        <item m="1" x="910"/>
        <item m="1" x="2192"/>
        <item m="1" x="2236"/>
        <item m="1" x="2775"/>
        <item m="1" x="2754"/>
        <item m="1" x="1790"/>
        <item m="1" x="862"/>
        <item m="1" x="1780"/>
        <item m="1" x="1004"/>
        <item m="1" x="1685"/>
        <item m="1" x="2034"/>
        <item m="1" x="1496"/>
        <item m="1" x="3151"/>
        <item m="1" x="2275"/>
        <item m="1" x="2151"/>
        <item m="1" x="1464"/>
        <item m="1" x="735"/>
        <item m="1" x="263"/>
        <item m="1" x="2446"/>
        <item m="1" x="228"/>
        <item m="1" x="1158"/>
        <item m="1" x="858"/>
        <item m="1" x="959"/>
        <item m="1" x="2448"/>
        <item m="1" x="875"/>
        <item m="1" x="172"/>
        <item m="1" x="143"/>
        <item m="1" x="2108"/>
        <item m="1" x="2897"/>
        <item m="1" x="265"/>
        <item m="1" x="94"/>
        <item m="1" x="1133"/>
        <item m="1" x="2426"/>
        <item m="1" x="2070"/>
        <item m="1" x="2570"/>
        <item m="1" x="2224"/>
        <item m="1" x="1843"/>
        <item m="1" x="2567"/>
        <item m="1" x="987"/>
        <item m="1" x="1443"/>
        <item m="1" x="3200"/>
        <item m="1" x="662"/>
        <item m="1" x="1218"/>
        <item m="1" x="879"/>
        <item m="1" x="1772"/>
        <item m="1" x="2403"/>
        <item m="1" x="1560"/>
        <item m="1" x="1963"/>
        <item m="1" x="1276"/>
        <item m="1" x="1961"/>
        <item m="1" x="374"/>
        <item m="1" x="2538"/>
        <item m="1" x="2083"/>
        <item m="1" x="130"/>
        <item m="1" x="1297"/>
        <item m="1" x="1216"/>
        <item m="1" x="2842"/>
        <item m="1" x="2032"/>
        <item m="1" x="213"/>
        <item m="1" x="1600"/>
        <item m="1" x="2678"/>
        <item m="1" x="2440"/>
        <item m="1" x="246"/>
        <item m="1" x="1569"/>
        <item m="1" x="450"/>
        <item m="1" x="1531"/>
        <item m="1" x="131"/>
        <item m="1" x="1556"/>
        <item m="1" x="42"/>
        <item m="1" x="2689"/>
        <item m="1" x="1179"/>
        <item m="1" x="1917"/>
        <item m="1" x="1286"/>
        <item m="1" x="2046"/>
        <item m="1" x="38"/>
        <item m="1" x="2795"/>
        <item m="1" x="1904"/>
        <item m="1" x="2165"/>
        <item m="1" x="2233"/>
        <item m="1" x="2905"/>
        <item m="1" x="269"/>
        <item m="1" x="2240"/>
        <item m="1" x="2028"/>
        <item m="1" x="691"/>
        <item m="1" x="868"/>
        <item m="1" x="873"/>
        <item m="1" x="1584"/>
        <item m="1" x="1483"/>
        <item m="1" x="1521"/>
        <item m="1" x="2069"/>
        <item m="1" x="907"/>
        <item m="1" x="2167"/>
        <item m="1" x="483"/>
        <item m="1" x="2837"/>
        <item m="1" x="880"/>
        <item m="1" x="2675"/>
        <item m="1" x="2347"/>
        <item m="1" x="592"/>
        <item m="1" x="1689"/>
        <item m="1" x="923"/>
        <item m="1" x="3115"/>
        <item m="1" x="278"/>
        <item m="1" x="1307"/>
        <item m="1" x="90"/>
        <item m="1" x="277"/>
        <item m="1" x="224"/>
        <item m="1" x="2237"/>
        <item m="1" x="1976"/>
        <item m="1" x="720"/>
        <item m="1" x="10"/>
        <item m="1" x="2241"/>
        <item m="1" x="2709"/>
        <item m="1" x="543"/>
        <item m="1" x="18"/>
        <item m="1" x="2183"/>
        <item m="1" x="183"/>
        <item m="1" x="1719"/>
        <item m="1" x="1250"/>
        <item m="1" x="2464"/>
        <item m="1" x="951"/>
        <item m="1" x="371"/>
        <item m="1" x="3096"/>
        <item m="1" x="1857"/>
        <item m="1" x="1391"/>
        <item m="1" x="323"/>
        <item m="1" x="1447"/>
        <item m="1" x="962"/>
        <item m="1" x="2615"/>
        <item m="1" x="1563"/>
        <item m="1" x="1086"/>
        <item m="1" x="526"/>
        <item m="1" x="383"/>
        <item m="1" x="1098"/>
        <item m="1" x="538"/>
        <item m="1" x="14"/>
        <item m="1" x="1767"/>
        <item m="1" x="1229"/>
        <item m="1" x="2886"/>
        <item m="1" x="2302"/>
        <item m="1" x="1839"/>
        <item m="1" x="1365"/>
        <item m="1" x="870"/>
        <item m="1" x="1962"/>
        <item m="1" x="1418"/>
        <item m="1" x="934"/>
        <item m="1" x="3084"/>
        <item m="1" x="1533"/>
        <item m="1" x="860"/>
        <item m="1" x="365"/>
        <item m="1" x="1543"/>
        <item m="1" x="579"/>
        <item m="1" x="1747"/>
        <item m="1" x="1752"/>
        <item m="1" x="1094"/>
        <item m="1" x="1186"/>
        <item m="1" x="1339"/>
        <item m="1" x="1419"/>
        <item m="1" x="1423"/>
        <item m="1" x="884"/>
        <item m="1" x="974"/>
        <item m="1" x="1128"/>
        <item m="1" x="1135"/>
        <item m="1" x="1225"/>
        <item m="1" x="630"/>
        <item m="1" x="693"/>
        <item m="1" x="79"/>
        <item m="1" x="2596"/>
        <item m="1" x="2677"/>
        <item m="1" x="2762"/>
        <item m="1" x="2767"/>
        <item m="1" x="2850"/>
        <item m="1" x="2940"/>
        <item m="1" x="2946"/>
        <item m="1" x="3011"/>
        <item m="1" x="3088"/>
        <item m="1" x="2554"/>
        <item m="1" x="2564"/>
        <item m="1" x="2641"/>
        <item m="1" x="2725"/>
        <item m="1" x="2116"/>
        <item m="1" x="2121"/>
        <item m="1" x="2203"/>
        <item m="1" x="2276"/>
        <item m="1" x="1693"/>
        <item m="1" x="1849"/>
        <item m="1" x="683"/>
        <item m="1" x="949"/>
        <item m="1" x="1244"/>
        <item m="1" x="1042"/>
        <item m="1" x="1115"/>
        <item m="1" x="1205"/>
        <item m="1" x="1582"/>
        <item m="1" x="1756"/>
        <item m="1" x="1835"/>
        <item m="1" x="1903"/>
        <item m="1" x="1911"/>
        <item m="1" x="1988"/>
        <item m="1" x="2050"/>
        <item m="1" x="1479"/>
        <item m="1" x="1546"/>
        <item m="1" x="1624"/>
        <item m="1" x="1630"/>
        <item m="1" x="1710"/>
        <item m="1" x="1716"/>
        <item m="1" x="1141"/>
        <item m="1" x="1232"/>
        <item m="1" x="1235"/>
        <item m="1" x="1306"/>
        <item m="1" x="755"/>
        <item m="1" x="760"/>
        <item m="1" x="853"/>
        <item m="1" x="942"/>
        <item m="1" x="948"/>
        <item m="1" x="786"/>
        <item m="1" x="161"/>
        <item m="1" x="3021"/>
        <item m="1" x="497"/>
        <item m="1" x="2088"/>
        <item m="1" x="2790"/>
        <item m="1" x="1682"/>
        <item m="1" x="499"/>
        <item m="1" x="1063"/>
        <item m="1" x="2483"/>
        <item m="1" x="3220"/>
        <item m="1" x="1828"/>
        <item m="1" x="3193"/>
        <item m="1" x="1072"/>
        <item m="1" x="2348"/>
        <item m="1" x="2042"/>
        <item m="1" x="2335"/>
        <item m="1" x="1258"/>
        <item m="1" x="2107"/>
        <item m="1" x="2074"/>
        <item m="1" x="1683"/>
        <item m="1" x="439"/>
        <item m="1" x="595"/>
        <item m="1" x="299"/>
        <item m="1" x="1578"/>
        <item m="1" x="825"/>
        <item m="1" x="996"/>
        <item m="1" x="1757"/>
        <item m="1" x="1860"/>
        <item m="1" x="1706"/>
        <item m="1" x="2059"/>
        <item m="1" x="1731"/>
        <item m="1" x="2082"/>
        <item m="1" x="2496"/>
        <item m="1" x="2825"/>
        <item m="1" x="82"/>
        <item m="1" x="2017"/>
        <item m="1" x="1138"/>
        <item m="1" x="352"/>
        <item m="1" x="707"/>
        <item m="1" x="2254"/>
        <item m="1" x="3188"/>
        <item m="1" x="1777"/>
        <item m="1" x="998"/>
        <item m="1" x="2931"/>
        <item m="1" x="2111"/>
        <item m="1" x="1287"/>
        <item m="1" x="616"/>
        <item m="1" x="494"/>
        <item m="1" x="1265"/>
        <item m="1" x="1426"/>
        <item m="1" x="2156"/>
        <item m="1" x="394"/>
        <item m="1" x="835"/>
        <item m="1" x="1742"/>
        <item m="1" x="2382"/>
        <item m="1" x="2064"/>
        <item m="1" x="1441"/>
        <item m="1" x="1071"/>
        <item m="1" x="3092"/>
        <item m="1" x="2562"/>
        <item m="1" x="2909"/>
        <item m="1" x="893"/>
        <item m="1" x="380"/>
        <item m="1" x="1212"/>
        <item m="1" x="1490"/>
        <item m="1" x="40"/>
        <item m="1" x="2926"/>
        <item m="1" x="1468"/>
        <item m="1" x="1446"/>
        <item m="1" x="961"/>
        <item m="1" x="963"/>
        <item m="1" x="1667"/>
        <item m="1" x="618"/>
        <item m="1" x="2353"/>
        <item m="1" x="118"/>
        <item m="1" x="2048"/>
        <item m="1" x="3185"/>
        <item m="1" x="1477"/>
        <item m="1" x="2174"/>
        <item m="1" x="2815"/>
        <item m="1" x="343"/>
        <item m="1" x="2630"/>
        <item m="1" x="1746"/>
        <item m="1" x="64"/>
        <item m="1" x="1950"/>
        <item m="1" x="3012"/>
        <item m="1" x="1794"/>
        <item m="1" x="2499"/>
        <item m="1" x="864"/>
        <item m="1" x="1850"/>
        <item m="1" x="1783"/>
        <item m="1" x="1363"/>
        <item m="1" x="1720"/>
        <item m="1" x="3136"/>
        <item m="1" x="1066"/>
        <item m="1" x="2323"/>
        <item m="1" x="1334"/>
        <item m="1" x="2327"/>
        <item m="1" x="1037"/>
        <item m="1" x="1021"/>
        <item m="1" x="2263"/>
        <item m="1" x="156"/>
        <item m="1" x="3040"/>
        <item m="1" x="2097"/>
        <item m="1" x="2077"/>
        <item m="1" x="1404"/>
        <item m="1" x="791"/>
        <item m="1" x="2212"/>
        <item m="1" x="192"/>
        <item m="1" x="1410"/>
        <item m="1" x="1769"/>
        <item m="1" x="314"/>
        <item m="1" x="1425"/>
        <item m="1" x="2110"/>
        <item m="1" x="727"/>
        <item m="1" x="1958"/>
        <item m="1" x="1028"/>
        <item m="1" x="2603"/>
        <item m="1" x="2357"/>
        <item m="1" x="484"/>
        <item m="1" x="209"/>
        <item m="1" x="3196"/>
        <item m="1" x="1488"/>
        <item m="1" x="1711"/>
        <item m="1" x="319"/>
        <item m="1" x="2701"/>
        <item m="1" x="1876"/>
        <item m="1" x="952"/>
        <item m="1" x="888"/>
        <item m="1" x="369"/>
        <item m="1" x="915"/>
        <item m="1" x="608"/>
        <item m="1" x="2858"/>
        <item m="1" x="636"/>
        <item m="1" x="2187"/>
        <item m="1" x="1149"/>
        <item m="1" x="2117"/>
        <item m="1" x="3041"/>
        <item m="1" x="2665"/>
        <item m="1" x="1185"/>
        <item m="1" x="2716"/>
        <item m="1" x="1197"/>
        <item m="1" x="3126"/>
        <item m="1" x="548"/>
        <item m="1" x="1886"/>
        <item m="1" x="1867"/>
        <item m="1" x="1324"/>
        <item m="1" x="2300"/>
        <item m="1" x="1655"/>
        <item m="1" x="1114"/>
        <item m="1" x="1411"/>
        <item m="1" x="3201"/>
        <item m="1" x="2750"/>
        <item m="1" x="2351"/>
        <item m="1" x="3157"/>
        <item m="1" x="2152"/>
        <item m="1" x="2687"/>
        <item m="1" x="2697"/>
        <item m="1" x="1698"/>
        <item m="1" x="2845"/>
        <item m="1" x="2478"/>
        <item m="1" x="824"/>
        <item m="1" x="1494"/>
        <item m="1" x="1435"/>
        <item m="1" x="1222"/>
        <item m="1" x="1227"/>
        <item m="1" x="912"/>
        <item m="1" x="925"/>
        <item m="1" x="931"/>
        <item m="1" x="936"/>
        <item m="1" x="641"/>
        <item m="1" x="646"/>
        <item m="1" x="62"/>
        <item m="1" x="2995"/>
        <item m="1" x="3003"/>
        <item m="1" x="2133"/>
        <item m="1" x="1863"/>
        <item m="1" x="2366"/>
        <item m="1" x="1816"/>
        <item m="1" x="1545"/>
        <item m="1" x="426"/>
        <item m="1" x="437"/>
        <item m="1" x="3069"/>
        <item m="1" x="2150"/>
        <item m="1" x="1354"/>
        <item m="1" x="2227"/>
        <item m="1" x="2463"/>
        <item m="1" x="1627"/>
        <item m="1" x="1634"/>
        <item m="1" x="793"/>
        <item m="1" x="798"/>
        <item m="1" x="226"/>
        <item m="1" x="740"/>
        <item m="1" x="464"/>
        <item m="1" x="3114"/>
        <item m="1" x="3118"/>
        <item m="1" x="3131"/>
        <item m="1" x="2836"/>
        <item m="1" x="1937"/>
        <item m="1" x="1953"/>
        <item m="1" x="1646"/>
        <item m="1" x="1658"/>
        <item m="1" x="829"/>
        <item m="1" x="537"/>
        <item m="1" x="2856"/>
        <item m="1" x="2859"/>
        <item m="1" x="1171"/>
        <item m="1" x="1194"/>
        <item m="1" x="904"/>
        <item m="1" x="605"/>
        <item m="1" x="619"/>
        <item m="1" x="3212"/>
        <item m="1" x="2639"/>
        <item m="1" x="61"/>
        <item m="1" x="95"/>
        <item m="1" x="2130"/>
        <item m="1" x="2132"/>
        <item m="1" x="1319"/>
        <item m="1" x="721"/>
        <item m="1" x="461"/>
        <item m="1" x="190"/>
        <item m="1" x="3097"/>
        <item m="1" x="1375"/>
        <item m="1" x="2223"/>
        <item m="1" x="1505"/>
        <item m="1" x="1760"/>
        <item m="1" x="2626"/>
        <item m="1" x="892"/>
        <item m="1" x="1776"/>
        <item m="1" x="2447"/>
        <item m="1" x="522"/>
        <item m="1" x="2274"/>
        <item m="1" x="2199"/>
        <item m="1" x="1842"/>
        <item m="1" x="1509"/>
        <item m="1" x="2412"/>
        <item m="1" x="626"/>
        <item m="1" x="656"/>
        <item m="1" x="2787"/>
        <item m="1" x="2680"/>
        <item m="1" x="218"/>
        <item m="1" x="173"/>
        <item m="1" x="973"/>
        <item m="1" x="1300"/>
        <item m="1" x="2262"/>
        <item m="1" x="1089"/>
        <item m="1" x="810"/>
        <item m="1" x="2631"/>
        <item m="1" x="428"/>
        <item m="1" x="859"/>
        <item m="1" x="2043"/>
        <item m="1" x="363"/>
        <item m="1" x="2002"/>
        <item m="1" x="2972"/>
        <item m="1" x="1169"/>
        <item m="1" x="1053"/>
        <item m="1" x="2686"/>
        <item m="1" x="2305"/>
        <item m="1" x="1328"/>
        <item m="1" x="1697"/>
        <item m="1" x="958"/>
        <item m="1" x="585"/>
        <item m="1" x="1160"/>
        <item m="1" x="1150"/>
        <item m="1" x="1785"/>
        <item m="1" x="573"/>
        <item m="1" x="1538"/>
        <item m="1" x="378"/>
        <item m="1" x="1628"/>
        <item m="1" x="1586"/>
        <item m="1" x="417"/>
        <item m="1" x="2981"/>
        <item m="1" x="2620"/>
        <item m="1" x="1763"/>
        <item m="1" x="1765"/>
        <item m="1" x="2372"/>
        <item m="1" x="2312"/>
        <item m="1" x="1251"/>
        <item m="1" x="2093"/>
        <item m="1" x="1764"/>
        <item m="1" x="663"/>
        <item m="1" x="3176"/>
        <item m="1" x="3141"/>
        <item m="1" x="2350"/>
        <item m="1" x="2579"/>
        <item m="1" x="1766"/>
        <item m="1" x="2851"/>
        <item m="1" x="1684"/>
        <item m="1" x="2587"/>
        <item m="1" x="2114"/>
        <item m="1" x="2471"/>
        <item m="1" x="665"/>
        <item m="1" x="1541"/>
        <item m="1" x="3214"/>
        <item m="1" x="2902"/>
        <item m="1" x="3225"/>
        <item m="1" x="105"/>
        <item m="1" x="1278"/>
        <item m="1" x="112"/>
        <item m="1" x="2642"/>
        <item m="1" x="556"/>
        <item m="1" x="1304"/>
        <item m="1" x="1660"/>
        <item m="1" x="2962"/>
        <item m="1" x="2749"/>
        <item m="1" x="1722"/>
        <item m="1" x="3125"/>
        <item m="1" x="1164"/>
        <item m="1" x="1880"/>
        <item m="1" x="2155"/>
        <item m="1" x="2682"/>
        <item m="1" x="2880"/>
        <item m="1" x="1433"/>
        <item m="1" x="2857"/>
        <item m="1" x="1206"/>
        <item m="1" x="1626"/>
        <item m="1" x="1918"/>
        <item m="1" x="2352"/>
        <item m="1" x="1254"/>
        <item m="1" x="2893"/>
        <item m="1" x="453"/>
        <item m="1" x="1997"/>
        <item m="1" x="1403"/>
        <item m="1" x="1648"/>
        <item m="1" x="1673"/>
        <item m="1" x="1357"/>
        <item m="1" x="3117"/>
        <item m="1" x="544"/>
        <item m="1" x="1371"/>
        <item m="1" x="946"/>
        <item m="1" x="3156"/>
        <item m="1" x="2591"/>
        <item m="1" x="126"/>
        <item m="1" x="232"/>
        <item m="1" x="1862"/>
        <item m="1" x="2705"/>
        <item m="1" x="498"/>
        <item m="1" x="1460"/>
        <item m="1" x="1322"/>
        <item m="1" x="594"/>
        <item m="1" x="2404"/>
        <item m="1" x="317"/>
        <item m="1" x="1959"/>
        <item m="1" x="2379"/>
        <item m="1" x="1510"/>
        <item m="1" x="1059"/>
        <item m="1" x="3036"/>
        <item m="1" x="1778"/>
        <item m="1" x="443"/>
        <item m="1" x="2115"/>
        <item m="1" x="3047"/>
        <item m="1" x="877"/>
        <item m="1" x="1342"/>
        <item m="1" x="655"/>
        <item m="1" x="976"/>
        <item m="1" x="1346"/>
        <item m="1" x="2259"/>
        <item m="1" x="975"/>
        <item m="1" x="1199"/>
        <item m="1" x="1201"/>
        <item m="1" x="1204"/>
        <item m="1" x="1207"/>
        <item m="1" x="1210"/>
        <item m="1" x="1213"/>
        <item m="1" x="1219"/>
        <item m="1" x="914"/>
        <item m="1" x="919"/>
        <item m="1" x="921"/>
        <item m="1" x="932"/>
        <item m="1" x="933"/>
        <item m="1" x="938"/>
        <item m="1" x="633"/>
        <item m="1" x="634"/>
        <item m="1" x="640"/>
        <item m="1" x="643"/>
        <item m="1" x="647"/>
        <item m="1" x="648"/>
        <item m="1" x="652"/>
        <item m="1" x="329"/>
        <item m="1" x="334"/>
        <item m="1" x="348"/>
        <item m="1" x="350"/>
        <item m="1" x="354"/>
        <item m="1" x="32"/>
        <item m="1" x="34"/>
        <item m="1" x="39"/>
        <item m="1" x="44"/>
        <item m="1" x="47"/>
        <item m="1" x="51"/>
        <item m="1" x="53"/>
        <item m="1" x="58"/>
        <item m="1" x="65"/>
        <item m="1" x="2987"/>
        <item m="1" x="2992"/>
        <item m="1" x="2999"/>
        <item m="1" x="3000"/>
        <item m="1" x="3006"/>
        <item m="1" x="3010"/>
        <item m="1" x="2703"/>
        <item m="1" x="2707"/>
        <item m="1" x="2710"/>
        <item m="1" x="2714"/>
        <item m="1" x="2715"/>
        <item m="1" x="2718"/>
        <item m="1" x="2720"/>
        <item m="1" x="2722"/>
        <item m="1" x="2727"/>
        <item m="1" x="2402"/>
        <item m="1" x="2406"/>
        <item m="1" x="2409"/>
        <item m="1" x="2411"/>
        <item m="1" x="2419"/>
        <item m="1" x="2421"/>
        <item m="1" x="2425"/>
        <item m="1" x="2429"/>
        <item m="1" x="2431"/>
        <item m="1" x="2120"/>
        <item m="1" x="2122"/>
        <item m="1" x="2127"/>
        <item m="1" x="2131"/>
        <item m="1" x="2136"/>
        <item m="1" x="2139"/>
        <item m="1" x="2143"/>
        <item m="1" x="2145"/>
        <item m="1" x="1854"/>
        <item m="1" x="1856"/>
        <item m="1" x="1868"/>
        <item m="1" x="1871"/>
        <item m="1" x="1873"/>
        <item m="1" x="1875"/>
        <item m="1" x="1878"/>
        <item m="1" x="2356"/>
        <item m="1" x="2358"/>
        <item m="1" x="2359"/>
        <item m="1" x="2364"/>
        <item m="1" x="2369"/>
        <item m="1" x="2370"/>
        <item m="1" x="2374"/>
        <item m="1" x="2376"/>
        <item m="1" x="2076"/>
        <item m="1" x="2078"/>
        <item m="1" x="2079"/>
        <item m="1" x="2081"/>
        <item m="1" x="2084"/>
        <item m="1" x="2087"/>
        <item m="1" x="2095"/>
        <item m="1" x="2098"/>
        <item m="1" x="2101"/>
        <item m="1" x="1809"/>
        <item m="1" x="1812"/>
        <item m="1" x="1819"/>
        <item m="1" x="1824"/>
        <item m="1" x="1826"/>
        <item m="1" x="1831"/>
        <item m="1" x="1836"/>
        <item m="1" x="1838"/>
        <item m="1" x="1527"/>
        <item m="1" x="1530"/>
        <item m="1" x="1532"/>
        <item m="1" x="1534"/>
        <item m="1" x="1536"/>
        <item m="1" x="1540"/>
        <item m="1" x="1550"/>
        <item m="1" x="1552"/>
        <item m="1" x="1267"/>
        <item m="1" x="1270"/>
        <item m="1" x="1272"/>
        <item m="1" x="1273"/>
        <item m="1" x="1275"/>
        <item m="1" x="1281"/>
        <item m="1" x="1285"/>
        <item m="1" x="1288"/>
        <item m="1" x="1290"/>
        <item m="1" x="982"/>
        <item m="1" x="983"/>
        <item m="1" x="986"/>
        <item m="1" x="992"/>
        <item m="1" x="994"/>
        <item m="1" x="995"/>
        <item m="1" x="999"/>
        <item m="1" x="1003"/>
        <item m="1" x="1006"/>
        <item m="1" x="1011"/>
        <item m="1" x="680"/>
        <item m="1" x="682"/>
        <item m="1" x="687"/>
        <item m="1" x="689"/>
        <item m="1" x="696"/>
        <item m="1" x="698"/>
        <item m="1" x="702"/>
        <item m="1" x="704"/>
        <item m="1" x="709"/>
        <item m="1" x="402"/>
        <item m="1" x="408"/>
        <item m="1" x="412"/>
        <item m="1" x="416"/>
        <item m="1" x="422"/>
        <item m="1" x="429"/>
        <item m="1" x="435"/>
        <item m="1" x="119"/>
        <item m="1" x="124"/>
        <item m="1" x="128"/>
        <item m="1" x="132"/>
        <item m="1" x="135"/>
        <item m="1" x="138"/>
        <item m="1" x="140"/>
        <item m="1" x="148"/>
        <item m="1" x="3059"/>
        <item m="1" x="3063"/>
        <item m="1" x="3066"/>
        <item m="1" x="3073"/>
        <item m="1" x="3077"/>
        <item m="1" x="3079"/>
        <item m="1" x="362"/>
        <item m="1" x="375"/>
        <item m="1" x="3027"/>
        <item m="1" x="3030"/>
        <item m="1" x="2736"/>
        <item m="1" x="2738"/>
        <item m="1" x="2739"/>
        <item m="1" x="2744"/>
        <item m="1" x="2746"/>
        <item m="1" x="2748"/>
        <item m="1" x="2751"/>
        <item m="1" x="2436"/>
        <item m="1" x="2437"/>
        <item m="1" x="2452"/>
        <item m="1" x="2454"/>
        <item m="1" x="2149"/>
        <item m="1" x="2154"/>
        <item m="1" x="2162"/>
        <item m="1" x="2164"/>
        <item m="1" x="2166"/>
        <item m="1" x="1885"/>
        <item m="1" x="1891"/>
        <item m="1" x="1597"/>
        <item m="1" x="1599"/>
        <item m="1" x="1603"/>
        <item m="1" x="1606"/>
        <item m="1" x="1611"/>
        <item m="1" x="1340"/>
        <item m="1" x="1356"/>
        <item m="1" x="1361"/>
        <item m="1" x="1050"/>
        <item m="1" x="1058"/>
        <item m="1" x="1062"/>
        <item m="1" x="1557"/>
        <item m="1" x="1559"/>
        <item m="1" x="1562"/>
        <item m="1" x="1026"/>
        <item m="1" x="445"/>
        <item m="1" x="459"/>
        <item m="1" x="462"/>
        <item m="1" x="152"/>
        <item m="1" x="160"/>
        <item m="1" x="167"/>
        <item m="1" x="171"/>
        <item m="1" x="3085"/>
        <item m="1" x="3090"/>
        <item m="1" x="2816"/>
        <item m="1" x="2817"/>
        <item m="1" x="2822"/>
        <item m="1" x="2510"/>
        <item m="1" x="2530"/>
        <item m="1" x="2533"/>
        <item m="1" x="2213"/>
        <item m="1" x="2215"/>
        <item m="1" x="2218"/>
        <item m="1" x="2222"/>
        <item m="1" x="2753"/>
        <item m="1" x="2763"/>
        <item m="1" x="2765"/>
        <item m="1" x="2774"/>
        <item m="1" x="2779"/>
        <item m="1" x="2781"/>
        <item m="1" x="2457"/>
        <item m="1" x="2465"/>
        <item m="1" x="2481"/>
        <item m="1" x="2484"/>
        <item m="1" x="2171"/>
        <item m="1" x="2175"/>
        <item m="1" x="1897"/>
        <item m="1" x="1899"/>
        <item m="1" x="1905"/>
        <item m="1" x="1907"/>
        <item m="1" x="1914"/>
        <item m="1" x="1921"/>
        <item m="1" x="1924"/>
        <item m="1" x="1928"/>
        <item m="1" x="1615"/>
        <item m="1" x="1623"/>
        <item m="1" x="1636"/>
        <item m="1" x="1639"/>
        <item m="1" x="1641"/>
        <item m="1" x="1643"/>
        <item m="1" x="1645"/>
        <item m="1" x="1366"/>
        <item m="1" x="1369"/>
        <item m="1" x="1373"/>
        <item m="1" x="1376"/>
        <item m="1" x="1381"/>
        <item m="1" x="1070"/>
        <item m="1" x="1074"/>
        <item m="1" x="1075"/>
        <item m="1" x="1077"/>
        <item m="1" x="1081"/>
        <item m="1" x="1082"/>
        <item m="1" x="1088"/>
        <item m="1" x="1093"/>
        <item m="1" x="1095"/>
        <item m="1" x="776"/>
        <item m="1" x="778"/>
        <item m="1" x="782"/>
        <item m="1" x="803"/>
        <item m="1" x="510"/>
        <item m="1" x="515"/>
        <item m="1" x="519"/>
        <item m="1" x="521"/>
        <item m="1" x="524"/>
        <item m="1" x="528"/>
        <item m="1" x="533"/>
        <item m="1" x="230"/>
        <item m="1" x="236"/>
        <item m="1" x="244"/>
        <item m="1" x="245"/>
        <item m="1" x="739"/>
        <item m="1" x="742"/>
        <item m="1" x="743"/>
        <item m="1" x="745"/>
        <item m="1" x="747"/>
        <item m="1" x="748"/>
        <item m="1" x="751"/>
        <item m="1" x="468"/>
        <item m="1" x="470"/>
        <item m="1" x="479"/>
        <item m="1" x="481"/>
        <item m="1" x="485"/>
        <item m="1" x="184"/>
        <item m="1" x="191"/>
        <item m="1" x="194"/>
        <item m="1" x="199"/>
        <item m="1" x="201"/>
        <item m="1" x="203"/>
        <item m="1" x="205"/>
        <item m="1" x="3104"/>
        <item m="1" x="3107"/>
        <item m="1" x="3110"/>
        <item m="1" x="3124"/>
        <item m="1" x="3128"/>
        <item m="1" x="3135"/>
        <item m="1" x="2829"/>
        <item m="1" x="2835"/>
        <item m="1" x="2840"/>
        <item m="1" x="2843"/>
        <item m="1" x="2844"/>
        <item m="1" x="2542"/>
        <item m="1" x="2555"/>
        <item m="1" x="2559"/>
        <item m="1" x="2565"/>
        <item m="1" x="2231"/>
        <item m="1" x="2235"/>
        <item m="1" x="2239"/>
        <item m="1" x="2243"/>
        <item m="1" x="2246"/>
        <item m="1" x="1972"/>
        <item m="1" x="1974"/>
        <item m="1" x="1978"/>
        <item m="1" x="1982"/>
        <item m="1" x="1691"/>
        <item m="1" x="1696"/>
        <item m="1" x="1700"/>
        <item m="1" x="1708"/>
        <item m="1" x="1709"/>
        <item m="1" x="1437"/>
        <item m="1" x="1439"/>
        <item m="1" x="1448"/>
        <item m="1" x="1949"/>
        <item m="1" x="1653"/>
        <item m="1" x="1654"/>
        <item m="1" x="1664"/>
        <item m="1" x="1666"/>
        <item m="1" x="1392"/>
        <item m="1" x="1394"/>
        <item m="1" x="1396"/>
        <item m="1" x="1100"/>
        <item m="1" x="1106"/>
        <item m="1" x="1109"/>
        <item m="1" x="1113"/>
        <item m="1" x="1116"/>
        <item m="1" x="808"/>
        <item m="1" x="812"/>
        <item m="1" x="815"/>
        <item m="1" x="817"/>
        <item m="1" x="822"/>
        <item m="1" x="828"/>
        <item m="1" x="545"/>
        <item m="1" x="547"/>
        <item m="1" x="550"/>
        <item m="1" x="554"/>
        <item m="1" x="255"/>
        <item m="1" x="259"/>
        <item m="1" x="268"/>
        <item m="1" x="3173"/>
        <item m="1" x="3180"/>
        <item m="1" x="3184"/>
        <item m="1" x="3186"/>
        <item m="1" x="3194"/>
        <item m="1" x="2900"/>
        <item m="1" x="2906"/>
        <item m="1" x="2914"/>
        <item m="1" x="2919"/>
        <item m="1" x="2921"/>
        <item m="1" x="2925"/>
        <item m="1" x="2928"/>
        <item m="1" x="2608"/>
        <item m="1" x="2609"/>
        <item m="1" x="2617"/>
        <item m="1" x="2623"/>
        <item m="1" x="2625"/>
        <item m="1" x="2629"/>
        <item m="1" x="3139"/>
        <item m="1" x="3143"/>
        <item m="1" x="3145"/>
        <item m="1" x="3154"/>
        <item m="1" x="2853"/>
        <item m="1" x="2855"/>
        <item m="1" x="2862"/>
        <item m="1" x="2865"/>
        <item m="1" x="2869"/>
        <item m="1" x="2577"/>
        <item m="1" x="2580"/>
        <item m="1" x="2588"/>
        <item m="1" x="2264"/>
        <item m="1" x="2267"/>
        <item m="1" x="2268"/>
        <item m="1" x="2272"/>
        <item m="1" x="2273"/>
        <item m="1" x="2003"/>
        <item m="1" x="2010"/>
        <item m="1" x="2013"/>
        <item m="1" x="2014"/>
        <item m="1" x="1718"/>
        <item m="1" x="1726"/>
        <item m="1" x="1743"/>
        <item m="1" x="1176"/>
        <item m="1" x="1178"/>
        <item m="1" x="1188"/>
        <item m="1" x="1191"/>
        <item m="1" x="1196"/>
        <item m="1" x="609"/>
        <item m="1" x="615"/>
        <item m="1" x="622"/>
        <item m="1" x="1123"/>
        <item m="1" x="1125"/>
        <item m="1" x="1127"/>
        <item m="1" x="1130"/>
        <item m="1" x="1132"/>
        <item m="1" x="1136"/>
        <item m="1" x="1144"/>
        <item m="1" x="1148"/>
        <item m="1" x="834"/>
        <item m="1" x="838"/>
        <item m="1" x="842"/>
        <item m="1" x="845"/>
        <item m="1" x="848"/>
        <item m="1" x="851"/>
        <item m="1" x="855"/>
        <item m="1" x="857"/>
        <item m="1" x="861"/>
        <item m="1" x="557"/>
        <item m="1" x="558"/>
        <item m="1" x="560"/>
        <item m="1" x="568"/>
        <item m="1" x="569"/>
        <item m="1" x="572"/>
        <item m="1" x="576"/>
        <item m="1" x="577"/>
        <item m="1" x="274"/>
        <item m="1" x="279"/>
        <item m="1" x="281"/>
        <item m="1" x="286"/>
        <item m="1" x="288"/>
        <item m="1" x="290"/>
        <item m="1" x="295"/>
        <item m="1" x="297"/>
        <item m="1" x="298"/>
        <item m="1" x="3197"/>
        <item m="1" x="3199"/>
        <item m="1" x="3202"/>
        <item m="1" x="3203"/>
        <item m="1" x="3206"/>
        <item m="1" x="3209"/>
        <item m="1" x="2651"/>
        <item m="1" x="2339"/>
        <item m="1" x="2342"/>
        <item m="1" x="2061"/>
        <item m="1" x="1789"/>
        <item m="1" x="2298"/>
        <item m="1" x="2306"/>
        <item m="1" x="2018"/>
        <item m="1" x="2021"/>
        <item m="1" x="1753"/>
        <item m="1" x="1221"/>
        <item m="1" x="57"/>
        <item m="1" x="2989"/>
        <item m="1" x="2991"/>
        <item m="1" x="2997"/>
        <item m="1" x="2134"/>
        <item m="1" x="1308"/>
        <item m="1" x="728"/>
        <item m="1" x="732"/>
        <item m="1" x="471"/>
        <item m="1" x="186"/>
        <item m="1" x="197"/>
        <item m="1" x="3093"/>
        <item m="1" x="3095"/>
        <item m="1" x="3098"/>
        <item m="1" x="3102"/>
        <item m="1" x="3105"/>
        <item m="1" x="3109"/>
        <item m="1" x="3112"/>
        <item m="1" x="3116"/>
        <item m="1" x="3123"/>
        <item m="1" x="390"/>
        <item m="1" x="393"/>
        <item m="1" x="396"/>
        <item m="1" x="399"/>
        <item m="1" x="403"/>
        <item m="1" x="409"/>
        <item m="1" x="413"/>
        <item m="1" x="418"/>
        <item m="1" x="423"/>
        <item m="1" x="427"/>
        <item m="1" x="101"/>
        <item m="1" x="109"/>
        <item m="1" x="115"/>
        <item m="1" x="120"/>
        <item m="1" x="134"/>
        <item m="1" x="136"/>
        <item m="1" x="3050"/>
        <item m="1" x="3053"/>
        <item m="1" x="3055"/>
        <item m="1" x="3057"/>
        <item m="1" x="3064"/>
        <item m="1" x="3070"/>
        <item m="1" x="3074"/>
        <item m="1" x="3078"/>
        <item m="1" x="2771"/>
        <item m="1" x="2773"/>
        <item m="1" x="2777"/>
        <item m="1" x="2780"/>
        <item m="1" x="2784"/>
        <item m="1" x="2788"/>
        <item m="1" x="2796"/>
        <item m="1" x="2798"/>
        <item m="1" x="2475"/>
        <item m="1" x="2491"/>
        <item m="1" x="2492"/>
        <item m="1" x="1926"/>
        <item m="1" x="493"/>
        <item m="1" x="3134"/>
        <item m="1" x="2170"/>
        <item m="1" x="1338"/>
        <item m="1" x="1537"/>
        <item m="1" x="639"/>
        <item m="1" x="649"/>
        <item m="1" x="1852"/>
        <item m="1" x="2889"/>
        <item m="1" x="1518"/>
        <item m="1" x="3068"/>
        <item m="1" x="3226"/>
        <item m="1" x="1602"/>
        <item m="1" x="1656"/>
        <item m="1" x="575"/>
        <item m="1" x="1079"/>
        <item m="1" x="2823"/>
        <item m="1" x="2719"/>
        <item m="1" x="1915"/>
        <item m="1" x="2595"/>
        <item m="1" x="285"/>
        <item m="1" x="1990"/>
        <item m="1" x="507"/>
        <item m="1" x="2482"/>
        <item m="1" x="629"/>
        <item m="1" x="2804"/>
        <item m="1" x="466"/>
        <item m="1" x="2173"/>
        <item m="1" x="1947"/>
        <item m="1" x="1351"/>
        <item m="1" x="164"/>
        <item m="1" x="1797"/>
        <item m="1" x="2051"/>
        <item m="1" x="76"/>
        <item m="1" x="1967"/>
        <item m="1" x="606"/>
        <item m="1" x="2820"/>
        <item m="1" x="258"/>
        <item m="1" x="89"/>
        <item m="1" x="1738"/>
        <item m="1" x="967"/>
        <item m="1" x="3051"/>
        <item m="1" x="899"/>
        <item m="1" x="1491"/>
        <item m="1" x="2520"/>
        <item m="1" x="2322"/>
        <item m="1" x="2160"/>
        <item m="1" x="2871"/>
        <item m="1" x="2408"/>
        <item m="1" x="2049"/>
        <item m="1" x="1438"/>
        <item m="1" x="3108"/>
        <item m="1" x="2004"/>
        <item m="1" x="1350"/>
        <item m="1" x="2393"/>
        <item m="1" x="1292"/>
        <item m="1" x="1587"/>
        <item m="1" x="1238"/>
        <item m="1" x="385"/>
        <item m="1" x="1575"/>
        <item m="1" x="2011"/>
        <item m="1" x="2439"/>
        <item m="1" x="77"/>
        <item m="1" x="2532"/>
        <item m="1" x="37"/>
        <item m="1" x="2495"/>
        <item m="1" x="2285"/>
        <item m="1" x="909"/>
        <item m="1" x="1431"/>
        <item m="1" x="941"/>
        <item m="1" x="324"/>
        <item m="1" x="2785"/>
        <item m="1" x="552"/>
        <item m="1" x="789"/>
        <item m="1" x="885"/>
        <item m="1" x="1985"/>
        <item m="1" x="3072"/>
        <item m="1" x="97"/>
        <item m="1" x="1840"/>
        <item m="1" x="2012"/>
        <item m="1" x="1314"/>
        <item m="1" x="2206"/>
        <item m="1" x="764"/>
        <item m="1" x="2015"/>
        <item m="1" x="2144"/>
        <item m="1" x="1832"/>
        <item m="1" x="821"/>
        <item m="1" x="2551"/>
        <item m="1" x="811"/>
        <item m="1" x="565"/>
        <item m="1" x="1721"/>
        <item m="1" x="2265"/>
        <item m="1" x="282"/>
        <item m="1" x="1965"/>
        <item m="1" x="2118"/>
        <item m="1" x="717"/>
        <item m="1" x="2633"/>
        <item m="1" x="2232"/>
        <item m="1" x="927"/>
        <item m="1" x="486"/>
        <item m="1" x="2360"/>
        <item m="1" x="3031"/>
        <item m="1" x="1704"/>
        <item m="1" x="924"/>
        <item m="1" x="2022"/>
        <item m="1" x="2616"/>
        <item m="1" x="1352"/>
        <item m="1" x="2888"/>
        <item m="1" x="2571"/>
        <item m="1" x="407"/>
        <item m="1" x="69"/>
        <item m="1" x="17"/>
        <item m="1" x="2391"/>
        <item m="1" x="88"/>
        <item m="1" x="1325"/>
        <item m="1" x="91"/>
        <item m="1" x="1091"/>
        <item m="1" x="878"/>
        <item m="1" x="2035"/>
        <item m="1" x="3061"/>
        <item m="1" x="2158"/>
        <item m="1" x="1758"/>
        <item m="1" x="1489"/>
        <item m="1" x="756"/>
        <item m="1" x="2420"/>
        <item m="1" x="1442"/>
        <item m="1" x="2969"/>
        <item m="1" x="404"/>
        <item m="1" x="2712"/>
        <item m="1" x="2841"/>
        <item m="1" x="676"/>
        <item m="1" x="1310"/>
        <item m="1" x="2747"/>
        <item m="1" x="2092"/>
        <item m="1" x="708"/>
        <item m="1" x="1223"/>
        <item m="1" x="1956"/>
        <item m="1" x="1528"/>
        <item m="1" x="1162"/>
        <item m="1" x="1456"/>
        <item m="1" x="270"/>
        <item m="1" x="2281"/>
        <item m="1" x="2849"/>
        <item m="1" x="570"/>
        <item m="1" x="1260"/>
        <item m="1" x="2741"/>
        <item m="1" x="395"/>
        <item m="1" x="1929"/>
        <item m="1" x="1407"/>
        <item m="1" x="2597"/>
        <item m="1" x="1692"/>
        <item m="1" x="1992"/>
        <item m="1" x="1820"/>
        <item m="1" x="1013"/>
        <item m="1" x="2295"/>
        <item m="1" x="685"/>
        <item m="1" x="2801"/>
        <item m="1" x="2119"/>
        <item m="1" x="2685"/>
        <item m="1" x="2290"/>
        <item m="1" x="2434"/>
        <item m="1" x="2986"/>
        <item m="1" x="2387"/>
        <item m="1" x="1246"/>
        <item m="1" x="137"/>
        <item m="1" x="1748"/>
        <item m="1" x="1211"/>
        <item m="1" x="2582"/>
        <item m="1" x="3087"/>
        <item m="1" x="2993"/>
        <item m="1" x="1401"/>
        <item m="1" x="511"/>
        <item m="1" x="1312"/>
        <item m="1" x="1553"/>
        <item m="1" x="1161"/>
        <item m="1" x="1754"/>
        <item m="1" x="3049"/>
        <item m="1" x="1367"/>
        <item m="1" x="2086"/>
        <item m="1" x="3228"/>
        <item m="1" x="529"/>
        <item m="1" x="1057"/>
        <item m="1" x="2467"/>
        <item m="1" x="584"/>
        <item m="1" x="1291"/>
        <item m="1" x="3009"/>
        <item m="1" x="516"/>
        <item m="1" x="2985"/>
        <item m="1" x="3227"/>
        <item m="1" x="2878"/>
        <item m="1" x="2001"/>
        <item m="1" x="414"/>
        <item m="1" x="1821"/>
        <item m="1" x="2552"/>
        <item m="1" x="3082"/>
        <item m="1" x="2975"/>
        <item m="1" x="1"/>
        <item m="1" x="7"/>
        <item m="1" x="1268"/>
        <item m="1" x="2397"/>
        <item m="1" x="208"/>
        <item m="1" x="2613"/>
        <item m="1" x="2958"/>
        <item m="1" x="2338"/>
        <item m="1" x="2867"/>
        <item m="1" x="174"/>
        <item m="1" x="247"/>
        <item m="1" x="847"/>
        <item m="1" x="36"/>
        <item m="1" x="801"/>
        <item m="1" x="971"/>
        <item m="1" x="3195"/>
        <item m="1" x="1913"/>
        <item m="1" x="1145"/>
        <item m="1" x="147"/>
        <item m="1" x="894"/>
        <item m="1" x="1519"/>
        <item m="1" x="71"/>
        <item m="1" x="321"/>
        <item m="1" x="2304"/>
        <item m="1" x="1506"/>
        <item m="1" x="1389"/>
        <item m="1" x="2052"/>
        <item m="1" x="3182"/>
        <item m="1" x="2378"/>
        <item m="1" x="1724"/>
        <item m="1" x="149"/>
        <item m="1" x="513"/>
        <item m="1" x="527"/>
        <item m="1" x="1256"/>
        <item m="1" x="3191"/>
        <item m="1" x="2890"/>
        <item m="1" x="1299"/>
        <item m="1" x="1398"/>
        <item m="1" x="1209"/>
        <item m="1" x="1608"/>
        <item m="1" x="2399"/>
        <item m="1" x="1890"/>
        <item m="1" x="840"/>
        <item m="1" x="890"/>
        <item m="1" x="1463"/>
        <item m="1" x="2660"/>
        <item m="1" x="2594"/>
        <item m="1" x="2247"/>
        <item m="1" x="29"/>
        <item m="1" x="1855"/>
        <item m="1" x="1279"/>
        <item m="1" x="3179"/>
        <item m="1" x="3081"/>
        <item m="1" x="504"/>
        <item m="1" x="1154"/>
        <item m="1" x="223"/>
        <item m="1" x="2389"/>
        <item m="1" x="1241"/>
        <item m="1" x="2605"/>
        <item m="1" x="2324"/>
        <item m="1" x="1353"/>
        <item m="1" x="433"/>
        <item m="1" x="66"/>
        <item m="1" x="2138"/>
        <item m="1" x="264"/>
        <item m="1" x="3020"/>
        <item m="1" x="1408"/>
        <item m="1" x="2005"/>
        <item m="1" x="1065"/>
        <item m="1" x="1296"/>
        <item m="1" x="1170"/>
        <item m="1" x="2375"/>
        <item m="1" x="865"/>
        <item m="1" x="2653"/>
        <item m="1" x="1554"/>
        <item m="1" x="189"/>
        <item m="1" x="185"/>
        <item m="1" x="757"/>
        <item m="1" x="421"/>
        <item m="1" x="1023"/>
        <item m="1" x="2730"/>
        <item m="1" x="2789"/>
        <item m="1" x="1902"/>
        <item m="1" x="455"/>
        <item m="1" x="331"/>
        <item m="1" x="6"/>
        <item m="1" x="2883"/>
        <item m="1" x="771"/>
        <item m="1" x="3138"/>
        <item m="1" x="1332"/>
        <item m="1" x="2791"/>
        <item m="1" x="2422"/>
        <item m="1" x="1588"/>
        <item m="1" x="1475"/>
        <item m="1" x="1966"/>
        <item m="1" x="1453"/>
        <item m="1" x="2006"/>
        <item m="1" x="1189"/>
        <item m="1" x="715"/>
        <item m="1" x="198"/>
        <item m="1" x="2299"/>
        <item m="1" x="465"/>
        <item m="1" x="659"/>
        <item m="1" x="2614"/>
        <item m="1" x="1888"/>
        <item m="1" x="1406"/>
        <item m="1" x="2812"/>
        <item m="1" x="2462"/>
        <item m="1" x="9"/>
        <item m="1" x="886"/>
        <item m="1" x="366"/>
        <item m="1" x="2205"/>
        <item m="1" x="2734"/>
        <item m="1" x="2373"/>
        <item m="1" x="701"/>
        <item m="1" x="512"/>
        <item m="1" x="3172"/>
        <item m="1" x="3159"/>
        <item m="1" x="75"/>
        <item m="1" x="600"/>
        <item m="1" x="2632"/>
        <item m="1" x="1313"/>
        <item m="1" x="1893"/>
        <item m="1" x="2996"/>
        <item m="1" x="551"/>
        <item m="1" x="882"/>
        <item m="1" x="2444"/>
        <item m="1" x="534"/>
        <item m="1" x="1458"/>
        <item m="1" x="2568"/>
        <item m="1" x="2413"/>
        <item m="1" x="1029"/>
        <item m="1" x="1829"/>
        <item m="1" x="2947"/>
        <item m="1" x="1580"/>
        <item m="1" x="1117"/>
        <item m="1" x="1943"/>
        <item m="1" x="41"/>
        <item m="1" x="1497"/>
        <item m="1" x="752"/>
        <item m="1" x="820"/>
        <item m="1" x="1788"/>
        <item m="1" x="1699"/>
        <item m="1" x="749"/>
        <item m="1" x="1874"/>
        <item m="1" x="2556"/>
        <item m="1" x="1944"/>
        <item m="1" x="1561"/>
        <item m="1" x="2039"/>
        <item m="1" x="2908"/>
        <item m="1" x="26"/>
        <item m="1" x="1415"/>
        <item m="1" x="238"/>
        <item m="1" x="2210"/>
        <item m="1" x="1476"/>
        <item m="1" x="2935"/>
        <item m="1" x="2331"/>
        <item m="1" x="2091"/>
        <item m="1" x="3094"/>
        <item m="1" x="1383"/>
        <item m="1" x="1734"/>
        <item m="1" x="2068"/>
        <item m="1" x="3175"/>
        <item m="1" x="1473"/>
        <item m="1" x="1480"/>
        <item m="1" x="1564"/>
        <item m="1" x="1730"/>
        <item m="1" x="1236"/>
        <item m="1" x="854"/>
        <item m="1" x="1252"/>
        <item m="1" x="1864"/>
        <item m="1" x="1811"/>
        <item m="1" x="1822"/>
        <item m="1" x="1591"/>
        <item m="1" x="2102"/>
        <item m="1" x="692"/>
        <item m="1" x="1981"/>
        <item m="1" x="2988"/>
        <item m="1" x="1889"/>
        <item m="1" x="2501"/>
        <item m="1" x="221"/>
        <item m="1" x="869"/>
        <item m="1" x="2672"/>
        <item m="1" x="1799"/>
        <item m="1" x="574"/>
        <item m="1" x="2291"/>
        <item m="1" x="3007"/>
        <item m="1" x="2943"/>
        <item m="1" x="1846"/>
        <item m="1" x="514"/>
        <item m="1" x="460"/>
        <item m="1" x="1548"/>
        <item m="1" x="3153"/>
        <item m="1" x="108"/>
        <item m="1" x="1583"/>
        <item m="1" x="117"/>
        <item m="1" x="2821"/>
        <item m="1" x="719"/>
        <item m="1" x="1397"/>
        <item m="1" x="1707"/>
        <item m="1" x="599"/>
        <item m="1" x="2681"/>
        <item m="1" x="346"/>
        <item m="1" x="1791"/>
        <item m="1" x="242"/>
        <item m="1" x="2944"/>
        <item m="1" x="2951"/>
        <item m="1" x="2607"/>
        <item m="1" x="2549"/>
        <item m="1" x="169"/>
        <item m="1" x="273"/>
        <item m="1" x="2400"/>
        <item m="1" x="139"/>
        <item m="1" x="978"/>
        <item m="1" x="988"/>
        <item m="1" x="27"/>
        <item m="1" x="929"/>
        <item m="1" x="2827"/>
        <item m="1" x="3190"/>
        <item m="1" x="1492"/>
        <item m="1" x="2527"/>
        <item m="1" x="3086"/>
        <item m="1" x="2361"/>
        <item m="1" x="2942"/>
        <item m="1" x="293"/>
        <item m="1" x="116"/>
        <item m="1" x="2054"/>
        <item m="1" x="1916"/>
        <item m="1" x="1420"/>
        <item m="1" x="3002"/>
        <item m="1" x="2504"/>
        <item m="1" x="1240"/>
        <item m="1" x="1152"/>
        <item m="1" x="289"/>
        <item m="1" x="505"/>
        <item m="1" x="2758"/>
        <item m="1" x="22"/>
        <item m="1" x="2096"/>
        <item m="1" x="1998"/>
        <item m="1" x="1571"/>
        <item m="1" x="2023"/>
        <item m="1" x="580"/>
        <item m="1" x="81"/>
        <item m="1" x="1413"/>
        <item m="1" x="506"/>
        <item m="1" x="84"/>
        <item m="1" x="214"/>
        <item m="1" x="617"/>
        <item m="1" x="620"/>
        <item m="1" x="2974"/>
        <item m="1" x="67"/>
        <item m="1" x="2973"/>
        <item m="1" x="1572"/>
        <item m="1" x="2258"/>
        <item m="1" x="2202"/>
        <item m="1" x="2517"/>
        <item m="1" x="601"/>
        <item m="1" x="1032"/>
        <item m="1" x="1945"/>
        <item m="1" x="724"/>
        <item m="1" x="2728"/>
        <item m="1" x="1428"/>
        <item m="1" x="2584"/>
        <item m="1" x="1360"/>
        <item m="1" x="530"/>
        <item m="1" x="1005"/>
        <item m="1" x="1104"/>
        <item m="1" x="2752"/>
        <item m="1" x="419"/>
        <item m="1" x="434"/>
        <item m="1" x="2137"/>
        <item m="1" x="2965"/>
        <item m="1" x="2384"/>
        <item m="1" x="157"/>
        <item m="1" x="612"/>
        <item m="1" x="2531"/>
        <item m="1" x="387"/>
        <item m="1" x="488"/>
        <item m="1" x="3103"/>
        <item m="1" x="2047"/>
        <item m="1" x="2834"/>
        <item m="1" x="2939"/>
        <item m="1" x="2706"/>
        <item m="1" x="832"/>
        <item m="1" x="957"/>
        <item m="1" x="770"/>
        <item m="1" x="1271"/>
        <item m="1" x="1649"/>
        <item m="1" x="1198"/>
        <item m="1" x="1702"/>
        <item m="1" x="541"/>
        <item m="1" x="1330"/>
        <item m="1" x="1625"/>
        <item m="1" x="344"/>
        <item m="1" x="1134"/>
        <item m="1" x="420"/>
        <item m="1" x="2643"/>
        <item m="1" x="2644"/>
        <item m="1" x="2238"/>
        <item m="1" x="677"/>
        <item m="1" x="311"/>
        <item m="1" x="2066"/>
        <item m="1" x="797"/>
        <item m="1" x="1596"/>
        <item m="1" x="472"/>
        <item m="1" x="491"/>
        <item m="1" x="818"/>
        <item m="1" x="1337"/>
        <item m="1" x="3224"/>
        <item m="1" x="2934"/>
        <item m="1" x="1529"/>
        <item m="1" x="1601"/>
        <item m="1" x="1010"/>
        <item m="1" x="1167"/>
        <item m="1" x="2670"/>
        <item m="1" x="2123"/>
        <item m="1" x="1038"/>
        <item m="1" x="501"/>
        <item m="1" x="802"/>
        <item m="1" x="446"/>
        <item m="1" x="2228"/>
        <item m="1" x="231"/>
        <item m="1" x="2655"/>
        <item m="1" x="327"/>
        <item m="1" x="358"/>
        <item m="1" x="475"/>
        <item m="1" x="424"/>
        <item m="1" x="678"/>
        <item m="1" x="2189"/>
        <item m="1" x="200"/>
        <item m="1" x="1516"/>
        <item m="1" x="525"/>
        <item m="1" x="2099"/>
        <item m="1" x="1732"/>
        <item m="1" x="2030"/>
        <item m="1" x="457"/>
        <item m="1" x="2896"/>
        <item m="1" x="920"/>
        <item m="1" x="2058"/>
        <item m="1" x="1242"/>
        <item m="1" x="72"/>
        <item m="1" x="725"/>
        <item m="1" x="1024"/>
        <item m="1" x="24"/>
        <item m="1" x="902"/>
        <item m="1" x="1620"/>
        <item m="1" x="2"/>
        <item m="1" x="1239"/>
        <item m="1" x="1922"/>
        <item m="1" x="240"/>
        <item m="1" x="1499"/>
        <item m="1" x="1481"/>
        <item m="1" x="125"/>
        <item m="1" x="1183"/>
        <item m="1" x="1090"/>
        <item m="1" x="872"/>
        <item m="1" x="55"/>
        <item m="1" x="2226"/>
        <item m="1" x="1771"/>
        <item m="1" x="2870"/>
        <item m="1" x="2599"/>
        <item m="1" x="603"/>
        <item m="1" x="1566"/>
        <item m="1" x="989"/>
        <item m="1" x="4"/>
        <item m="1" x="2918"/>
        <item m="1" x="1703"/>
        <item m="1" x="86"/>
        <item m="1" x="1621"/>
        <item m="1" x="1502"/>
        <item m="1" x="2449"/>
        <item m="1" x="1400"/>
        <item m="1" x="3099"/>
        <item m="1" x="478"/>
        <item m="1" x="2477"/>
        <item m="1" x="2286"/>
        <item m="1" x="631"/>
        <item m="1" x="2515"/>
        <item m="1" x="2742"/>
        <item m="1" x="1933"/>
        <item m="1" x="389"/>
        <item m="1" x="3101"/>
        <item m="1" x="1642"/>
        <item m="1" x="741"/>
        <item m="1" x="950"/>
        <item m="1" x="1073"/>
        <item m="1" x="716"/>
        <item m="1" x="1501"/>
        <item m="1" x="2879"/>
        <item m="1" x="2683"/>
        <item m="1" x="1001"/>
        <item m="1" x="3023"/>
        <item m="1" x="1805"/>
        <item m="1" x="1825"/>
        <item m="1" x="2929"/>
        <item m="1" x="2509"/>
        <item m="1" x="2181"/>
        <item m="1" x="142"/>
        <item m="1" x="2041"/>
        <item m="1" x="763"/>
        <item m="1" x="675"/>
        <item m="1" x="3177"/>
        <item m="1" x="2067"/>
        <item m="1" x="1309"/>
        <item m="1" x="3216"/>
        <item m="1" x="2846"/>
        <item m="1" x="1768"/>
        <item m="1" x="769"/>
        <item m="1" x="46"/>
        <item m="1" x="21"/>
        <item m="1" x="1920"/>
        <item m="1" x="2362"/>
        <item m="1" x="1202"/>
        <item m="1" x="2126"/>
        <item m="1" x="2661"/>
        <item m="1" x="1436"/>
        <item m="1" x="871"/>
        <item m="1" x="123"/>
        <item m="1" x="1253"/>
        <item m="1" x="1035"/>
        <item m="1" x="1120"/>
        <item m="1" x="181"/>
        <item m="1" x="3121"/>
        <item m="1" x="2207"/>
        <item m="1" x="307"/>
        <item m="1" x="92"/>
        <item m="1" x="2729"/>
        <item m="1" x="1233"/>
        <item m="1" x="561"/>
        <item m="1" x="2195"/>
        <item m="1" x="1713"/>
        <item m="1" x="489"/>
        <item m="1" x="2733"/>
        <item m="1" x="2537"/>
        <item m="1" x="2546"/>
        <item m="1" x="106"/>
        <item m="1" x="163"/>
        <item m="1" x="1773"/>
        <item m="1" x="1165"/>
        <item m="1" x="922"/>
        <item m="1" x="2396"/>
        <item m="1" x="1815"/>
        <item m="1" x="578"/>
        <item m="1" x="2813"/>
        <item m="1" x="73"/>
        <item m="1" x="1175"/>
        <item m="1" x="1056"/>
        <item m="1" x="1884"/>
        <item m="1" x="2891"/>
        <item m="1" x="96"/>
        <item m="1" x="2459"/>
        <item m="1" x="2282"/>
        <item m="1" x="2964"/>
        <item m="1" x="304"/>
        <item m="1" x="1750"/>
        <item m="1" x="705"/>
        <item m="1" x="1044"/>
        <item m="1" x="2309"/>
        <item m="1" x="2487"/>
        <item m="1" x="1262"/>
        <item m="1" x="2388"/>
        <item m="1" x="1741"/>
        <item m="1" x="1033"/>
        <item m="1" x="2782"/>
        <item m="1" x="100"/>
        <item m="1" x="654"/>
        <item m="1" x="2543"/>
        <item m="1" x="3207"/>
        <item m="1" x="1315"/>
        <item m="1" x="668"/>
        <item m="1" x="809"/>
        <item m="1" x="2033"/>
        <item m="1" x="2948"/>
        <item m="1" x="955"/>
        <item m="1" x="235"/>
        <item m="1" x="336"/>
        <item m="1" x="1259"/>
        <item m="1" x="2743"/>
        <item m="1" x="2833"/>
        <item m="1" x="889"/>
        <item m="1" x="673"/>
        <item m="1" x="1796"/>
        <item m="1" x="267"/>
        <item m="1" x="993"/>
        <item m="1" x="1190"/>
        <item m="1" x="571"/>
        <item m="1" x="1881"/>
        <item m="1" x="833"/>
        <item m="1" x="2513"/>
        <item m="1" x="635"/>
        <item m="1" x="3018"/>
        <item m="1" x="2229"/>
        <item m="1" x="210"/>
        <item m="1" x="1638"/>
        <item m="1" x="1380"/>
        <item m="1" x="2062"/>
        <item m="1" x="1986"/>
        <item m="1" x="3065"/>
        <item m="1" x="2179"/>
        <item m="1" x="2673"/>
        <item m="1" x="1282"/>
        <item m="1" x="2386"/>
        <item m="1" x="2172"/>
        <item m="1" x="2894"/>
        <item m="1" x="2786"/>
        <item m="1" x="1424"/>
        <item m="1" x="52"/>
        <item m="1" x="2244"/>
        <item m="1" x="1882"/>
        <item m="1" x="1687"/>
        <item m="1" x="2036"/>
        <item m="1" x="219"/>
        <item m="1" x="3083"/>
        <item m="1" x="430"/>
        <item m="1" x="2141"/>
        <item m="1" x="981"/>
        <item m="1" x="3178"/>
        <item m="1" x="2882"/>
        <item m="1" x="1318"/>
        <item m="1" x="1503"/>
        <item m="1" x="1688"/>
        <item m="1" x="2204"/>
        <item m="1" x="2828"/>
        <item m="1" x="775"/>
        <item m="1" x="694"/>
        <item m="1" x="2071"/>
        <item m="1" x="1030"/>
        <item m="1" x="1215"/>
        <item m="1" x="1793"/>
        <item m="1" x="1954"/>
        <item m="1" x="1131"/>
        <item m="1" x="2636"/>
        <item m="1" x="121"/>
        <item m="1" x="1894"/>
        <item m="1" x="901"/>
        <item m="1" x="291"/>
        <item m="1" x="581"/>
        <item m="1" x="2193"/>
        <item m="1" x="2664"/>
        <item m="1" x="2371"/>
        <item m="1" x="2761"/>
        <item m="1" x="225"/>
        <item m="1" x="3170"/>
        <item m="1" x="761"/>
        <item m="1" x="3189"/>
        <item m="1" x="2506"/>
        <item m="1" x="1333"/>
        <item m="1" x="1834"/>
        <item m="1" x="1457"/>
        <item m="1" x="1520"/>
        <item m="1" x="2314"/>
        <item m="1" x="583"/>
        <item m="1" x="2261"/>
        <item m="1" x="2756"/>
        <item m="1" x="772"/>
        <item m="1" x="785"/>
        <item m="1" x="1040"/>
        <item m="1" x="162"/>
        <item m="1" x="1955"/>
        <item m="1" x="1118"/>
        <item m="1" x="1650"/>
        <item m="1" x="2485"/>
        <item m="1" x="178"/>
        <item m="1" x="913"/>
        <item m="1" x="1166"/>
        <item m="1" x="2489"/>
        <item m="1" x="2310"/>
        <item m="1" x="2602"/>
        <item m="1" x="2898"/>
        <item m="1" x="598"/>
        <item m="1" x="206"/>
        <item m="1" x="1019"/>
        <item m="1" x="3122"/>
        <item m="1" x="1020"/>
        <item m="1" x="2618"/>
        <item m="1" x="627"/>
        <item m="1" x="2418"/>
        <item m="1" x="928"/>
        <item m="1" x="2807"/>
        <item m="1" x="2424"/>
        <item m="1" x="56"/>
        <item m="1" x="540"/>
        <item m="1" x="2724"/>
        <item m="1" x="774"/>
        <item m="1" x="1084"/>
        <item m="1" x="43"/>
        <item m="1" x="3111"/>
        <item m="1" x="2881"/>
        <item m="1" x="2044"/>
        <item m="1" x="2026"/>
        <item m="1" x="3147"/>
        <item m="1" x="588"/>
        <item m="1" x="2953"/>
        <item m="1" x="30"/>
        <item m="1" x="2443"/>
        <item m="1" x="1964"/>
        <item m="1" x="110"/>
        <item m="1" x="2717"/>
        <item m="1" x="1892"/>
        <item m="1" x="1187"/>
        <item m="1" x="2539"/>
        <item m="1" x="2861"/>
        <item m="1" x="2983"/>
        <item m="1" x="2124"/>
        <item m="1" x="794"/>
        <item m="1" x="2031"/>
        <item m="1" x="937"/>
        <item m="1" x="2494"/>
        <item m="1" x="2176"/>
        <item m="1" x="345"/>
        <item m="1" x="867"/>
        <item m="1" x="1957"/>
        <item m="1" x="3146"/>
        <item m="1" x="222"/>
        <item m="1" x="681"/>
        <item m="1" x="2468"/>
        <item m="1" x="2590"/>
        <item m="1" x="722"/>
        <item m="1" x="2159"/>
        <item m="1" x="1590"/>
        <item m="1" x="637"/>
        <item m="1" x="2839"/>
        <item m="1" x="301"/>
        <item m="1" x="2502"/>
        <item m="1" x="2955"/>
        <item m="1" x="2216"/>
        <item m="1" x="644"/>
        <item m="1" x="1220"/>
        <item m="1" x="2830"/>
        <item m="1" x="790"/>
        <item m="1" x="2507"/>
        <item m="1" x="382"/>
        <item m="1" x="448"/>
        <item m="1" x="788"/>
        <item m="1" x="2009"/>
        <item m="1" x="306"/>
        <item m="1" x="2826"/>
        <item m="1" x="1946"/>
        <item m="1" x="2635"/>
        <item m="1" x="2627"/>
        <item m="1" x="2008"/>
        <item m="1" x="2209"/>
        <item m="1" x="122"/>
        <item m="1" x="2140"/>
        <item m="1" x="1231"/>
        <item m="1" x="2535"/>
        <item m="1" x="604"/>
        <item m="1" x="2157"/>
        <item m="1" x="3171"/>
        <item m="1" x="1498"/>
        <item m="1" x="2194"/>
        <item m="1" x="2512"/>
        <item m="1" x="2776"/>
        <item m="1" x="559"/>
        <item m="1" x="127"/>
        <item m="1" x="2699"/>
        <item m="1" x="1668"/>
        <item m="1" x="2873"/>
        <item m="1" x="2930"/>
        <item m="1" x="670"/>
        <item m="1" x="1547"/>
        <item m="1" x="2737"/>
        <item m="1" x="2818"/>
        <item m="1" x="2450"/>
        <item m="1" x="1417"/>
        <item m="1" x="1378"/>
        <item m="1" x="2260"/>
        <item m="1" x="2294"/>
        <item m="1" x="965"/>
        <item m="1" x="70"/>
        <item m="1" x="3075"/>
        <item m="1" x="1970"/>
        <item m="1" x="1635"/>
        <item m="1" x="2106"/>
        <item m="1" x="80"/>
        <item m="1" x="364"/>
        <item m="1" x="2917"/>
        <item m="1" x="1484"/>
        <item m="1" x="2593"/>
        <item m="1" x="1919"/>
        <item m="1" x="2163"/>
        <item m="1" x="972"/>
        <item m="1" x="1051"/>
        <item m="1" x="2394"/>
        <item m="1" x="2783"/>
        <item m="1" x="330"/>
        <item m="1" x="276"/>
        <item m="1" x="3165"/>
        <item m="1" x="1078"/>
        <item m="1" x="2398"/>
        <item m="1" x="114"/>
        <item m="1" x="1517"/>
        <item m="1" x="3054"/>
        <item m="1" x="217"/>
        <item m="1" x="54"/>
        <item m="1" x="2528"/>
        <item m="1" x="613"/>
        <item m="1" x="93"/>
        <item m="1" x="260"/>
        <item m="1" x="1214"/>
        <item m="1" x="2148"/>
        <item m="1" x="1770"/>
        <item m="1" x="1775"/>
        <item m="1" x="2469"/>
        <item m="1" x="1372"/>
        <item m="1" x="2726"/>
        <item m="1" x="783"/>
        <item m="1" x="1669"/>
        <item m="1" x="1555"/>
        <item m="1" x="2690"/>
        <item m="1" x="799"/>
        <item m="1" x="2695"/>
        <item m="1" x="1647"/>
        <item m="1" x="758"/>
        <item m="1" x="2529"/>
        <item m="1" x="1146"/>
        <item m="1" x="170"/>
        <item m="1" x="1800"/>
        <item m="1" x="502"/>
        <item m="1" x="254"/>
        <item m="1" x="759"/>
        <item m="1" x="2109"/>
        <item m="1" x="2572"/>
        <item m="1" x="113"/>
        <item m="1" x="2866"/>
        <item m="1" x="846"/>
        <item m="1" x="3168"/>
        <item m="1" x="2479"/>
        <item m="1" x="1462"/>
        <item m="1" x="3024"/>
        <item m="1" x="947"/>
        <item m="1" x="827"/>
        <item m="1" x="146"/>
        <item m="1" x="2168"/>
        <item m="1" x="1644"/>
        <item m="1" x="2778"/>
        <item m="1" x="590"/>
        <item m="1" x="3208"/>
        <item m="1" x="3162"/>
        <item m="1" x="2113"/>
        <item m="1" x="2923"/>
        <item m="1" x="2936"/>
        <item m="1" x="2911"/>
        <item m="1" x="2847"/>
        <item m="1" x="195"/>
        <item m="1" x="1762"/>
        <item m="1" x="215"/>
        <item m="1" x="819"/>
        <item m="1" x="2956"/>
        <item m="1" x="586"/>
        <item m="1" x="2656"/>
        <item m="1" x="2349"/>
        <item m="1" x="2498"/>
        <item m="1" x="1735"/>
        <item m="1" x="2959"/>
        <item m="1" x="401"/>
        <item m="1" x="2307"/>
        <item m="1" x="3148"/>
        <item m="1" x="3013"/>
        <item m="1" x="1570"/>
        <item m="1" x="653"/>
        <item m="1" x="672"/>
        <item m="1" x="2547"/>
        <item m="1" x="1535"/>
        <item m="1" x="3071"/>
        <item m="1" x="357"/>
        <item m="1" x="2045"/>
        <item m="1" x="2872"/>
        <item m="1" x="2578"/>
        <item m="1" x="1180"/>
        <item m="1" x="2652"/>
        <item m="1" x="1266"/>
        <item m="1" x="876"/>
        <item m="1" x="1940"/>
        <item m="1" x="2270"/>
        <item m="1" x="3132"/>
        <item m="1" x="1414"/>
        <item m="1" x="2514"/>
        <item m="1" x="272"/>
        <item m="1" x="669"/>
        <item m="1" x="713"/>
        <item m="1" x="1311"/>
        <item m="1" x="2732"/>
        <item m="1" x="1679"/>
        <item m="1" x="250"/>
        <item m="1" x="2441"/>
        <item m="1" x="440"/>
        <item m="1" x="3034"/>
        <item m="1" x="2442"/>
        <item m="1" x="2536"/>
        <item m="1" x="1651"/>
        <item m="1" x="562"/>
        <item m="1" x="368"/>
        <item m="1" x="326"/>
        <item m="1" x="271"/>
        <item m="1" x="2505"/>
        <item m="1" x="657"/>
        <item m="1" x="1320"/>
        <item m="1" x="1101"/>
        <item m="1" x="738"/>
        <item m="1" x="98"/>
        <item m="1" x="2153"/>
        <item m="1" x="1622"/>
        <item m="1" x="881"/>
        <item m="1" x="2080"/>
        <item m="1" x="287"/>
        <item m="1" x="2634"/>
        <item m="1" x="2792"/>
        <item m="1" x="60"/>
        <item m="1" x="1237"/>
        <item m="1" x="3113"/>
        <item m="1" x="1362"/>
        <item m="1" x="2460"/>
        <item m="1" x="13"/>
        <item m="1" x="930"/>
        <item m="1" x="3029"/>
        <item m="1" x="415"/>
        <item m="1" x="2414"/>
        <item m="1" x="2161"/>
        <item m="1" x="2691"/>
        <item m="1" x="2320"/>
        <item m="1" x="320"/>
        <item m="1" x="3056"/>
        <item m="1" x="166"/>
        <item m="1" x="339"/>
        <item m="1" x="1327"/>
        <item m="1" x="2269"/>
        <item m="1" x="1321"/>
        <item m="1" x="1993"/>
        <item m="1" x="2903"/>
        <item m="1" x="567"/>
        <item m="1" x="531"/>
        <item m="1" x="2640"/>
        <item m="1" x="700"/>
        <item m="1" x="492"/>
        <item m="1" x="566"/>
        <item m="1" x="261"/>
        <item m="1" x="1009"/>
        <item m="1" x="2938"/>
        <item m="1" x="469"/>
        <item m="1" x="1230"/>
        <item m="1" x="2503"/>
        <item m="1" x="2365"/>
        <item m="1" x="2423"/>
        <item m="1" x="966"/>
        <item m="1" x="2221"/>
        <item m="1" x="3213"/>
        <item m="1" x="2197"/>
        <item m="1" x="3016"/>
        <item m="1" x="1672"/>
        <item m="1" x="1676"/>
        <item m="1" x="253"/>
        <item m="1" x="1155"/>
        <item m="1" x="632"/>
        <item m="1" x="1045"/>
        <item m="1" x="2977"/>
        <item m="1" x="8"/>
        <item m="1" x="863"/>
        <item m="1" x="2367"/>
        <item m="1" x="2569"/>
        <item m="1" x="1382"/>
        <item m="1" x="2794"/>
        <item m="1" x="1539"/>
        <item m="1" x="1779"/>
        <item m="1" x="850"/>
        <item m="1" x="2982"/>
        <item m="1" x="1807"/>
        <item m="1" x="3005"/>
        <item m="1" x="1938"/>
        <item m="1" x="313"/>
        <item m="1" x="2438"/>
        <item m="1" x="316"/>
        <item m="1" x="2333"/>
        <item m="1" x="243"/>
        <item m="1" x="1092"/>
        <item m="1" x="1695"/>
        <item m="1" x="2474"/>
        <item m="1" x="964"/>
        <item m="1" x="2805"/>
        <item m="1" x="1507"/>
        <item m="1" x="129"/>
        <item m="1" x="1755"/>
        <item m="1" x="133"/>
        <item m="1" x="3169"/>
        <item m="1" x="2649"/>
        <item m="1" x="2645"/>
        <item m="1" x="2252"/>
        <item m="1" x="2435"/>
        <item m="1" x="2648"/>
        <item m="1" x="697"/>
        <item m="1" x="736"/>
        <item m="1" x="2257"/>
        <item m="1" x="2284"/>
        <item m="1" x="1083"/>
        <item m="1" x="2486"/>
        <item m="1" x="2693"/>
        <item m="1" x="1263"/>
        <item m="1" x="406"/>
        <item m="1" x="658"/>
        <item m="1" x="900"/>
        <item m="1" x="2287"/>
        <item m="1" x="843"/>
        <item m="1" x="1200"/>
        <item m="1" x="2266"/>
        <item m="1" x="2954"/>
        <item m="1" x="1264"/>
        <item m="1" x="3119"/>
        <item m="1" x="1971"/>
        <item m="1" x="2810"/>
        <item m="1" x="518"/>
        <item m="1" x="2317"/>
        <item m="1" x="3058"/>
        <item m="1" x="1784"/>
        <item m="1" x="984"/>
        <item m="1" x="207"/>
        <item m="1" x="28"/>
        <item m="1" x="16"/>
        <item m="1" x="50"/>
        <item m="1" x="1618"/>
        <item m="1" x="3045"/>
        <item m="1" x="3181"/>
        <item m="1" x="1348"/>
        <item m="1" x="1996"/>
        <item m="1" x="731"/>
        <item m="1" x="2941"/>
        <item m="1" x="2561"/>
        <item m="1" x="266"/>
        <item m="1" x="3076"/>
        <item m="1" x="1341"/>
        <item m="1" x="1027"/>
        <item m="1" x="2390"/>
        <item m="1" x="939"/>
        <item m="1" x="1015"/>
        <item m="1" x="1002"/>
        <item m="1" x="1470"/>
        <item m="1" x="800"/>
        <item m="1" x="1445"/>
        <item m="1" x="49"/>
        <item m="1" x="1983"/>
        <item m="1" x="2621"/>
        <item m="1" x="386"/>
        <item m="1" x="2915"/>
        <item m="1" x="1041"/>
        <item m="1" x="410"/>
        <item m="1" x="1729"/>
        <item m="1" x="1817"/>
        <item m="1" x="2401"/>
        <item m="1" x="2708"/>
        <item m="1" x="1039"/>
        <item m="1" x="1841"/>
        <item m="1" x="351"/>
        <item m="1" x="754"/>
        <item m="1" x="3222"/>
        <item m="1" x="1792"/>
        <item m="1" x="2476"/>
        <item m="1" x="2735"/>
        <item m="1" x="2208"/>
        <item m="1" x="1969"/>
        <item m="1" x="582"/>
        <item m="1" x="104"/>
        <item m="1" x="2550"/>
        <item m="1" x="726"/>
        <item m="1" x="1487"/>
        <item m="1" x="2343"/>
        <item m="1" x="2196"/>
        <item m="1" x="2968"/>
        <item m="1" x="1804"/>
        <item m="1" x="2341"/>
        <item m="1" x="2901"/>
        <item m="1" x="2220"/>
        <item m="1" x="2480"/>
        <item m="1" x="391"/>
        <item m="1" x="2589"/>
        <item m="1" x="381"/>
        <item m="1" x="1671"/>
        <item m="1" x="332"/>
        <item m="1" x="896"/>
        <item m="1" x="1522"/>
        <item m="1" x="766"/>
        <item m="1" x="2325"/>
        <item m="1" x="322"/>
        <item m="1" x="1416"/>
        <item m="1" x="1482"/>
        <item m="1" x="1935"/>
        <item m="1" x="1640"/>
        <item m="1" x="318"/>
        <item m="1" x="523"/>
        <item m="1" x="2245"/>
        <item m="1" x="1329"/>
        <item m="1" x="2219"/>
        <item m="1" x="2933"/>
        <item m="1" x="895"/>
        <item m="1" x="2721"/>
        <item m="1" x="2523"/>
        <item m="1" x="2201"/>
        <item m="1" x="1909"/>
        <item m="1" x="2876"/>
        <item m="1" x="1174"/>
        <item m="1" x="2040"/>
        <item m="1" x="1110"/>
        <item m="1" x="623"/>
        <item m="1" x="667"/>
        <item m="1" x="2337"/>
        <item m="1" x="187"/>
        <item m="1" x="990"/>
        <item m="1" x="1544"/>
        <item m="1" x="2057"/>
        <item m="1" x="625"/>
        <item m="1" x="1047"/>
        <item m="1" x="2363"/>
        <item m="1" x="2328"/>
        <item m="1" x="1157"/>
        <item m="1" x="2075"/>
        <item m="1" x="2453"/>
        <item m="1" x="474"/>
        <item m="1" x="1177"/>
        <item m="1" x="1022"/>
        <item m="1" x="2961"/>
        <item m="1" x="823"/>
        <item m="1" x="3187"/>
        <item m="1" x="849"/>
        <item m="1" x="2303"/>
        <item m="1" x="74"/>
        <item m="1" x="2321"/>
        <item m="1" x="883"/>
        <item m="1" x="168"/>
        <item m="1" x="248"/>
        <item m="1" x="1168"/>
        <item m="1" x="908"/>
        <item m="1" x="1681"/>
        <item m="1" x="141"/>
        <item m="1" x="2234"/>
        <item m="1" x="699"/>
        <item m="1" x="2177"/>
        <item m="1" x="1942"/>
        <item m="1" x="2433"/>
        <item m="1" x="695"/>
        <item m="1" x="1525"/>
        <item m="1" x="175"/>
        <item m="1" x="3025"/>
        <item m="1" x="337"/>
        <item m="1" x="3204"/>
        <item m="1" x="563"/>
        <item m="1" x="2104"/>
        <item m="1" x="688"/>
        <item m="1" x="2874"/>
        <item m="1" x="2978"/>
        <item m="1" x="3140"/>
        <item m="1" x="2146"/>
        <item m="1" x="1690"/>
        <item m="1" x="3080"/>
        <item m="1" x="477"/>
        <item m="1" x="2937"/>
        <item m="1" x="1900"/>
        <item m="1" x="3017"/>
        <item m="1" x="671"/>
        <item m="1" x="1851"/>
        <item m="1" x="1284"/>
        <item m="1" x="841"/>
        <item m="1" x="1633"/>
        <item m="1" x="645"/>
        <item m="1" x="650"/>
        <item m="1" x="2963"/>
        <item m="1" x="2253"/>
        <item m="1" x="874"/>
        <item m="1" x="2255"/>
        <item m="1" x="1018"/>
        <item m="1" x="508"/>
        <item m="1" x="1302"/>
        <item m="1" x="1126"/>
        <item m="1" x="1632"/>
        <item m="1" x="940"/>
        <item m="1" x="325"/>
        <item m="1" x="1103"/>
        <item m="1" x="2056"/>
        <item m="1" x="2142"/>
        <item m="1" x="2105"/>
        <item m="1" x="1143"/>
        <item m="1" x="2980"/>
        <item m="1" x="969"/>
        <item m="1" x="792"/>
        <item m="1" x="1984"/>
        <item m="1" x="2658"/>
        <item m="1" x="1879"/>
        <item m="1" x="99"/>
        <item m="1" x="1025"/>
        <item m="1" x="3160"/>
        <item m="1" x="1585"/>
        <item m="1" x="1255"/>
        <item m="1" x="1193"/>
        <item m="1" x="1576"/>
        <item m="1" x="2395"/>
        <item m="1" x="19"/>
        <item m="1" x="165"/>
        <item m="1" x="444"/>
        <item m="1" x="1759"/>
        <item m="1" x="1803"/>
        <item m="1" x="1524"/>
        <item m="1" x="1740"/>
        <item m="1" x="1589"/>
        <item m="1" x="549"/>
        <item m="1" x="292"/>
        <item m="1" x="1228"/>
        <item m="1" x="3198"/>
        <item m="1" x="1331"/>
        <item m="1" x="814"/>
        <item m="1" x="1925"/>
        <item m="1" x="3091"/>
        <item m="1" x="2581"/>
        <item m="1" x="2519"/>
        <item m="1" x="2296"/>
        <item m="1" x="780"/>
        <item m="1" x="734"/>
        <item m="1" x="2451"/>
        <item m="1" x="1898"/>
        <item m="1" x="2654"/>
        <item m="1" x="887"/>
        <item m="1" x="257"/>
        <item m="1" x="2679"/>
        <item m="1" x="1137"/>
        <item m="1" x="1612"/>
        <item m="1" x="660"/>
        <item m="1" x="2831"/>
        <item m="1" x="2407"/>
        <item m="1" x="1257"/>
        <item m="1" x="2493"/>
        <item m="1" x="1549"/>
        <item m="1" x="2740"/>
        <item m="1" x="3183"/>
        <item m="1" x="3174"/>
        <item m="1" x="991"/>
        <item m="1" x="607"/>
        <item m="1" x="596"/>
        <item m="1" x="436"/>
        <item m="1" x="1298"/>
        <item m="1" x="866"/>
        <item m="1" x="373"/>
        <item m="1" x="1374"/>
        <item m="1" x="1853"/>
        <item m="1" x="1440"/>
        <item m="1" x="1151"/>
        <item m="1" x="2563"/>
        <item m="1" x="2020"/>
        <item m="1" x="1347"/>
        <item m="1" x="753"/>
        <item m="1" x="3008"/>
        <item m="1" x="1274"/>
        <item m="1" x="1016"/>
        <item m="1" x="23"/>
        <item m="1" x="2415"/>
        <item m="1" x="1858"/>
        <item m="1" x="1124"/>
        <item m="1" x="1952"/>
        <item m="1" x="376"/>
        <item m="1" x="2214"/>
        <item m="1" x="431"/>
        <item m="1" x="1614"/>
        <item m="1" x="1358"/>
        <item m="1" x="3133"/>
        <item m="1" x="241"/>
        <item m="1" x="1119"/>
        <item m="1" x="2340"/>
        <item m="1" x="2852"/>
        <item m="1" x="59"/>
        <item m="1" x="2248"/>
        <item m="1" x="1080"/>
        <item m="1" x="392"/>
        <item m="1" x="2198"/>
        <item m="1" x="1289"/>
        <item m="1" x="1930"/>
        <item m="1" x="1592"/>
        <item m="1" x="1609"/>
        <item m="1" x="3192"/>
        <item m="1" x="2297"/>
        <item m="1" x="1705"/>
        <item m="1" x="1637"/>
        <item m="1" x="1581"/>
        <item m="1" x="1036"/>
        <item m="1" x="903"/>
        <item m="1" x="384"/>
        <item m="1" x="442"/>
        <item m="1" x="155"/>
        <item m="1" x="2757"/>
        <item m="1" x="2316"/>
        <item m="1" x="2211"/>
        <item m="1" x="3161"/>
        <item m="1" x="2864"/>
        <item m="1" x="1936"/>
        <item m="1" x="979"/>
        <item m="1" x="1399"/>
        <item m="1" x="1249"/>
        <item m="1" x="2256"/>
        <item m="1" x="2368"/>
        <item m="1" x="1751"/>
        <item m="1" x="1261"/>
        <item m="1" x="2251"/>
        <item m="1" x="2770"/>
        <item m="1" x="438"/>
        <item m="1" x="2283"/>
        <item m="1" x="2311"/>
        <item m="1" x="610"/>
        <item m="1" x="3120"/>
        <item m="1" x="237"/>
        <item m="1" x="2659"/>
        <item m="1" x="2971"/>
        <item m="1" x="1370"/>
        <item m="1" x="3032"/>
        <item m="1" x="2278"/>
        <item m="1" x="1813"/>
        <item m="1" x="1895"/>
        <item m="1" x="212"/>
        <item m="1" x="1068"/>
        <item m="1" x="216"/>
        <item m="1" x="2217"/>
        <item m="1" x="2534"/>
        <item m="1" x="2950"/>
        <item m="1" x="2760"/>
        <item m="1" x="1121"/>
        <item m="1" x="1872"/>
        <item m="1" x="2455"/>
        <item m="1" x="1387"/>
        <item m="1" x="2927"/>
        <item m="1" x="2525"/>
        <item m="1" x="3019"/>
        <item m="1" x="1087"/>
        <item m="1" x="1786"/>
        <item m="1" x="0"/>
        <item m="1" x="1295"/>
        <item m="1" x="3166"/>
        <item m="1" x="3043"/>
        <item m="1" x="836"/>
        <item m="1" x="1049"/>
        <item m="1" x="746"/>
        <item m="1" x="1326"/>
        <item m="1" x="1269"/>
        <item m="1" x="1181"/>
        <item m="1" x="1465"/>
        <item m="1" x="2619"/>
        <item m="1" x="1043"/>
        <item m="1" x="1486"/>
        <item m="1" x="2711"/>
        <item m="1" x="2332"/>
        <item m="1" x="2326"/>
        <item m="1" x="2292"/>
        <item m="1" x="2089"/>
        <item m="1" x="2984"/>
        <item m="1" x="2508"/>
        <item m="1" x="296"/>
        <item m="1" x="2336"/>
        <item m="1" x="1865"/>
        <item m="1" x="3218"/>
        <item m="1" x="2692"/>
        <item m="1" x="509"/>
        <item m="1" x="179"/>
        <item m="1" x="3052"/>
        <item m="1" x="249"/>
        <item m="1" x="1717"/>
        <item m="1" x="1657"/>
        <item m="1" x="2684"/>
        <item m="1" x="2694"/>
        <item m="1" x="2696"/>
        <item m="1" x="1827"/>
        <item m="1" x="5"/>
        <item m="1" x="239"/>
        <item m="1" x="2970"/>
        <item m="1" x="1714"/>
        <item m="1" x="1686"/>
        <item m="1" x="1523"/>
        <item m="1" x="2380"/>
        <item m="1" x="111"/>
        <item m="1" x="2650"/>
        <item m="1" x="11"/>
        <item m="1" x="482"/>
        <item m="1" x="1806"/>
        <item m="1" x="3137"/>
        <item m="1" x="985"/>
        <item m="1" x="2511"/>
        <item m="1" x="451"/>
        <item m="1" x="1848"/>
        <item m="1" x="1565"/>
        <item m="1" x="1728"/>
        <item m="1" x="1345"/>
        <item m="1" x="2637"/>
        <item m="1" x="1203"/>
        <item m="1" x="1409"/>
        <item m="1" x="1877"/>
        <item m="1" x="1156"/>
        <item m="1" x="1999"/>
        <item m="1" x="2063"/>
        <item m="1" x="1452"/>
        <item m="1" x="3026"/>
        <item m="1" x="703"/>
        <item m="1" x="302"/>
        <item m="1" x="2702"/>
        <item m="1" x="1449"/>
        <item m="1" x="2553"/>
        <item m="1" x="784"/>
        <item m="1" x="2877"/>
        <item m="1" x="312"/>
        <item m="1" x="2016"/>
        <item m="1" x="1064"/>
        <item m="1" x="2558"/>
        <item m="1" x="1745"/>
        <item m="1" x="372"/>
        <item m="1" x="589"/>
        <item m="1" x="1887"/>
        <item m="1" x="2606"/>
        <item m="1" x="361"/>
        <item m="1" x="1629"/>
        <item m="1" x="153"/>
        <item m="1" x="1975"/>
        <item m="1" x="2799"/>
        <item m="1" x="1364"/>
        <item m="1" x="1931"/>
        <item m="1" x="2329"/>
        <item m="1" x="1280"/>
        <item m="1" x="1432"/>
        <item m="1" x="1368"/>
        <item m="1" x="2957"/>
        <item m="1" x="2952"/>
        <item m="1" x="1577"/>
        <item m="1" x="1096"/>
        <item m="1" x="1208"/>
        <item m="1" x="2586"/>
        <item m="1" x="476"/>
        <item m="1" x="1515"/>
        <item m="1" x="1661"/>
        <item m="1" x="3"/>
        <item m="1" x="2824"/>
        <item m="1" x="1301"/>
        <item m="1" x="1031"/>
        <item m="1" x="1665"/>
        <item m="1" x="1147"/>
        <item m="1" x="807"/>
        <item m="1" x="1727"/>
        <item m="1" x="204"/>
        <item m="1" x="335"/>
        <item m="1" x="1450"/>
        <item m="1" x="3089"/>
        <item m="1" x="1153"/>
        <item m="1" x="1593"/>
        <item m="1" x="2392"/>
        <item m="1" x="536"/>
        <item m="1" x="602"/>
        <item m="1" x="2405"/>
        <item m="1" x="3037"/>
        <item m="1" x="917"/>
        <item m="1" x="553"/>
        <item m="1" x="661"/>
        <item m="1" x="781"/>
        <item m="1" x="370"/>
        <item m="1" x="2472"/>
        <item m="1" x="328"/>
        <item m="1" x="2242"/>
        <item m="1" x="839"/>
        <item m="1" x="220"/>
        <item m="1" x="2428"/>
        <item m="1" x="1377"/>
        <item m="1" x="795"/>
        <item m="1" x="1017"/>
        <item m="1" x="341"/>
        <item m="1" x="1810"/>
        <item m="1" x="262"/>
        <item m="1" x="2346"/>
        <item m="1" x="1973"/>
        <item m="1" x="2979"/>
        <item m="1" x="251"/>
        <item m="1" x="3167"/>
        <item m="1" x="2458"/>
        <item m="1" x="1573"/>
        <item m="1" x="806"/>
        <item m="1" x="1008"/>
        <item m="1" x="2377"/>
        <item m="1" x="467"/>
        <item m="1" x="1568"/>
        <item m="1" x="1472"/>
        <item m="1" x="1844"/>
        <item m="1" x="1619"/>
        <item m="1" x="3004"/>
        <item m="1" x="805"/>
        <item m="1" x="1173"/>
        <item m="1" x="2622"/>
        <item m="1" x="2920"/>
        <item m="1" x="2967"/>
        <item m="1" x="591"/>
        <item m="1" x="480"/>
        <item m="1" x="2657"/>
        <item m="1" x="1994"/>
        <item m="1" x="768"/>
        <item m="1" x="1508"/>
        <item m="1" x="1782"/>
        <item m="1" x="1076"/>
        <item m="1" x="587"/>
        <item m="1" x="2094"/>
        <item m="1" x="1659"/>
        <item m="1" x="2250"/>
        <item m="1" x="2473"/>
        <item m="1" x="2601"/>
        <item m="1" x="2671"/>
        <item m="1" x="830"/>
        <item m="1" x="377"/>
        <item m="1" x="638"/>
        <item m="1" x="473"/>
        <item m="1" x="309"/>
        <item m="1" x="2575"/>
        <item m="1" x="593"/>
        <item m="1" x="651"/>
        <item m="1" x="1159"/>
        <item m="1" x="1283"/>
        <item m="1" x="679"/>
        <item m="1" x="905"/>
        <item m="1" x="1701"/>
        <item m="1" x="2667"/>
        <item m="1" x="1478"/>
        <item m="1" x="1808"/>
        <item m="1" x="2945"/>
        <item m="1" x="2990"/>
        <item m="1" x="1723"/>
        <item m="1" x="2280"/>
        <item m="1" x="2470"/>
        <item m="1" x="1739"/>
        <item m="1" x="2666"/>
        <item m="1" x="145"/>
        <item m="1" x="35"/>
        <item m="1" x="1514"/>
        <item m="1" x="1605"/>
        <item m="1" x="1388"/>
        <item m="1" x="997"/>
        <item m="1" x="730"/>
        <item m="1" x="1744"/>
        <item m="1" x="1870"/>
        <item m="1" x="1715"/>
        <item m="1" x="1674"/>
        <item m="1" x="2583"/>
        <item m="1" x="1386"/>
        <item m="1" x="2592"/>
        <item m="1" x="3211"/>
        <item m="1" x="1977"/>
        <item m="1" x="3062"/>
        <item m="1" x="2293"/>
        <item m="1" x="3028"/>
        <item m="1" x="1182"/>
        <item m="1" x="1980"/>
        <item m="1" x="256"/>
        <item m="1" x="87"/>
        <item m="1" x="107"/>
        <item m="1" x="1830"/>
        <item m="1" x="897"/>
        <item m="1" x="2029"/>
        <item m="1" x="275"/>
        <item m="1" x="360"/>
        <item m="1" x="452"/>
        <item m="1" x="454"/>
        <item m="1" x="3033"/>
        <item m="1" x="2700"/>
        <item m="1" x="1948"/>
        <item m="1" x="2922"/>
        <item m="1" x="1823"/>
        <item m="1" x="2490"/>
        <item m="1" x="1402"/>
        <item m="1" x="503"/>
        <item m="1" x="686"/>
        <item m="1" x="2545"/>
        <item m="1" x="2647"/>
        <item m="1" x="1781"/>
        <item m="1" x="2731"/>
        <item m="1" x="977"/>
        <item m="1" x="2764"/>
        <item m="1" x="1607"/>
        <item m="1" x="2566"/>
        <item m="1" x="3219"/>
        <item m="1" x="2884"/>
        <item m="1" x="1500"/>
        <item m="1" x="945"/>
        <item m="1" x="2191"/>
        <item m="1" x="916"/>
        <item m="1" x="1845"/>
        <item m="1" x="2646"/>
        <item m="1" x="1412"/>
        <item m="1" x="1598"/>
        <item m="1" x="804"/>
        <item m="1" x="1055"/>
        <item m="1" x="1085"/>
        <item m="1" x="2416"/>
        <item m="1" x="2178"/>
        <item m="1" x="2037"/>
        <item m="1" x="1574"/>
        <item m="1" x="1305"/>
        <item m="1" x="400"/>
        <item m="1" x="2611"/>
        <item m="1" x="154"/>
        <item m="1" x="3144"/>
        <item m="1" x="1474"/>
        <item m="1" x="837"/>
        <item m="1" x="2521"/>
        <item m="1" x="2808"/>
        <item m="1" x="1108"/>
        <item m="1" x="2090"/>
        <item m="1" x="1243"/>
        <item m="1" x="411"/>
        <item m="1" x="3044"/>
        <item m="1" x="624"/>
        <item m="1" x="1595"/>
        <item m="1" x="1551"/>
        <item m="1" x="2128"/>
        <item m="1" x="2072"/>
        <item m="1" x="2600"/>
        <item m="1" x="2271"/>
        <item m="1" x="2924"/>
        <item m="1" x="2676"/>
        <item m="1" x="898"/>
        <item m="1" x="1526"/>
        <item m="1" x="294"/>
        <item m="1" x="2610"/>
        <item m="1" x="1385"/>
        <item m="1" x="1430"/>
        <item m="1" x="398"/>
        <item m="1" x="1293"/>
        <item m="1" x="2759"/>
        <item m="1" x="664"/>
        <item m="1" x="891"/>
        <item m="1" x="1801"/>
        <item m="1" x="1802"/>
        <item m="1" x="943"/>
        <item m="1" x="1111"/>
        <item m="1" x="2330"/>
        <item m="1" x="555"/>
        <item m="1" x="1761"/>
        <item m="1" x="355"/>
        <item m="1" x="495"/>
        <item m="1" x="2860"/>
        <item m="1" x="1069"/>
        <item m="1" x="3215"/>
        <item m="1" x="447"/>
        <item m="1" x="315"/>
        <item m="1" x="3210"/>
        <item m="1" x="690"/>
        <item m="1" x="1616"/>
        <item m="1" x="597"/>
        <item m="1" x="1294"/>
        <item m="1" x="3106"/>
        <item m="1" x="2432"/>
        <item m="1" x="2334"/>
        <item m="1" x="1493"/>
        <item m="1" x="2027"/>
        <item m="1" x="1384"/>
        <item m="1" x="960"/>
        <item m="1" x="1818"/>
        <item m="1" x="852"/>
        <item m="1" x="1248"/>
        <item m="1" x="310"/>
        <item m="1" x="1662"/>
        <item m="1" x="1923"/>
        <item m="1" x="3039"/>
        <item m="1" x="1567"/>
        <item m="1" x="158"/>
        <item m="1" x="1987"/>
        <item m="1" x="2200"/>
        <item m="1" x="2576"/>
        <item m="1" x="280"/>
        <item m="1" x="1054"/>
        <item m="1" x="1421"/>
        <item m="1" x="2769"/>
        <item m="1" x="1896"/>
        <item m="1" x="1459"/>
        <item m="1" x="911"/>
        <item m="1" x="487"/>
        <item m="1" x="532"/>
        <item m="1" x="517"/>
        <item m="1" x="2966"/>
        <item m="1" x="2354"/>
        <item m="1" x="2184"/>
        <item m="1" x="1172"/>
        <item m="1" x="2916"/>
        <item m="1" x="2427"/>
        <item m="1" x="1060"/>
        <item m="1" x="2912"/>
        <item m="1" x="388"/>
        <item m="1" x="12"/>
        <item m="1" x="1941"/>
        <item m="1" x="1968"/>
        <item m="1" x="3163"/>
        <item m="1" x="733"/>
        <item m="1" x="944"/>
        <item m="1" x="150"/>
        <item m="1" x="520"/>
        <item m="1" x="1344"/>
        <item m="1" x="2868"/>
        <item m="1" x="159"/>
        <item m="1" x="2488"/>
        <item m="1" x="425"/>
        <item m="1" x="1677"/>
        <item m="1" x="3048"/>
        <item m="1" x="1046"/>
        <item m="1" x="642"/>
        <item m="1" x="1067"/>
        <item m="1" x="954"/>
        <item m="1" x="3150"/>
        <item m="1" x="2838"/>
        <item m="1" x="45"/>
        <item m="1" x="711"/>
        <item m="1" x="1670"/>
        <item m="1" x="826"/>
        <item m="1" x="2112"/>
        <item m="1" x="151"/>
        <item m="1" x="2932"/>
        <item m="1" x="2854"/>
        <item m="1" x="1034"/>
        <item m="1" x="1910"/>
        <item m="1" x="1912"/>
        <item m="1" x="1979"/>
        <item m="1" x="2060"/>
        <item m="1" x="956"/>
        <item m="1" x="1814"/>
        <item m="1" x="1908"/>
        <item m="1" x="227"/>
        <item m="1" x="1866"/>
        <item m="1" x="1869"/>
        <item m="1" x="63"/>
        <item m="1" x="3158"/>
        <item m="1" x="2024"/>
        <item m="1" x="1429"/>
        <item m="1" x="2803"/>
        <item m="1" x="712"/>
        <item m="1" x="379"/>
        <item m="1" x="980"/>
        <item m="1" x="2466"/>
        <item m="1" x="1837"/>
        <item m="1" x="1787"/>
        <item m="1" x="729"/>
        <item m="1" x="2998"/>
        <item m="1" x="2766"/>
        <item m="1" x="1495"/>
        <item m="1" x="1405"/>
        <item m="1" x="1234"/>
        <item m="1" x="233"/>
        <item m="1" x="611"/>
        <item m="1" x="3129"/>
        <item m="1" x="2745"/>
        <item m="1" x="234"/>
        <item m="1" x="2318"/>
        <item m="1" x="2663"/>
        <item t="default"/>
      </items>
    </pivotField>
    <pivotField axis="axisPage" showAll="0">
      <items count="3228">
        <item m="1" x="0"/>
        <item m="1" x="1430"/>
        <item m="1" x="1268"/>
        <item m="1" x="1838"/>
        <item m="1" x="2173"/>
        <item m="1" x="1679"/>
        <item m="1" x="1976"/>
        <item m="1" x="2068"/>
        <item m="1" x="1197"/>
        <item m="1" x="1239"/>
        <item m="1" x="3100"/>
        <item m="1" x="3131"/>
        <item m="1" x="2896"/>
        <item m="1" x="844"/>
        <item m="1" x="2453"/>
        <item m="1" x="2498"/>
        <item m="1" x="1211"/>
        <item m="1" x="719"/>
        <item m="1" x="2178"/>
        <item m="1" x="82"/>
        <item m="1" x="334"/>
        <item m="1" x="12"/>
        <item m="1" x="483"/>
        <item m="1" x="1481"/>
        <item m="1" x="904"/>
        <item m="1" x="2878"/>
        <item m="1" x="2558"/>
        <item m="1" x="512"/>
        <item m="1" x="2592"/>
        <item m="1" x="2175"/>
        <item m="1" x="2265"/>
        <item m="1" x="2001"/>
        <item m="1" x="2096"/>
        <item m="1" x="302"/>
        <item m="1" x="2604"/>
        <item m="1" x="1276"/>
        <item m="1" x="217"/>
        <item m="1" x="1479"/>
        <item m="1" x="764"/>
        <item m="1" x="2250"/>
        <item m="1" x="3139"/>
        <item m="1" x="964"/>
        <item m="1" x="270"/>
        <item m="1" x="2913"/>
        <item m="1" x="1103"/>
        <item m="1" x="867"/>
        <item m="1" x="956"/>
        <item m="1" x="2021"/>
        <item m="1" x="1531"/>
        <item m="1" x="130"/>
        <item m="1" x="2422"/>
        <item m="1" x="727"/>
        <item m="1" x="1825"/>
        <item m="1" x="211"/>
        <item m="1" x="1350"/>
        <item m="1" x="590"/>
        <item m="1" x="2733"/>
        <item m="1" x="2351"/>
        <item m="1" x="936"/>
        <item m="1" x="1875"/>
        <item m="1" x="3075"/>
        <item m="1" x="1745"/>
        <item m="1" x="2030"/>
        <item m="1" x="2872"/>
        <item m="1" x="1649"/>
        <item m="1" x="1685"/>
        <item m="1" x="1727"/>
        <item m="1" x="1763"/>
        <item m="1" x="1499"/>
        <item m="1" x="1658"/>
        <item m="1" x="1270"/>
        <item m="1" x="1574"/>
        <item m="1" x="1037"/>
        <item m="1" x="2593"/>
        <item m="1" x="2052"/>
        <item m="1" x="1224"/>
        <item m="1" x="1769"/>
        <item m="1" x="371"/>
        <item m="1" x="2285"/>
        <item m="1" x="2780"/>
        <item m="1" x="975"/>
        <item m="1" x="2251"/>
        <item m="1" x="2853"/>
        <item m="1" x="1548"/>
        <item m="1" x="2744"/>
        <item m="1" x="1164"/>
        <item m="1" x="151"/>
        <item m="1" x="1181"/>
        <item m="1" x="1591"/>
        <item m="1" x="312"/>
        <item m="1" x="897"/>
        <item m="1" x="2877"/>
        <item m="1" x="1407"/>
        <item m="1" x="1343"/>
        <item m="1" x="289"/>
        <item m="1" x="587"/>
        <item m="1" x="802"/>
        <item m="1" x="3149"/>
        <item m="1" x="2414"/>
        <item m="1" x="1156"/>
        <item m="1" x="1698"/>
        <item m="1" x="1076"/>
        <item m="1" x="2449"/>
        <item m="1" x="2588"/>
        <item m="1" x="515"/>
        <item m="1" x="1365"/>
        <item m="1" x="86"/>
        <item m="1" x="198"/>
        <item m="1" x="871"/>
        <item m="1" x="2456"/>
        <item m="1" x="2628"/>
        <item m="1" x="2339"/>
        <item m="1" x="2711"/>
        <item m="1" x="1910"/>
        <item m="1" x="1166"/>
        <item m="1" x="3073"/>
        <item m="1" x="2124"/>
        <item m="1" x="440"/>
        <item m="1" x="275"/>
        <item m="1" x="1252"/>
        <item m="1" x="966"/>
        <item m="1" x="2833"/>
        <item m="1" x="1323"/>
        <item m="1" x="2951"/>
        <item m="1" x="1436"/>
        <item m="1" x="743"/>
        <item m="1" x="157"/>
        <item m="1" x="2382"/>
        <item m="1" x="2363"/>
        <item m="1" x="2362"/>
        <item m="1" x="1777"/>
        <item m="1" x="3104"/>
        <item m="1" x="2162"/>
        <item m="1" x="2476"/>
        <item m="1" x="2297"/>
        <item m="1" x="1442"/>
        <item m="1" x="2696"/>
        <item m="1" x="2787"/>
        <item m="1" x="14"/>
        <item m="1" x="2749"/>
        <item m="1" x="872"/>
        <item m="1" x="460"/>
        <item m="1" x="329"/>
        <item m="1" x="292"/>
        <item m="1" x="948"/>
        <item m="1" x="668"/>
        <item m="1" x="3111"/>
        <item m="1" x="1476"/>
        <item m="1" x="2023"/>
        <item m="1" x="1090"/>
        <item m="1" x="2920"/>
        <item m="1" x="3150"/>
        <item m="1" x="301"/>
        <item m="1" x="1241"/>
        <item m="1" x="916"/>
        <item m="1" x="2148"/>
        <item m="1" x="2876"/>
        <item m="1" x="952"/>
        <item m="1" x="1578"/>
        <item m="1" x="2972"/>
        <item m="1" x="564"/>
        <item m="1" x="2992"/>
        <item m="1" x="582"/>
        <item m="1" x="689"/>
        <item m="1" x="520"/>
        <item m="1" x="355"/>
        <item m="1" x="2097"/>
        <item m="1" x="3222"/>
        <item m="1" x="2906"/>
        <item m="1" x="3026"/>
        <item m="1" x="3199"/>
        <item m="1" x="1161"/>
        <item m="1" x="1311"/>
        <item m="1" x="612"/>
        <item m="1" x="2292"/>
        <item m="1" x="23"/>
        <item m="1" x="2783"/>
        <item m="1" x="2956"/>
        <item m="1" x="709"/>
        <item m="1" x="776"/>
        <item m="1" x="1560"/>
        <item m="1" x="19"/>
        <item m="1" x="2891"/>
        <item m="1" x="2289"/>
        <item m="1" x="2658"/>
        <item m="1" x="2784"/>
        <item m="1" x="3005"/>
        <item m="1" x="1410"/>
        <item m="1" x="3144"/>
        <item m="1" x="1892"/>
        <item m="1" x="2797"/>
        <item m="1" x="998"/>
        <item m="1" x="3012"/>
        <item m="1" x="3215"/>
        <item m="1" x="1878"/>
        <item m="1" x="2564"/>
        <item m="1" x="1113"/>
        <item m="1" x="1921"/>
        <item m="1" x="3048"/>
        <item m="1" x="1593"/>
        <item m="1" x="1690"/>
        <item m="1" x="3052"/>
        <item m="1" x="2136"/>
        <item m="1" x="358"/>
        <item m="1" x="125"/>
        <item m="1" x="2275"/>
        <item m="1" x="2595"/>
        <item m="1" x="1404"/>
        <item m="1" x="1753"/>
        <item m="1" x="1580"/>
        <item m="1" x="3053"/>
        <item m="1" x="661"/>
        <item m="1" x="2759"/>
        <item m="1" x="3179"/>
        <item m="1" x="2147"/>
        <item m="1" x="2266"/>
        <item m="1" x="1389"/>
        <item m="1" x="83"/>
        <item m="1" x="3051"/>
        <item m="1" x="2857"/>
        <item m="1" x="369"/>
        <item m="1" x="2020"/>
        <item m="1" x="2377"/>
        <item m="1" x="767"/>
        <item m="1" x="2599"/>
        <item m="1" x="2176"/>
        <item m="1" x="1754"/>
        <item m="1" x="517"/>
        <item m="1" x="189"/>
        <item m="1" x="2122"/>
        <item m="1" x="3068"/>
        <item m="1" x="2036"/>
        <item m="1" x="316"/>
        <item m="1" x="685"/>
        <item m="1" x="2314"/>
        <item m="1" x="46"/>
        <item m="1" x="2942"/>
        <item m="1" x="557"/>
        <item m="1" x="3161"/>
        <item m="1" x="20"/>
        <item m="1" x="103"/>
        <item m="1" x="1075"/>
        <item m="1" x="2773"/>
        <item m="1" x="627"/>
        <item m="1" x="704"/>
        <item m="1" x="834"/>
        <item m="1" x="633"/>
        <item m="1" x="2399"/>
        <item m="1" x="2602"/>
        <item m="1" x="1300"/>
        <item m="1" x="657"/>
        <item m="1" x="974"/>
        <item m="1" x="701"/>
        <item m="1" x="2415"/>
        <item m="1" x="1786"/>
        <item m="1" x="1868"/>
        <item m="1" x="412"/>
        <item m="1" x="2724"/>
        <item m="1" x="2242"/>
        <item m="1" x="2687"/>
        <item m="1" x="2566"/>
        <item m="1" x="501"/>
        <item m="1" x="2637"/>
        <item m="1" x="734"/>
        <item m="1" x="2305"/>
        <item m="1" x="978"/>
        <item m="1" x="216"/>
        <item m="1" x="1"/>
        <item m="1" x="893"/>
        <item m="1" x="149"/>
        <item m="1" x="367"/>
        <item m="1" x="1814"/>
        <item m="1" x="498"/>
        <item m="1" x="1395"/>
        <item m="1" x="1740"/>
        <item m="1" x="2867"/>
        <item m="1" x="2506"/>
        <item m="1" x="2062"/>
        <item m="1" x="2227"/>
        <item m="1" x="884"/>
        <item m="1" x="1618"/>
        <item m="1" x="950"/>
        <item m="1" x="1601"/>
        <item m="1" x="1210"/>
        <item m="1" x="1568"/>
        <item m="1" x="875"/>
        <item m="1" x="3067"/>
        <item m="1" x="3120"/>
        <item m="1" x="2017"/>
        <item m="1" x="3058"/>
        <item m="1" x="2324"/>
        <item m="1" x="2915"/>
        <item m="1" x="285"/>
        <item m="1" x="2385"/>
        <item m="1" x="429"/>
        <item m="1" x="1327"/>
        <item m="1" x="269"/>
        <item m="1" x="1734"/>
        <item m="1" x="1971"/>
        <item m="1" x="348"/>
        <item m="1" x="870"/>
        <item m="1" x="438"/>
        <item m="1" x="2725"/>
        <item m="1" x="759"/>
        <item m="1" x="3032"/>
        <item m="1" x="3216"/>
        <item m="1" x="2216"/>
        <item m="1" x="357"/>
        <item m="1" x="880"/>
        <item m="1" x="811"/>
        <item m="1" x="469"/>
        <item m="1" x="2499"/>
        <item m="1" x="2709"/>
        <item m="1" x="2895"/>
        <item m="1" x="3016"/>
        <item m="1" x="2343"/>
        <item m="1" x="3200"/>
        <item m="1" x="1546"/>
        <item m="1" x="2354"/>
        <item m="1" x="481"/>
        <item m="1" x="1863"/>
        <item m="1" x="2050"/>
        <item m="1" x="2648"/>
        <item m="1" x="2208"/>
        <item m="1" x="380"/>
        <item m="1" x="1184"/>
        <item m="1" x="2905"/>
        <item m="1" x="1491"/>
        <item m="1" x="1812"/>
        <item m="1" x="1344"/>
        <item m="1" x="1583"/>
        <item m="1" x="1341"/>
        <item m="1" x="474"/>
        <item m="1" x="1258"/>
        <item m="1" x="213"/>
        <item m="1" x="1571"/>
        <item m="1" x="2717"/>
        <item m="1" x="67"/>
        <item m="1" x="2861"/>
        <item m="1" x="1060"/>
        <item m="1" x="180"/>
        <item m="1" x="1712"/>
        <item m="1" x="451"/>
        <item m="1" x="736"/>
        <item m="1" x="1446"/>
        <item m="1" x="2461"/>
        <item m="1" x="3080"/>
        <item m="1" x="1517"/>
        <item m="1" x="1114"/>
        <item m="1" x="1617"/>
        <item m="1" x="2536"/>
        <item m="1" x="2043"/>
        <item m="1" x="655"/>
        <item m="1" x="1990"/>
        <item m="1" x="170"/>
        <item m="1" x="2002"/>
        <item m="1" x="2522"/>
        <item m="1" x="2541"/>
        <item m="1" x="903"/>
        <item m="1" x="2610"/>
        <item m="1" x="165"/>
        <item m="1" x="1417"/>
        <item m="1" x="1807"/>
        <item m="1" x="1094"/>
        <item m="1" x="2911"/>
        <item m="1" x="177"/>
        <item m="1" x="2338"/>
        <item m="1" x="2087"/>
        <item m="1" x="1176"/>
        <item m="1" x="3140"/>
        <item m="1" x="2210"/>
        <item m="1" x="160"/>
        <item m="1" x="2659"/>
        <item m="1" x="2614"/>
        <item m="1" x="992"/>
        <item m="1" x="2009"/>
        <item m="1" x="41"/>
        <item m="1" x="1431"/>
        <item m="1" x="2394"/>
        <item m="1" x="339"/>
        <item m="1" x="2112"/>
        <item m="1" x="409"/>
        <item m="1" x="3219"/>
        <item m="1" x="3106"/>
        <item m="1" x="2215"/>
        <item m="1" x="1064"/>
        <item m="1" x="1613"/>
        <item m="1" x="1616"/>
        <item m="1" x="1749"/>
        <item m="1" x="2142"/>
        <item m="1" x="1775"/>
        <item m="1" x="2487"/>
        <item m="1" x="2072"/>
        <item m="1" x="656"/>
        <item m="1" x="2375"/>
        <item m="1" x="2999"/>
        <item m="1" x="1746"/>
        <item m="1" x="1687"/>
        <item m="1" x="1507"/>
        <item m="1" x="1337"/>
        <item m="1" x="854"/>
        <item m="1" x="1974"/>
        <item m="1" x="2630"/>
        <item m="1" x="535"/>
        <item m="1" x="1115"/>
        <item m="1" x="999"/>
        <item m="1" x="1266"/>
        <item m="1" x="2947"/>
        <item m="1" x="1802"/>
        <item m="1" x="1955"/>
        <item m="1" x="2123"/>
        <item m="1" x="2277"/>
        <item m="1" x="446"/>
        <item m="1" x="1009"/>
        <item m="1" x="3176"/>
        <item m="1" x="2684"/>
        <item m="1" x="454"/>
        <item m="1" x="313"/>
        <item m="1" x="819"/>
        <item m="1" x="1799"/>
        <item m="1" x="1960"/>
        <item m="1" x="2032"/>
        <item m="1" x="276"/>
        <item m="1" x="238"/>
        <item m="1" x="851"/>
        <item m="1" x="2495"/>
        <item m="1" x="2222"/>
        <item m="1" x="1359"/>
        <item m="1" x="3159"/>
        <item m="1" x="2031"/>
        <item m="1" x="1506"/>
        <item m="1" x="2837"/>
        <item m="1" x="178"/>
        <item m="1" x="1419"/>
        <item m="1" x="1936"/>
        <item m="1" x="2677"/>
        <item m="1" x="1259"/>
        <item m="1" x="739"/>
        <item m="1" x="2900"/>
        <item m="1" x="1869"/>
        <item m="1" x="2642"/>
        <item m="1" x="222"/>
        <item m="1" x="1604"/>
        <item m="1" x="2114"/>
        <item m="1" x="2160"/>
        <item m="1" x="733"/>
        <item m="1" x="2384"/>
        <item m="1" x="1326"/>
        <item m="1" x="1988"/>
        <item m="1" x="1355"/>
        <item m="1" x="1362"/>
        <item m="1" x="874"/>
        <item m="1" x="539"/>
        <item m="1" x="941"/>
        <item m="1" x="466"/>
        <item m="1" x="2229"/>
        <item m="1" x="3146"/>
        <item m="1" x="332"/>
        <item m="1" x="695"/>
        <item m="1" x="2248"/>
        <item m="1" x="2090"/>
        <item m="1" x="2470"/>
        <item m="1" x="2667"/>
        <item m="1" x="398"/>
        <item m="1" x="3163"/>
        <item m="1" x="1759"/>
        <item m="1" x="1130"/>
        <item m="1" x="984"/>
        <item m="1" x="2302"/>
        <item m="1" x="2355"/>
        <item m="1" x="667"/>
        <item m="1" x="2458"/>
        <item m="1" x="860"/>
        <item m="1" x="570"/>
        <item m="1" x="3118"/>
        <item m="1" x="3190"/>
        <item m="1" x="1606"/>
        <item m="1" x="2963"/>
        <item m="1" x="2111"/>
        <item m="1" x="1683"/>
        <item m="1" x="467"/>
        <item m="1" x="2475"/>
        <item m="1" x="121"/>
        <item m="1" x="142"/>
        <item m="1" x="146"/>
        <item m="1" x="624"/>
        <item m="1" x="1816"/>
        <item m="1" x="2455"/>
        <item m="1" x="2973"/>
        <item m="1" x="347"/>
        <item m="1" x="2235"/>
        <item m="1" x="185"/>
        <item m="1" x="337"/>
        <item m="1" x="311"/>
        <item m="1" x="1862"/>
        <item m="1" x="1384"/>
        <item m="1" x="3108"/>
        <item m="1" x="713"/>
        <item m="1" x="1883"/>
        <item m="1" x="2505"/>
        <item m="1" x="3031"/>
        <item m="1" x="411"/>
        <item m="1" x="672"/>
        <item m="1" x="2286"/>
        <item m="1" x="1509"/>
        <item m="1" x="3148"/>
        <item m="1" x="2104"/>
        <item m="1" x="531"/>
        <item m="1" x="255"/>
        <item m="1" x="110"/>
        <item m="1" x="3202"/>
        <item m="1" x="3129"/>
        <item m="1" x="2806"/>
        <item m="1" x="3172"/>
        <item m="1" x="327"/>
        <item m="1" x="1655"/>
        <item m="1" x="3157"/>
        <item m="1" x="1503"/>
        <item m="1" x="260"/>
        <item m="1" x="251"/>
        <item m="1" x="1645"/>
        <item m="1" x="2799"/>
        <item m="1" x="3143"/>
        <item m="1" x="1077"/>
        <item m="1" x="1490"/>
        <item m="1" x="1062"/>
        <item m="1" x="3165"/>
        <item m="1" x="1425"/>
        <item m="1" x="1298"/>
        <item m="1" x="1303"/>
        <item m="1" x="2501"/>
        <item m="1" x="1282"/>
        <item m="1" x="1441"/>
        <item m="1" x="2331"/>
        <item m="1" x="2816"/>
        <item m="1" x="2636"/>
        <item m="1" x="808"/>
        <item m="1" x="2258"/>
        <item m="1" x="2228"/>
        <item m="1" x="1996"/>
        <item m="1" x="1183"/>
        <item m="1" x="1844"/>
        <item m="1" x="955"/>
        <item m="1" x="1549"/>
        <item m="1" x="3064"/>
        <item m="1" x="2755"/>
        <item m="1" x="2567"/>
        <item m="1" x="2921"/>
        <item m="1" x="455"/>
        <item m="1" x="489"/>
        <item m="1" x="304"/>
        <item m="1" x="2094"/>
        <item m="1" x="2747"/>
        <item m="1" x="2244"/>
        <item m="1" x="2213"/>
        <item m="1" x="2066"/>
        <item m="1" x="1402"/>
        <item m="1" x="2736"/>
        <item m="1" x="1975"/>
        <item m="1" x="2740"/>
        <item m="1" x="2745"/>
        <item m="1" x="2500"/>
        <item m="1" x="2824"/>
        <item m="1" x="2525"/>
        <item m="1" x="2493"/>
        <item m="1" x="1238"/>
        <item m="1" x="3128"/>
        <item m="1" x="2761"/>
        <item m="1" x="2047"/>
        <item m="1" x="2855"/>
        <item m="1" x="1165"/>
        <item m="1" x="547"/>
        <item m="1" x="1091"/>
        <item m="1" x="150"/>
        <item m="1" x="1781"/>
        <item m="1" x="56"/>
        <item m="1" x="2916"/>
        <item m="1" x="3184"/>
        <item m="1" x="2113"/>
        <item m="1" x="2912"/>
        <item m="1" x="499"/>
        <item m="1" x="1449"/>
        <item m="1" x="2600"/>
        <item m="1" x="1813"/>
        <item m="1" x="2946"/>
        <item m="1" x="3079"/>
        <item m="1" x="961"/>
        <item m="1" x="2088"/>
        <item m="1" x="1719"/>
        <item m="1" x="2119"/>
        <item m="1" x="877"/>
        <item m="1" x="2508"/>
        <item m="1" x="85"/>
        <item m="1" x="2812"/>
        <item m="1" x="1403"/>
        <item m="1" x="3171"/>
        <item m="1" x="2157"/>
        <item m="1" x="2392"/>
        <item m="1" x="258"/>
        <item m="1" x="1104"/>
        <item m="1" x="1318"/>
        <item m="1" x="383"/>
        <item m="1" x="1120"/>
        <item m="1" x="2395"/>
        <item m="1" x="2730"/>
        <item m="1" x="2247"/>
        <item m="1" x="102"/>
        <item m="1" x="468"/>
        <item m="1" x="2128"/>
        <item m="1" x="3226"/>
        <item m="1" x="360"/>
        <item m="1" x="1985"/>
        <item m="1" x="1581"/>
        <item m="1" x="1891"/>
        <item m="1" x="3135"/>
        <item m="1" x="2866"/>
        <item m="1" x="2004"/>
        <item m="1" x="3134"/>
        <item m="1" x="1099"/>
        <item m="1" x="1505"/>
        <item m="1" x="2798"/>
        <item m="1" x="1135"/>
        <item m="1" x="284"/>
        <item m="1" x="2232"/>
        <item m="1" x="2766"/>
        <item m="1" x="2549"/>
        <item m="1" x="2788"/>
        <item m="1" x="2393"/>
        <item m="1" x="1502"/>
        <item m="1" x="824"/>
        <item m="1" x="1021"/>
        <item m="1" x="1286"/>
        <item m="1" x="3122"/>
        <item m="1" x="2987"/>
        <item m="1" x="181"/>
        <item m="1" x="129"/>
        <item m="1" x="179"/>
        <item m="1" x="2296"/>
        <item m="1" x="981"/>
        <item m="1" x="3133"/>
        <item m="1" x="800"/>
        <item m="1" x="2077"/>
        <item m="1" x="2432"/>
        <item m="1" x="666"/>
        <item m="1" x="3049"/>
        <item m="1" x="215"/>
        <item m="1" x="3061"/>
        <item m="1" x="1941"/>
        <item m="1" x="2952"/>
        <item m="1" x="75"/>
        <item m="1" x="230"/>
        <item m="1" x="1118"/>
        <item m="1" x="2185"/>
        <item m="1" x="87"/>
        <item m="1" x="1117"/>
        <item m="1" x="1541"/>
        <item m="1" x="1128"/>
        <item m="1" x="3195"/>
        <item m="1" x="1750"/>
        <item m="1" x="2165"/>
        <item m="1" x="1760"/>
        <item m="1" x="536"/>
        <item m="1" x="1205"/>
        <item m="1" x="1643"/>
        <item m="1" x="1214"/>
        <item m="1" x="62"/>
        <item m="1" x="2889"/>
        <item m="1" x="529"/>
        <item m="1" x="3077"/>
        <item m="1" x="742"/>
        <item m="1" x="1688"/>
        <item m="1" x="987"/>
        <item m="1" x="626"/>
        <item m="1" x="2446"/>
        <item m="1" x="1804"/>
        <item m="1" x="1780"/>
        <item m="1" x="1709"/>
        <item m="1" x="1152"/>
        <item m="1" x="105"/>
        <item m="1" x="693"/>
        <item m="1" x="1899"/>
        <item m="1" x="1592"/>
        <item m="1" x="236"/>
        <item m="1" x="1360"/>
        <item m="1" x="2925"/>
        <item m="1" x="2965"/>
        <item m="1" x="2945"/>
        <item m="1" x="1438"/>
        <item m="1" x="2886"/>
        <item m="1" x="295"/>
        <item m="1" x="1324"/>
        <item m="1" x="1192"/>
        <item m="1" x="2206"/>
        <item m="1" x="746"/>
        <item m="1" x="233"/>
        <item m="1" x="864"/>
        <item m="1" x="2723"/>
        <item m="1" x="2616"/>
        <item m="1" x="2617"/>
        <item m="1" x="1983"/>
        <item m="1" x="862"/>
        <item m="1" x="868"/>
        <item m="1" x="2626"/>
        <item m="1" x="2488"/>
        <item m="1" x="2496"/>
        <item m="1" x="1193"/>
        <item m="1" x="326"/>
        <item m="1" x="381"/>
        <item m="1" x="1394"/>
        <item m="1" x="2102"/>
        <item m="1" x="891"/>
        <item m="1" x="3037"/>
        <item m="1" x="333"/>
        <item m="1" x="1656"/>
        <item m="1" x="1281"/>
        <item m="1" x="377"/>
        <item m="1" x="1626"/>
        <item m="1" x="1588"/>
        <item m="1" x="1890"/>
        <item m="1" x="1082"/>
        <item m="1" x="2807"/>
        <item m="1" x="430"/>
        <item m="1" x="1400"/>
        <item m="1" x="1121"/>
        <item m="1" x="2914"/>
        <item m="1" x="1096"/>
        <item m="1" x="698"/>
        <item m="1" x="1025"/>
        <item m="1" x="290"/>
        <item m="1" x="2544"/>
        <item m="1" x="1909"/>
        <item m="1" x="886"/>
        <item m="1" x="2413"/>
        <item m="1" x="1477"/>
        <item m="1" x="2299"/>
        <item m="1" x="1232"/>
        <item m="1" x="2304"/>
        <item m="1" x="9"/>
        <item m="1" x="3214"/>
        <item m="1" x="447"/>
        <item m="1" x="1894"/>
        <item m="1" x="1396"/>
        <item m="1" x="1242"/>
        <item m="1" x="758"/>
        <item m="1" x="1855"/>
        <item m="1" x="2885"/>
        <item m="1" x="3034"/>
        <item m="1" x="2141"/>
        <item m="1" x="424"/>
        <item m="1" x="148"/>
        <item m="1" x="1667"/>
        <item m="1" x="3017"/>
        <item m="1" x="1942"/>
        <item m="1" x="2256"/>
        <item m="1" x="2290"/>
        <item m="1" x="500"/>
        <item m="1" x="2063"/>
        <item m="1" x="791"/>
        <item m="1" x="261"/>
        <item m="1" x="605"/>
        <item m="1" x="634"/>
        <item m="1" x="670"/>
        <item m="1" x="2874"/>
        <item m="1" x="3065"/>
        <item m="1" x="1556"/>
        <item m="1" x="4"/>
        <item m="1" x="1982"/>
        <item m="1" x="2019"/>
        <item m="1" x="3062"/>
        <item m="1" x="2311"/>
        <item m="1" x="1382"/>
        <item m="1" x="1858"/>
        <item m="1" x="1610"/>
        <item m="1" x="54"/>
        <item m="1" x="708"/>
        <item m="1" x="1471"/>
        <item m="1" x="750"/>
        <item m="1" x="1792"/>
        <item m="1" x="976"/>
        <item m="1" x="1967"/>
        <item m="1" x="2294"/>
        <item m="1" x="967"/>
        <item m="1" x="1179"/>
        <item m="1" x="560"/>
        <item m="1" x="78"/>
        <item m="1" x="2396"/>
        <item m="1" x="1352"/>
        <item m="1" x="558"/>
        <item m="1" x="1563"/>
        <item m="1" x="2629"/>
        <item m="1" x="1364"/>
        <item m="1" x="2026"/>
        <item m="1" x="1795"/>
        <item m="1" x="2012"/>
        <item m="1" x="2412"/>
        <item m="1" x="2252"/>
        <item m="1" x="2771"/>
        <item m="1" x="68"/>
        <item m="1" x="2121"/>
        <item m="1" x="2257"/>
        <item m="1" x="1178"/>
        <item m="1" x="1006"/>
        <item m="1" x="1879"/>
        <item m="1" x="1817"/>
        <item m="1" x="1260"/>
        <item m="1" x="735"/>
        <item m="1" x="194"/>
        <item m="1" x="58"/>
        <item m="1" x="154"/>
        <item m="1" x="452"/>
        <item m="1" x="710"/>
        <item m="1" x="1024"/>
        <item m="1" x="2477"/>
        <item m="1" x="3018"/>
        <item m="1" x="250"/>
        <item m="1" x="1056"/>
        <item m="1" x="768"/>
        <item m="1" x="553"/>
        <item m="1" x="3223"/>
        <item m="1" x="2918"/>
        <item m="1" x="212"/>
        <item m="1" x="803"/>
        <item m="1" x="1589"/>
        <item m="1" x="1522"/>
        <item m="1" x="167"/>
        <item m="1" x="394"/>
        <item m="1" x="2678"/>
        <item m="1" x="1448"/>
        <item m="1" x="225"/>
        <item m="1" x="2264"/>
        <item m="1" x="3047"/>
        <item m="1" x="873"/>
        <item m="1" x="2976"/>
        <item m="1" x="3008"/>
        <item m="1" x="511"/>
        <item m="1" x="1672"/>
        <item m="1" x="1434"/>
        <item m="1" x="2941"/>
        <item m="1" x="2282"/>
        <item m="1" x="1608"/>
        <item m="1" x="2269"/>
        <item m="1" x="1888"/>
        <item m="1" x="378"/>
        <item m="1" x="962"/>
        <item m="1" x="1758"/>
        <item m="1" x="1127"/>
        <item m="1" x="845"/>
        <item m="1" x="798"/>
        <item m="1" x="2233"/>
        <item m="1" x="1930"/>
        <item m="1" x="1157"/>
        <item m="1" x="1140"/>
        <item m="1" x="1693"/>
        <item m="1" x="2775"/>
        <item m="1" x="197"/>
        <item m="1" x="2448"/>
        <item m="1" x="1159"/>
        <item m="1" x="1711"/>
        <item m="1" x="1144"/>
        <item m="1" x="2517"/>
        <item m="1" x="699"/>
        <item m="1" x="2405"/>
        <item m="1" x="2347"/>
        <item m="1" x="2180"/>
        <item m="1" x="2821"/>
        <item m="1" x="2125"/>
        <item m="1" x="852"/>
        <item m="1" x="48"/>
        <item m="1" x="2790"/>
        <item m="1" x="2653"/>
        <item m="1" x="5"/>
        <item m="1" x="3186"/>
        <item m="1" x="2650"/>
        <item m="1" x="744"/>
        <item m="1" x="1051"/>
        <item m="1" x="2922"/>
        <item m="1" x="1187"/>
        <item m="1" x="1669"/>
        <item m="1" x="2436"/>
        <item m="1" x="1227"/>
        <item m="1" x="1045"/>
        <item m="1" x="1345"/>
        <item m="1" x="2933"/>
        <item m="1" x="1084"/>
        <item m="1" x="3070"/>
        <item m="1" x="315"/>
        <item m="1" x="2735"/>
        <item m="1" x="1199"/>
        <item m="1" x="562"/>
        <item m="1" x="563"/>
        <item m="1" x="2722"/>
        <item m="1" x="2613"/>
        <item m="1" x="1561"/>
        <item m="1" x="1287"/>
        <item m="1" x="792"/>
        <item m="1" x="664"/>
        <item m="1" x="2954"/>
        <item m="1" x="2983"/>
        <item m="1" x="2721"/>
        <item m="1" x="2387"/>
        <item m="1" x="1881"/>
        <item m="1" x="2492"/>
        <item m="1" x="534"/>
        <item m="1" x="2562"/>
        <item m="1" x="2576"/>
        <item m="1" x="2137"/>
        <item m="1" x="777"/>
        <item m="1" x="740"/>
        <item m="1" x="2873"/>
        <item m="1" x="2383"/>
        <item m="1" x="509"/>
        <item m="1" x="2172"/>
        <item m="1" x="2179"/>
        <item m="1" x="928"/>
        <item m="1" x="2328"/>
        <item m="1" x="2365"/>
        <item m="1" x="1427"/>
        <item m="1" x="1532"/>
        <item m="1" x="2065"/>
        <item m="1" x="365"/>
        <item m="1" x="2936"/>
        <item m="1" x="2083"/>
        <item m="1" x="2337"/>
        <item m="1" x="2940"/>
        <item m="1" x="1913"/>
        <item m="1" x="991"/>
        <item m="1" x="2418"/>
        <item m="1" x="1654"/>
        <item m="1" x="3029"/>
        <item m="1" x="2779"/>
        <item m="1" x="2975"/>
        <item m="1" x="2884"/>
        <item m="1" x="2888"/>
        <item m="1" x="3025"/>
        <item m="1" x="2438"/>
        <item m="1" x="1590"/>
        <item m="1" x="1524"/>
        <item m="1" x="2313"/>
        <item m="1" x="1931"/>
        <item m="1" x="3205"/>
        <item m="1" x="3081"/>
        <item m="1" x="1857"/>
        <item m="1" x="915"/>
        <item m="1" x="193"/>
        <item m="1" x="1782"/>
        <item m="1" x="65"/>
        <item m="1" x="2345"/>
        <item m="1" x="1406"/>
        <item m="1" x="1071"/>
        <item m="1" x="2968"/>
        <item m="1" x="2253"/>
        <item m="1" x="2075"/>
        <item m="1" x="1495"/>
        <item m="1" x="905"/>
        <item m="1" x="2504"/>
        <item m="1" x="2007"/>
        <item m="1" x="1177"/>
        <item m="1" x="2442"/>
        <item m="1" x="3090"/>
        <item m="1" x="1378"/>
        <item m="1" x="607"/>
        <item m="1" x="3"/>
        <item m="1" x="3124"/>
        <item m="1" x="2280"/>
        <item m="1" x="865"/>
        <item m="1" x="946"/>
        <item m="1" x="1174"/>
        <item m="1" x="826"/>
        <item m="1" x="697"/>
        <item m="1" x="1611"/>
        <item m="1" x="1686"/>
        <item m="1" x="1291"/>
        <item m="1" x="2521"/>
        <item m="1" x="1235"/>
        <item m="1" x="503"/>
        <item m="1" x="2879"/>
        <item m="1" x="2317"/>
        <item m="1" x="3084"/>
        <item m="1" x="1912"/>
        <item m="1" x="602"/>
        <item m="1" x="2205"/>
        <item m="1" x="2310"/>
        <item m="1" x="1528"/>
        <item m="1" x="1429"/>
        <item m="1" x="756"/>
        <item m="1" x="2378"/>
        <item m="1" x="843"/>
        <item m="1" x="1101"/>
        <item m="1" x="1383"/>
        <item m="1" x="416"/>
        <item m="1" x="1803"/>
        <item m="1" x="206"/>
        <item m="1" x="35"/>
        <item m="1" x="945"/>
        <item m="1" x="3151"/>
        <item m="1" x="2770"/>
        <item m="1" x="32"/>
        <item m="1" x="15"/>
        <item m="1" x="400"/>
        <item m="1" x="2990"/>
        <item m="1" x="2557"/>
        <item m="1" x="1887"/>
        <item m="1" x="1039"/>
        <item m="1" x="406"/>
        <item m="1" x="204"/>
        <item m="1" x="171"/>
        <item m="1" x="1346"/>
        <item m="1" x="1200"/>
        <item m="1" x="1657"/>
        <item m="1" x="1333"/>
        <item m="1" x="1809"/>
        <item m="1" x="1514"/>
        <item m="1" x="1373"/>
        <item m="1" x="2073"/>
        <item m="1" x="1747"/>
        <item m="1" x="2762"/>
        <item m="1" x="1558"/>
        <item m="1" x="1262"/>
        <item m="1" x="700"/>
        <item m="1" x="2967"/>
        <item m="1" x="2459"/>
        <item m="1" x="1216"/>
        <item m="1" x="128"/>
        <item m="1" x="2513"/>
        <item m="1" x="1295"/>
        <item m="1" x="1041"/>
        <item m="1" x="2022"/>
        <item m="1" x="1600"/>
        <item m="1" x="644"/>
        <item m="1" x="1619"/>
        <item m="1" x="1525"/>
        <item m="1" x="1147"/>
        <item m="1" x="986"/>
        <item m="1" x="2069"/>
        <item m="1" x="2930"/>
        <item m="1" x="39"/>
        <item m="1" x="1980"/>
        <item m="1" x="2924"/>
        <item m="1" x="2489"/>
        <item m="1" x="281"/>
        <item m="1" x="1372"/>
        <item m="1" x="2223"/>
        <item m="1" x="2524"/>
        <item m="1" x="1145"/>
        <item m="1" x="898"/>
        <item m="1" x="878"/>
        <item m="1" x="1032"/>
        <item m="1" x="1124"/>
        <item m="1" x="1717"/>
        <item m="1" x="2760"/>
        <item m="1" x="2705"/>
        <item m="1" x="2645"/>
        <item m="1" x="1919"/>
        <item m="1" x="3027"/>
        <item m="1" x="1451"/>
        <item m="1" x="1536"/>
        <item m="1" x="1579"/>
        <item m="1" x="1839"/>
        <item m="1" x="1994"/>
        <item m="1" x="2674"/>
        <item m="1" x="1191"/>
        <item m="1" x="1784"/>
        <item m="1" x="977"/>
        <item m="1" x="2845"/>
        <item m="1" x="2478"/>
        <item m="1" x="2243"/>
        <item m="1" x="1526"/>
        <item m="1" x="2218"/>
        <item m="1" x="1263"/>
        <item m="1" x="1872"/>
        <item m="1" x="1689"/>
        <item m="1" x="853"/>
        <item m="1" x="1108"/>
        <item m="1" x="453"/>
        <item m="1" x="2964"/>
        <item m="1" x="2078"/>
        <item m="1" x="1223"/>
        <item m="1" x="307"/>
        <item m="1" x="613"/>
        <item m="1" x="60"/>
        <item m="1" x="694"/>
        <item m="1" x="2772"/>
        <item m="1" x="2067"/>
        <item m="1" x="1283"/>
        <item m="1" x="931"/>
        <item m="1" x="2217"/>
        <item m="1" x="1390"/>
        <item m="1" x="2811"/>
        <item m="1" x="1543"/>
        <item m="1" x="2671"/>
        <item m="1" x="1789"/>
        <item m="1" x="1296"/>
        <item m="1" x="939"/>
        <item m="1" x="2548"/>
        <item m="1" x="2058"/>
        <item m="1" x="2015"/>
        <item m="1" x="778"/>
        <item m="1" x="1109"/>
        <item m="1" x="1635"/>
        <item m="1" x="3097"/>
        <item m="1" x="796"/>
        <item m="1" x="2064"/>
        <item m="1" x="2220"/>
        <item m="1" x="3102"/>
        <item m="1" x="572"/>
        <item m="1" x="2909"/>
        <item m="1" x="1158"/>
        <item m="1" x="1467"/>
        <item m="1" x="3173"/>
        <item m="1" x="2897"/>
        <item m="1" x="545"/>
        <item m="1" x="1987"/>
        <item m="1" x="1977"/>
        <item m="1" x="1331"/>
        <item m="1" x="1280"/>
        <item m="1" x="530"/>
        <item m="1" x="2183"/>
        <item m="1" x="1212"/>
        <item m="1" x="1831"/>
        <item m="1" x="920"/>
        <item m="1" x="2934"/>
        <item m="1" x="847"/>
        <item m="1" x="2473"/>
        <item m="1" x="789"/>
        <item m="1" x="2452"/>
        <item m="1" x="1724"/>
        <item m="1" x="1093"/>
        <item m="1" x="2450"/>
        <item m="1" x="2234"/>
        <item m="1" x="1454"/>
        <item m="1" x="1744"/>
        <item m="1" x="1146"/>
        <item m="1" x="1859"/>
        <item m="1" x="1256"/>
        <item m="1" x="1014"/>
        <item m="1" x="1325"/>
        <item m="1" x="1375"/>
        <item m="1" x="665"/>
        <item m="1" x="435"/>
        <item m="1" x="721"/>
        <item m="1" x="57"/>
        <item m="1" x="3127"/>
        <item m="1" x="594"/>
        <item m="1" x="850"/>
        <item m="1" x="1818"/>
        <item m="1" x="249"/>
        <item m="1" x="2926"/>
        <item m="1" x="2994"/>
        <item m="1" x="1644"/>
        <item m="1" x="1456"/>
        <item m="1" x="651"/>
        <item m="1" x="1959"/>
        <item m="1" x="1221"/>
        <item m="1" x="2416"/>
        <item m="1" x="1629"/>
        <item m="1" x="1095"/>
        <item m="1" x="996"/>
        <item m="1" x="226"/>
        <item m="1" x="988"/>
        <item m="1" x="2657"/>
        <item m="1" x="2743"/>
        <item m="1" x="1570"/>
        <item m="1" x="3201"/>
        <item m="1" x="2254"/>
        <item m="1" x="1170"/>
        <item m="1" x="2484"/>
        <item m="1" x="718"/>
        <item m="1" x="2606"/>
        <item m="1" x="2960"/>
        <item m="1" x="2196"/>
        <item m="1" x="1949"/>
        <item m="1" x="1218"/>
        <item m="1" x="2624"/>
        <item m="1" x="1908"/>
        <item m="1" x="408"/>
        <item m="1" x="681"/>
        <item m="1" x="1030"/>
        <item m="1" x="3083"/>
        <item m="1" x="343"/>
        <item m="1" x="3085"/>
        <item m="1" x="773"/>
        <item m="1" x="1031"/>
        <item m="1" x="771"/>
        <item m="1" x="1494"/>
        <item m="1" x="1110"/>
        <item m="1" x="268"/>
        <item m="1" x="2518"/>
        <item m="1" x="629"/>
        <item m="1" x="2726"/>
        <item m="1" x="696"/>
        <item m="1" x="3115"/>
        <item m="1" x="2982"/>
        <item m="1" x="2320"/>
        <item m="1" x="3004"/>
        <item m="1" x="3078"/>
        <item m="1" x="3121"/>
        <item m="1" x="1513"/>
        <item m="1" x="1204"/>
        <item m="1" x="51"/>
        <item m="1" x="1738"/>
        <item m="1" x="1065"/>
        <item m="1" x="2379"/>
        <item m="1" x="1993"/>
        <item m="1" x="2802"/>
        <item m="1" x="1231"/>
        <item m="1" x="478"/>
        <item m="1" x="1551"/>
        <item m="1" x="2014"/>
        <item m="1" x="1794"/>
        <item m="1" x="1631"/>
        <item m="1" x="1694"/>
        <item m="1" x="2085"/>
        <item m="1" x="314"/>
        <item m="1" x="417"/>
        <item m="1" x="968"/>
        <item m="1" x="933"/>
        <item m="1" x="1701"/>
        <item m="1" x="2531"/>
        <item m="1" x="1566"/>
        <item m="1" x="1189"/>
        <item m="1" x="2200"/>
        <item m="1" x="2195"/>
        <item m="1" x="2010"/>
        <item m="1" x="1905"/>
        <item m="1" x="3221"/>
        <item m="1" x="1641"/>
        <item m="1" x="1766"/>
        <item m="1" x="2481"/>
        <item m="1" x="588"/>
        <item m="1" x="2163"/>
        <item m="1" x="1577"/>
        <item m="1" x="1462"/>
        <item m="1" x="1668"/>
        <item m="1" x="2898"/>
        <item m="1" x="2883"/>
        <item m="1" x="457"/>
        <item m="1" x="1452"/>
        <item m="1" x="2193"/>
        <item m="1" x="393"/>
        <item m="1" x="2719"/>
        <item m="1" x="471"/>
        <item m="1" x="2231"/>
        <item m="1" x="1902"/>
        <item m="1" x="2321"/>
        <item m="1" x="1275"/>
        <item m="1" x="2272"/>
        <item m="1" x="1898"/>
        <item m="1" x="1279"/>
        <item m="1" x="963"/>
        <item m="1" x="2204"/>
        <item m="1" x="1020"/>
        <item m="1" x="684"/>
        <item m="1" x="638"/>
        <item m="1" x="1837"/>
        <item m="1" x="1420"/>
        <item m="1" x="1966"/>
        <item m="1" x="2226"/>
        <item m="1" x="1293"/>
        <item m="1" x="2353"/>
        <item m="1" x="1017"/>
        <item m="1" x="818"/>
        <item m="1" x="1923"/>
        <item m="1" x="1405"/>
        <item m="1" x="749"/>
        <item m="1" x="349"/>
        <item m="1" x="2027"/>
        <item m="1" x="3126"/>
        <item m="1" x="1785"/>
        <item m="1" x="1463"/>
        <item m="1" x="1105"/>
        <item m="1" x="1904"/>
        <item m="1" x="518"/>
        <item m="1" x="3013"/>
        <item m="1" x="1557"/>
        <item m="1" x="544"/>
        <item m="1" x="3142"/>
        <item m="1" x="551"/>
        <item m="1" x="111"/>
        <item m="1" x="2746"/>
        <item m="1" x="2932"/>
        <item m="1" x="2340"/>
        <item m="1" x="2547"/>
        <item m="1" x="2692"/>
        <item m="1" x="1933"/>
        <item m="1" x="593"/>
        <item m="1" x="2214"/>
        <item m="1" x="2437"/>
        <item m="1" x="2071"/>
        <item m="1" x="1737"/>
        <item m="1" x="2263"/>
        <item m="1" x="1995"/>
        <item m="1" x="1677"/>
        <item m="1" x="2100"/>
        <item m="1" x="1508"/>
        <item m="1" x="1842"/>
        <item m="1" x="2765"/>
        <item m="1" x="2825"/>
        <item m="1" x="3091"/>
        <item m="1" x="3156"/>
        <item m="1" x="1302"/>
        <item m="1" x="1500"/>
        <item m="1" x="395"/>
        <item m="1" x="2639"/>
        <item m="1" x="543"/>
        <item m="1" x="3046"/>
        <item m="1" x="3183"/>
        <item m="1" x="340"/>
        <item m="1" x="2675"/>
        <item m="1" x="3024"/>
        <item m="1" x="1483"/>
        <item m="1" x="549"/>
        <item m="1" x="1552"/>
        <item m="1" x="1562"/>
        <item m="1" x="989"/>
        <item m="1" x="993"/>
        <item m="1" x="2573"/>
        <item m="1" x="1171"/>
        <item m="1" x="519"/>
        <item m="1" x="942"/>
        <item m="1" x="2594"/>
        <item m="1" x="1267"/>
        <item m="1" x="2836"/>
        <item m="1" x="2410"/>
        <item m="1" x="2110"/>
        <item m="1" x="578"/>
        <item m="1" x="1787"/>
        <item m="1" x="2827"/>
        <item m="1" x="1963"/>
        <item m="1" x="1380"/>
        <item m="1" x="205"/>
        <item m="1" x="2135"/>
        <item m="1" x="386"/>
        <item m="1" x="2219"/>
        <item m="1" x="272"/>
        <item m="1" x="3155"/>
        <item m="1" x="2858"/>
        <item m="1" x="527"/>
        <item m="1" x="113"/>
        <item m="1" x="2591"/>
        <item m="1" x="2754"/>
        <item m="1" x="2815"/>
        <item m="1" x="2769"/>
        <item m="1" x="2428"/>
        <item m="1" x="2572"/>
        <item m="1" x="2641"/>
        <item m="1" x="1877"/>
        <item m="1" x="2904"/>
        <item m="1" x="807"/>
        <item m="1" x="1251"/>
        <item m="1" x="1428"/>
        <item m="1" x="10"/>
        <item m="1" x="761"/>
        <item m="1" x="823"/>
        <item m="1" x="705"/>
        <item m="1" x="3196"/>
        <item m="1" x="1586"/>
        <item m="1" x="433"/>
        <item m="1" x="1073"/>
        <item m="1" x="885"/>
        <item m="1" x="554"/>
        <item m="1" x="921"/>
        <item m="1" x="1015"/>
        <item m="1" x="2929"/>
        <item m="1" x="2268"/>
        <item m="1" x="2935"/>
        <item m="1" x="1864"/>
        <item m="1" x="2568"/>
        <item m="1" x="2651"/>
        <item m="1" x="2590"/>
        <item m="1" x="2308"/>
        <item m="1" x="938"/>
        <item m="1" x="1012"/>
        <item m="1" x="362"/>
        <item m="1" x="1397"/>
        <item m="1" x="3132"/>
        <item m="1" x="794"/>
        <item m="1" x="552"/>
        <item m="1" x="476"/>
        <item m="1" x="581"/>
        <item m="1" x="370"/>
        <item m="1" x="592"/>
        <item m="1" x="405"/>
        <item m="1" x="456"/>
        <item m="1" x="497"/>
        <item m="1" x="674"/>
        <item m="1" x="1196"/>
        <item m="1" x="1788"/>
        <item m="1" x="287"/>
        <item m="1" x="49"/>
        <item m="1" x="1674"/>
        <item m="1" x="1220"/>
        <item m="1" x="934"/>
        <item m="1" x="444"/>
        <item m="1" x="229"/>
        <item m="1" x="2326"/>
        <item m="1" x="3045"/>
        <item m="1" x="1308"/>
        <item m="1" x="1951"/>
        <item m="1" x="2908"/>
        <item m="1" x="1634"/>
        <item m="1" x="2728"/>
        <item m="1" x="3220"/>
        <item m="1" x="94"/>
        <item m="1" x="1854"/>
        <item m="1" x="1682"/>
        <item m="1" x="291"/>
        <item m="1" x="2535"/>
        <item m="1" x="2246"/>
        <item m="1" x="919"/>
        <item m="1" x="1153"/>
        <item m="1" x="2109"/>
        <item m="1" x="1330"/>
        <item m="1" x="812"/>
        <item m="1" x="2380"/>
        <item m="1" x="702"/>
        <item m="1" x="1954"/>
        <item m="1" x="598"/>
        <item m="1" x="1074"/>
        <item m="1" x="2474"/>
        <item m="1" x="2372"/>
        <item m="1" x="1659"/>
        <item m="1" x="2603"/>
        <item m="1" x="1151"/>
        <item m="1" x="1999"/>
        <item m="1" x="2714"/>
        <item m="1" x="309"/>
        <item m="1" x="935"/>
        <item m="1" x="2681"/>
        <item m="1" x="3098"/>
        <item m="1" x="71"/>
        <item m="1" x="1640"/>
        <item m="1" x="2985"/>
        <item m="1" x="565"/>
        <item m="1" x="2408"/>
        <item m="1" x="2927"/>
        <item m="1" x="2341"/>
        <item m="1" x="2465"/>
        <item m="1" x="2850"/>
        <item m="1" x="1767"/>
        <item m="1" x="2707"/>
        <item m="1" x="2273"/>
        <item m="1" x="2040"/>
        <item m="1" x="18"/>
        <item m="1" x="2230"/>
        <item m="1" x="3169"/>
        <item m="1" x="608"/>
        <item m="1" x="437"/>
        <item m="1" x="2689"/>
        <item m="1" x="1981"/>
        <item m="1" x="1233"/>
        <item m="1" x="1361"/>
        <item m="1" x="1459"/>
        <item m="1" x="550"/>
        <item m="1" x="2907"/>
        <item m="1" x="2587"/>
        <item m="1" x="1680"/>
        <item m="1" x="2388"/>
        <item m="1" x="2699"/>
        <item m="1" x="2046"/>
        <item m="1" x="1139"/>
        <item m="1" x="620"/>
        <item m="1" x="1741"/>
        <item m="1" x="2750"/>
        <item m="1" x="2585"/>
        <item m="1" x="2421"/>
        <item m="1" x="3112"/>
        <item m="1" x="2184"/>
        <item m="1" x="3197"/>
        <item m="1" x="2819"/>
        <item m="1" x="1615"/>
        <item m="1" x="676"/>
        <item m="1" x="2056"/>
        <item m="1" x="175"/>
        <item m="1" x="252"/>
        <item m="1" x="2847"/>
        <item m="1" x="2894"/>
        <item m="1" x="524"/>
        <item m="1" x="1925"/>
        <item m="1" x="3039"/>
        <item m="1" x="2661"/>
        <item m="1" x="2527"/>
        <item m="1" x="643"/>
        <item m="1" x="2823"/>
        <item m="1" x="983"/>
        <item m="1" x="1472"/>
        <item m="1" x="1255"/>
        <item m="1" x="1970"/>
        <item m="1" x="3096"/>
        <item m="1" x="107"/>
        <item m="1" x="1371"/>
        <item m="1" x="1903"/>
        <item m="1" x="2507"/>
        <item m="1" x="2805"/>
        <item m="1" x="3072"/>
        <item m="1" x="2826"/>
        <item m="1" x="1137"/>
        <item m="1" x="2782"/>
        <item m="1" x="1067"/>
        <item m="1" x="1340"/>
        <item m="1" x="1939"/>
        <item m="1" x="2057"/>
        <item m="1" x="2435"/>
        <item m="1" x="2144"/>
        <item m="1" x="1882"/>
        <item m="1" x="1704"/>
        <item m="1" x="647"/>
        <item m="1" x="1478"/>
        <item m="1" x="1762"/>
        <item m="1" x="1940"/>
        <item m="1" x="1915"/>
        <item m="1" x="2318"/>
        <item m="1" x="1636"/>
        <item m="1" x="1624"/>
        <item m="1" x="69"/>
        <item m="1" x="3189"/>
        <item m="1" x="2460"/>
        <item m="1" x="1265"/>
        <item m="1" x="422"/>
        <item m="1" x="2091"/>
        <item m="1" x="561"/>
        <item m="1" x="2155"/>
        <item m="1" x="1443"/>
        <item m="1" x="2491"/>
        <item m="1" x="1664"/>
        <item m="1" x="556"/>
        <item m="1" x="299"/>
        <item m="1" x="1492"/>
        <item m="1" x="1022"/>
        <item m="1" x="869"/>
        <item m="1" x="1363"/>
        <item m="1" x="1725"/>
        <item m="1" x="924"/>
        <item m="1" x="1257"/>
        <item m="1" x="1598"/>
        <item m="1" x="648"/>
        <item m="1" x="584"/>
        <item m="1" x="2024"/>
        <item m="1" x="1627"/>
        <item m="1" x="1100"/>
        <item m="1" x="1820"/>
        <item m="1" x="723"/>
        <item m="1" x="1393"/>
        <item m="1" x="2542"/>
        <item m="1" x="1708"/>
        <item m="1" x="1628"/>
        <item m="1" x="715"/>
        <item m="1" x="2373"/>
        <item m="1" x="3225"/>
        <item m="1" x="1665"/>
        <item m="1" x="2793"/>
        <item m="1" x="2532"/>
        <item m="1" x="573"/>
        <item m="1" x="76"/>
        <item m="1" x="2406"/>
        <item m="1" x="2957"/>
        <item m="1" x="2182"/>
        <item m="1" x="2686"/>
        <item m="1" x="2425"/>
        <item m="1" x="2025"/>
        <item m="1" x="857"/>
        <item m="1" x="688"/>
        <item m="1" x="2005"/>
        <item m="1" x="2038"/>
        <item m="1" x="716"/>
        <item m="1" x="2646"/>
        <item m="1" x="909"/>
        <item m="1" x="93"/>
        <item m="1" x="932"/>
        <item m="1" x="1247"/>
        <item m="1" x="2471"/>
        <item m="1" x="235"/>
        <item m="1" x="3152"/>
        <item m="1" x="2329"/>
        <item m="1" x="2132"/>
        <item m="1" x="1042"/>
        <item m="1" x="1961"/>
        <item m="1" x="2059"/>
        <item m="1" x="1292"/>
        <item m="1" x="3021"/>
        <item m="1" x="3094"/>
        <item m="1" x="2115"/>
        <item m="1" x="2503"/>
        <item m="1" x="2680"/>
        <item m="1" x="3092"/>
        <item m="1" x="2520"/>
        <item m="1" x="1142"/>
        <item m="1" x="2863"/>
        <item m="1" x="669"/>
        <item m="1" x="2194"/>
        <item m="1" x="38"/>
        <item m="1" x="2621"/>
        <item m="1" x="2552"/>
        <item m="1" x="2655"/>
        <item m="1" x="2486"/>
        <item m="1" x="1435"/>
        <item m="1" x="2479"/>
        <item m="1" x="2615"/>
        <item m="1" x="1285"/>
        <item m="1" x="815"/>
        <item m="1" x="2391"/>
        <item m="1" x="1083"/>
        <item m="1" x="108"/>
        <item m="1" x="136"/>
        <item m="1" x="1098"/>
        <item m="1" x="1215"/>
        <item m="1" x="2151"/>
        <item m="1" x="1815"/>
        <item m="1" x="1234"/>
        <item m="1" x="1489"/>
        <item m="1" x="2278"/>
        <item m="1" x="1779"/>
        <item m="1" x="1860"/>
        <item m="1" x="2511"/>
        <item m="1" x="2029"/>
        <item m="1" x="1845"/>
        <item m="1" x="242"/>
        <item m="1" x="1944"/>
        <item m="1" x="2049"/>
        <item m="1" x="1651"/>
        <item m="1" x="2989"/>
        <item m="1" x="911"/>
        <item m="1" x="1958"/>
        <item m="1" x="415"/>
        <item m="1" x="2468"/>
        <item m="1" x="1774"/>
        <item m="1" x="2852"/>
        <item m="1" x="283"/>
        <item m="1" x="218"/>
        <item m="1" x="3188"/>
        <item m="1" x="496"/>
        <item m="1" x="2757"/>
        <item m="1" x="434"/>
        <item m="1" x="356"/>
        <item m="1" x="147"/>
        <item m="1" x="1748"/>
        <item m="1" x="3056"/>
        <item m="1" x="1322"/>
        <item m="1" x="3167"/>
        <item m="1" x="1808"/>
        <item m="1" x="2865"/>
        <item m="1" x="1895"/>
        <item m="1" x="1414"/>
        <item m="1" x="569"/>
        <item m="1" x="428"/>
        <item m="1" x="707"/>
        <item m="1" x="571"/>
        <item m="1" x="1319"/>
        <item m="1" x="3071"/>
        <item m="1" x="403"/>
        <item m="1" x="465"/>
        <item m="1" x="1773"/>
        <item m="1" x="1729"/>
        <item m="1" x="726"/>
        <item m="1" x="774"/>
        <item m="1" x="902"/>
        <item m="1" x="837"/>
        <item m="1" x="828"/>
        <item m="1" x="1133"/>
        <item m="1" x="1828"/>
        <item m="1" x="1718"/>
        <item m="1" x="780"/>
        <item m="1" x="1278"/>
        <item m="1" x="1535"/>
        <item m="1" x="2996"/>
        <item m="1" x="787"/>
        <item m="1" x="1111"/>
        <item m="1" x="2480"/>
        <item m="1" x="2540"/>
        <item m="1" x="1661"/>
        <item m="1" x="879"/>
        <item m="1" x="2283"/>
        <item m="1" x="2731"/>
        <item m="1" x="1710"/>
        <item m="1" x="1796"/>
        <item m="1" x="2334"/>
        <item m="1" x="2953"/>
        <item m="1" x="350"/>
        <item m="1" x="2962"/>
        <item m="1" x="2611"/>
        <item m="1" x="2808"/>
        <item m="1" x="729"/>
        <item m="1" x="2598"/>
        <item m="1" x="1496"/>
        <item m="1" x="663"/>
        <item m="1" x="91"/>
        <item m="1" x="1026"/>
        <item m="1" x="2039"/>
        <item m="1" x="90"/>
        <item m="1" x="829"/>
        <item m="1" x="2034"/>
        <item m="1" x="960"/>
        <item m="1" x="741"/>
        <item m="1" x="134"/>
        <item m="1" x="123"/>
        <item m="1" x="1806"/>
        <item m="1" x="2143"/>
        <item m="1" x="2360"/>
        <item m="1" x="1206"/>
        <item m="1" x="1418"/>
        <item m="1" x="2732"/>
        <item m="1" x="2332"/>
        <item m="1" x="278"/>
        <item m="1" x="2533"/>
        <item m="1" x="2011"/>
        <item m="1" x="319"/>
        <item m="1" x="1671"/>
        <item m="1" x="2534"/>
        <item m="1" x="2582"/>
        <item m="1" x="79"/>
        <item m="1" x="2948"/>
        <item m="1" x="586"/>
        <item m="1" x="2131"/>
        <item m="1" x="2781"/>
        <item m="1" x="809"/>
        <item m="1" x="1850"/>
        <item m="1" x="973"/>
        <item m="1" x="3054"/>
        <item m="1" x="1040"/>
        <item m="1" x="3095"/>
        <item m="1" x="1339"/>
        <item m="1" x="140"/>
        <item m="1" x="2970"/>
        <item m="1" x="2605"/>
        <item m="1" x="1621"/>
        <item m="1" x="2804"/>
        <item m="1" x="1141"/>
        <item m="1" x="896"/>
        <item m="1" x="2336"/>
        <item m="1" x="2003"/>
        <item m="1" x="2445"/>
        <item m="1" x="44"/>
        <item m="1" x="1391"/>
        <item m="1" x="3185"/>
        <item m="1" x="1131"/>
        <item m="1" x="45"/>
        <item m="1" x="1856"/>
        <item m="1" x="37"/>
        <item m="1" x="1310"/>
        <item m="1" x="649"/>
        <item m="1" x="1776"/>
        <item m="1" x="1647"/>
        <item m="1" x="3113"/>
        <item m="1" x="2189"/>
        <item m="1" x="3011"/>
        <item m="1" x="2467"/>
        <item m="1" x="2451"/>
        <item m="1" x="3093"/>
        <item m="1" x="176"/>
        <item m="1" x="662"/>
        <item m="1" x="423"/>
        <item m="1" x="2649"/>
        <item m="1" x="2831"/>
        <item m="1" x="2322"/>
        <item m="1" x="1969"/>
        <item m="1" x="678"/>
        <item m="1" x="336"/>
        <item m="1" x="1005"/>
        <item m="1" x="2881"/>
        <item m="1" x="951"/>
        <item m="1" x="2098"/>
        <item m="1" x="3210"/>
        <item m="1" x="1421"/>
        <item m="1" x="930"/>
        <item m="1" x="2849"/>
        <item m="1" x="1587"/>
        <item m="1" x="2221"/>
        <item m="1" x="324"/>
        <item m="1" x="728"/>
        <item m="1" x="504"/>
        <item m="1" x="1648"/>
        <item m="1" x="266"/>
        <item m="1" x="3101"/>
        <item m="1" x="413"/>
        <item m="1" x="2694"/>
        <item m="1" x="1991"/>
        <item m="1" x="1342"/>
        <item m="1" x="1684"/>
        <item m="1" x="2099"/>
        <item m="1" x="2643"/>
        <item m="1" x="1035"/>
        <item m="1" x="1821"/>
        <item m="1" x="1450"/>
        <item m="1" x="484"/>
        <item m="1" x="66"/>
        <item m="1" x="2817"/>
        <item m="1" x="2267"/>
        <item m="1" x="2201"/>
        <item m="1" x="1623"/>
        <item m="1" x="2168"/>
        <item m="1" x="2901"/>
        <item m="1" x="855"/>
        <item m="1" x="2795"/>
        <item m="1" x="2574"/>
        <item m="1" x="2139"/>
        <item m="1" x="2055"/>
        <item m="1" x="1290"/>
        <item m="1" x="335"/>
        <item m="1" x="2301"/>
        <item m="1" x="2426"/>
        <item m="1" x="1423"/>
        <item m="1" x="1567"/>
        <item m="1" x="404"/>
        <item m="1" x="259"/>
        <item m="1" x="2716"/>
        <item m="1" x="1172"/>
        <item m="1" x="2016"/>
        <item m="1" x="1304"/>
        <item m="1" x="507"/>
        <item m="1" x="2350"/>
        <item m="1" x="1924"/>
        <item m="1" x="303"/>
        <item m="1" x="168"/>
        <item m="1" x="99"/>
        <item m="1" x="2444"/>
        <item m="1" x="2526"/>
        <item m="1" x="600"/>
        <item m="1" x="231"/>
        <item m="1" x="632"/>
        <item m="1" x="2116"/>
        <item m="1" x="1377"/>
        <item m="1" x="1328"/>
        <item m="1" x="677"/>
        <item m="1" x="2638"/>
        <item m="1" x="522"/>
        <item m="1" x="2198"/>
        <item m="1" x="954"/>
        <item m="1" x="1167"/>
        <item m="1" x="720"/>
        <item m="1" x="2464"/>
        <item m="1" x="785"/>
        <item m="1" x="1271"/>
        <item m="1" x="1504"/>
        <item m="1" x="2794"/>
        <item m="1" x="725"/>
        <item m="1" x="1447"/>
        <item m="1" x="2327"/>
        <item m="1" x="640"/>
        <item m="1" x="1468"/>
        <item m="1" x="3125"/>
        <item m="1" x="2497"/>
        <item m="1" x="1642"/>
        <item m="1" x="1002"/>
        <item m="1" x="2741"/>
        <item m="1" x="2776"/>
        <item m="1" x="2995"/>
        <item m="1" x="927"/>
        <item m="1" x="2984"/>
        <item m="1" x="1696"/>
        <item m="1" x="124"/>
        <item m="1" x="491"/>
        <item m="1" x="436"/>
        <item m="1" x="1081"/>
        <item m="1" x="1697"/>
        <item m="1" x="1225"/>
        <item m="1" x="1409"/>
        <item m="1" x="2625"/>
        <item m="1" x="2367"/>
        <item m="1" x="2080"/>
        <item m="1" x="1520"/>
        <item m="1" x="3000"/>
        <item m="1" x="166"/>
        <item m="1" x="2949"/>
        <item m="1" x="2483"/>
        <item m="1" x="514"/>
        <item m="1" x="579"/>
        <item m="1" x="224"/>
        <item m="1" x="293"/>
        <item m="1" x="1486"/>
        <item m="1" x="2529"/>
        <item m="1" x="2871"/>
        <item m="1" x="2152"/>
        <item m="1" x="1305"/>
        <item m="1" x="567"/>
        <item m="1" x="1354"/>
        <item m="1" x="3160"/>
        <item m="1" x="2864"/>
        <item m="1" x="2371"/>
        <item m="1" x="1498"/>
        <item m="1" x="2763"/>
        <item m="1" x="2652"/>
        <item m="1" x="1474"/>
        <item m="1" x="1453"/>
        <item m="1" x="1307"/>
        <item m="1" x="615"/>
        <item m="1" x="3014"/>
        <item m="1" x="2106"/>
        <item m="1" x="1989"/>
        <item m="1" x="1681"/>
        <item m="1" x="1673"/>
        <item m="1" x="1625"/>
        <item m="1" x="2164"/>
        <item m="1" x="382"/>
        <item m="1" x="1250"/>
        <item m="1" x="1973"/>
        <item m="1" x="908"/>
        <item m="1" x="2140"/>
        <item m="1" x="1261"/>
        <item m="1" x="1964"/>
        <item m="1" x="1510"/>
        <item m="1" x="1182"/>
        <item m="1" x="2644"/>
        <item m="1" x="2785"/>
        <item m="1" x="970"/>
        <item m="1" x="1368"/>
        <item m="1" x="2596"/>
        <item m="1" x="2061"/>
        <item m="1" x="2402"/>
        <item m="1" x="1824"/>
        <item m="1" x="3033"/>
        <item m="1" x="533"/>
        <item m="1" x="385"/>
        <item m="1" x="1457"/>
        <item m="1" x="1849"/>
        <item m="1" x="2713"/>
        <item m="1" x="2191"/>
        <item m="1" x="490"/>
        <item m="1" x="152"/>
        <item m="1" x="227"/>
        <item m="1" x="296"/>
        <item m="1" x="831"/>
        <item m="1" x="50"/>
        <item m="1" x="2261"/>
        <item m="1" x="2656"/>
        <item m="1" x="2145"/>
        <item m="1" x="1023"/>
        <item m="1" x="1938"/>
        <item m="1" x="3044"/>
        <item m="1" x="2974"/>
        <item m="1" x="1678"/>
        <item m="1" x="2197"/>
        <item m="1" x="1004"/>
        <item m="1" x="775"/>
        <item m="1" x="912"/>
        <item m="1" x="617"/>
        <item m="1" x="1013"/>
        <item m="1" x="228"/>
        <item m="1" x="2682"/>
        <item m="1" x="2502"/>
        <item m="1" x="959"/>
        <item m="1" x="1112"/>
        <item m="1" x="2679"/>
        <item m="1" x="1057"/>
        <item m="1" x="2834"/>
        <item m="1" x="1632"/>
        <item m="1" x="364"/>
        <item m="1" x="575"/>
        <item m="1" x="1728"/>
        <item m="1" x="2447"/>
        <item m="1" x="2555"/>
        <item m="1" x="2397"/>
        <item m="1" x="679"/>
        <item m="1" x="755"/>
        <item m="1" x="813"/>
        <item m="1" x="2619"/>
        <item m="1" x="1736"/>
        <item m="1" x="658"/>
        <item m="1" x="1059"/>
        <item m="1" x="856"/>
        <item m="1" x="81"/>
        <item m="1" x="330"/>
        <item m="1" x="376"/>
        <item m="1" x="3193"/>
        <item m="1" x="443"/>
        <item m="1" x="1001"/>
        <item m="1" x="2778"/>
        <item m="1" x="3123"/>
        <item m="1" x="1865"/>
        <item m="1" x="2634"/>
        <item m="1" x="232"/>
        <item m="1" x="1102"/>
        <item m="1" x="2281"/>
        <item m="1" x="1702"/>
        <item m="1" x="1605"/>
        <item m="1" x="354"/>
        <item m="1" x="282"/>
        <item m="1" x="345"/>
        <item m="1" x="277"/>
        <item m="1" x="3117"/>
        <item m="1" x="1916"/>
        <item m="1" x="2084"/>
        <item m="1" x="1639"/>
        <item m="1" x="1254"/>
        <item m="1" x="1087"/>
        <item m="1" x="29"/>
        <item m="1" x="1036"/>
        <item m="1" x="2417"/>
        <item m="1" x="889"/>
        <item m="1" x="3162"/>
        <item m="1" x="616"/>
        <item m="1" x="21"/>
        <item m="1" x="475"/>
        <item m="1" x="104"/>
        <item m="1" x="2018"/>
        <item m="1" x="1538"/>
        <item m="1" x="2430"/>
        <item m="1" x="182"/>
        <item m="1" x="606"/>
        <item m="1" x="72"/>
        <item m="1" x="2838"/>
        <item m="1" x="2703"/>
        <item m="1" x="2786"/>
        <item m="1" x="418"/>
        <item m="1" x="2832"/>
        <item m="1" x="3174"/>
        <item m="1" x="1716"/>
        <item m="1" x="2390"/>
        <item m="1" x="401"/>
        <item m="1" x="926"/>
        <item m="1" x="1195"/>
        <item m="1" x="1445"/>
        <item m="1" x="784"/>
        <item m="1" x="2966"/>
        <item m="1" x="487"/>
        <item m="1" x="3224"/>
        <item m="1" x="782"/>
        <item m="1" x="797"/>
        <item m="1" x="2315"/>
        <item m="1" x="2287"/>
        <item m="1" x="2890"/>
        <item m="1" x="2688"/>
        <item m="1" x="2758"/>
        <item m="1" x="2697"/>
        <item m="1" x="3187"/>
        <item m="1" x="1527"/>
        <item m="1" x="2840"/>
        <item m="1" x="1852"/>
        <item m="1" x="494"/>
        <item m="1" x="1638"/>
        <item m="1" x="2828"/>
        <item m="1" x="25"/>
        <item m="1" x="1770"/>
        <item m="1" x="2054"/>
        <item m="1" x="2710"/>
        <item m="1" x="1533"/>
        <item m="1" x="1347"/>
        <item m="1" x="1721"/>
        <item m="1" x="753"/>
        <item m="1" x="308"/>
        <item m="1" x="1422"/>
        <item m="1" x="2910"/>
        <item m="1" x="2203"/>
        <item m="1" x="2570"/>
        <item m="1" x="2346"/>
        <item m="1" x="100"/>
        <item m="1" x="30"/>
        <item m="1" x="174"/>
        <item m="1" x="757"/>
        <item m="1" x="1937"/>
        <item m="1" x="80"/>
        <item m="1" x="1666"/>
        <item m="1" x="1116"/>
        <item m="1" x="2635"/>
        <item m="1" x="751"/>
        <item m="1" x="2081"/>
        <item m="1" x="3191"/>
        <item m="1" x="239"/>
        <item m="1" x="1190"/>
        <item m="1" x="2986"/>
        <item m="1" x="159"/>
        <item m="1" x="1080"/>
        <item m="1" x="1246"/>
        <item m="1" x="995"/>
        <item m="1" x="1889"/>
        <item m="1" x="1321"/>
        <item m="1" x="1714"/>
        <item m="1" x="1652"/>
        <item m="1" x="2767"/>
        <item m="1" x="827"/>
        <item m="1" x="1411"/>
        <item m="1" x="1317"/>
        <item m="1" x="3002"/>
        <item m="1" x="2516"/>
        <item m="1" x="1089"/>
        <item m="1" x="2690"/>
        <item m="1" x="486"/>
        <item m="1" x="210"/>
        <item m="1" x="3069"/>
        <item m="1" x="979"/>
        <item m="1" x="1269"/>
        <item m="1" x="3003"/>
        <item m="1" x="2381"/>
        <item m="1" x="2868"/>
        <item m="1" x="3086"/>
        <item m="1" x="2695"/>
        <item m="1" x="2565"/>
        <item m="1" x="2146"/>
        <item m="1" x="1827"/>
        <item m="1" x="2440"/>
        <item m="1" x="611"/>
        <item m="1" x="2035"/>
        <item m="1" x="2000"/>
        <item m="1" x="1132"/>
        <item m="1" x="673"/>
        <item m="1" x="492"/>
        <item m="1" x="43"/>
        <item m="1" x="2074"/>
        <item m="1" x="195"/>
        <item m="1" x="1369"/>
        <item m="1" x="2842"/>
        <item m="1" x="1284"/>
        <item m="1" x="2841"/>
        <item m="1" x="1928"/>
        <item m="1" x="1516"/>
        <item m="1" x="1650"/>
        <item m="1" x="2"/>
        <item m="1" x="1790"/>
        <item m="1" x="609"/>
        <item m="1" x="346"/>
        <item m="1" x="2494"/>
        <item m="1" x="42"/>
        <item m="1" x="2101"/>
        <item m="1" x="2262"/>
        <item m="1" x="1274"/>
        <item m="1" x="822"/>
        <item m="1" x="521"/>
        <item m="1" x="675"/>
        <item m="1" x="2370"/>
        <item m="1" x="1599"/>
        <item m="1" x="2580"/>
        <item m="1" x="1068"/>
        <item m="1" x="2118"/>
        <item m="1" x="810"/>
        <item m="1" x="3110"/>
        <item m="1" x="2664"/>
        <item m="1" x="1054"/>
        <item m="1" x="3055"/>
        <item m="1" x="754"/>
        <item m="1" x="595"/>
        <item m="1" x="1201"/>
        <item m="1" x="526"/>
        <item m="1" x="730"/>
        <item m="1" x="202"/>
        <item m="1" x="1756"/>
        <item m="1" x="1168"/>
        <item m="1" x="1226"/>
        <item m="1" x="116"/>
        <item m="1" x="220"/>
        <item m="1" x="3103"/>
        <item m="1" x="379"/>
        <item m="1" x="1797"/>
        <item m="1" x="407"/>
        <item m="1" x="2333"/>
        <item m="1" x="972"/>
        <item m="1" x="2607"/>
        <item m="1" x="2575"/>
        <item m="1" x="532"/>
        <item m="1" x="2344"/>
        <item m="1" x="1830"/>
        <item m="1" x="2530"/>
        <item m="1" x="3057"/>
        <item m="1" x="3218"/>
        <item m="1" x="2441"/>
        <item m="1" x="1646"/>
        <item m="1" x="34"/>
        <item m="1" x="1230"/>
        <item m="1" x="410"/>
        <item m="1" x="363"/>
        <item m="1" x="426"/>
        <item m="1" x="2577"/>
        <item m="1" x="2718"/>
        <item m="1" x="2249"/>
        <item m="1" x="804"/>
        <item m="1" x="317"/>
        <item m="1" x="1253"/>
        <item m="1" x="1072"/>
        <item m="1" x="463"/>
        <item m="1" x="1069"/>
        <item m="1" x="2820"/>
        <item m="1" x="2156"/>
        <item m="1" x="1540"/>
        <item m="1" x="2859"/>
        <item m="1" x="263"/>
        <item m="1" x="74"/>
        <item m="1" x="2134"/>
        <item m="1" x="84"/>
        <item m="1" x="1173"/>
        <item m="1" x="1019"/>
        <item m="1" x="883"/>
        <item m="1" x="923"/>
        <item m="1" x="943"/>
        <item m="1" x="184"/>
        <item m="1" x="3076"/>
        <item m="1" x="583"/>
        <item m="1" x="2374"/>
        <item m="1" x="2777"/>
        <item m="1" x="2980"/>
        <item m="1" x="115"/>
        <item m="1" x="717"/>
        <item m="1" x="472"/>
        <item m="1" x="1733"/>
        <item m="1" x="2923"/>
        <item m="1" x="574"/>
        <item m="1" x="770"/>
        <item m="1" x="219"/>
        <item m="1" x="2854"/>
        <item m="1" x="2361"/>
        <item m="1" x="997"/>
        <item m="1" x="1793"/>
        <item m="1" x="1846"/>
        <item m="1" x="1897"/>
        <item m="1" x="1366"/>
        <item m="1" x="2991"/>
        <item m="1" x="2670"/>
        <item m="1" x="1660"/>
        <item m="1" x="1385"/>
        <item m="1" x="1043"/>
        <item m="1" x="969"/>
        <item m="1" x="2238"/>
        <item m="1" x="1907"/>
        <item m="1" x="2293"/>
        <item m="1" x="2309"/>
        <item m="1" x="1742"/>
        <item m="1" x="731"/>
        <item m="1" x="830"/>
        <item m="1" x="3001"/>
        <item m="1" x="300"/>
        <item m="1" x="1537"/>
        <item m="1" x="1565"/>
        <item m="1" x="506"/>
        <item m="1" x="1058"/>
        <item m="1" x="772"/>
        <item m="1" x="24"/>
        <item m="1" x="2240"/>
        <item m="1" x="841"/>
        <item m="1" x="3204"/>
        <item m="1" x="1047"/>
        <item m="1" x="2276"/>
        <item m="1" x="2830"/>
        <item m="1" x="691"/>
        <item m="1" x="621"/>
        <item m="1" x="387"/>
        <item m="1" x="1370"/>
        <item m="1" x="836"/>
        <item m="1" x="1482"/>
        <item m="1" x="2560"/>
        <item m="1" x="1169"/>
        <item m="1" x="1765"/>
        <item m="1" x="1315"/>
        <item m="1" x="1016"/>
        <item m="1" x="485"/>
        <item m="1" x="745"/>
        <item m="1" x="209"/>
        <item m="1" x="3137"/>
        <item m="1" x="2389"/>
        <item m="1" x="2846"/>
        <item m="1" x="2601"/>
        <item m="1" x="2342"/>
        <item m="1" x="1053"/>
        <item m="1" x="985"/>
        <item m="1" x="1703"/>
        <item m="1" x="2369"/>
        <item m="1" x="513"/>
        <item m="1" x="1236"/>
        <item m="1" x="502"/>
        <item m="1" x="1240"/>
        <item m="1" x="541"/>
        <item m="1" x="2545"/>
        <item m="1" x="1764"/>
        <item m="1" x="1670"/>
        <item m="1" x="2051"/>
        <item m="1" x="22"/>
        <item m="1" x="2323"/>
        <item m="1" x="2434"/>
        <item m="1" x="2979"/>
        <item m="1" x="1835"/>
        <item m="1" x="280"/>
        <item m="1" x="636"/>
        <item m="1" x="1055"/>
        <item m="1" x="2556"/>
        <item m="1" x="1783"/>
        <item m="1" x="980"/>
        <item m="1" x="2008"/>
        <item m="1" x="1772"/>
        <item m="1" x="3181"/>
        <item m="1" x="2791"/>
        <item m="1" x="1572"/>
        <item m="1" x="7"/>
        <item m="1" x="625"/>
        <item m="1" x="2490"/>
        <item m="1" x="26"/>
        <item m="1" x="2673"/>
        <item m="1" x="95"/>
        <item m="1" x="1066"/>
        <item m="1" x="1553"/>
        <item m="1" x="1926"/>
        <item m="1" x="2349"/>
        <item m="1" x="882"/>
        <item m="1" x="1569"/>
        <item m="1" x="1692"/>
        <item m="1" x="1154"/>
        <item m="1" x="1917"/>
        <item m="1" x="1576"/>
        <item m="1" x="2053"/>
        <item m="1" x="2167"/>
        <item m="1" x="1475"/>
        <item m="1" x="3109"/>
        <item m="1" x="1706"/>
        <item m="1" x="1357"/>
        <item m="1" x="783"/>
        <item m="1" x="341"/>
        <item m="1" x="712"/>
        <item m="1" x="965"/>
        <item m="1" x="2368"/>
        <item m="1" x="2454"/>
        <item m="1" x="135"/>
        <item m="1" x="1401"/>
        <item m="1" x="994"/>
        <item m="1" x="901"/>
        <item m="1" x="1063"/>
        <item m="1" x="1484"/>
        <item m="1" x="495"/>
        <item m="1" x="622"/>
        <item m="1" x="1943"/>
        <item m="1" x="1585"/>
        <item m="1" x="1534"/>
        <item m="1" x="1755"/>
        <item m="1" x="1306"/>
        <item m="1" x="461"/>
        <item m="1" x="286"/>
        <item m="1" x="2612"/>
        <item m="1" x="2632"/>
        <item m="1" x="2640"/>
        <item m="1" x="914"/>
        <item m="1" x="2357"/>
        <item m="1" x="1314"/>
        <item m="1" x="462"/>
        <item m="1" x="3119"/>
        <item m="1" x="2409"/>
        <item m="1" x="1972"/>
        <item m="1" x="690"/>
        <item m="1" x="2919"/>
        <item m="1" x="971"/>
        <item m="1" x="2519"/>
        <item m="1" x="2917"/>
        <item m="1" x="917"/>
        <item m="1" x="2086"/>
        <item m="1" x="546"/>
        <item m="1" x="2801"/>
        <item m="1" x="133"/>
        <item m="1" x="881"/>
        <item m="1" x="2366"/>
        <item m="1" x="106"/>
        <item m="1" x="604"/>
        <item m="1" x="1229"/>
        <item m="1" x="1630"/>
        <item m="1" x="132"/>
        <item m="1" x="1426"/>
        <item m="1" x="27"/>
        <item m="1" x="748"/>
        <item m="1" x="788"/>
        <item m="1" x="392"/>
        <item m="1" x="589"/>
        <item m="1" x="906"/>
        <item m="1" x="1222"/>
        <item m="1" x="1185"/>
        <item m="1" x="2041"/>
        <item m="1" x="1731"/>
        <item m="1" x="1018"/>
        <item m="1" x="156"/>
        <item m="1" x="786"/>
        <item m="1" x="2120"/>
        <item m="1" x="2411"/>
        <item m="1" x="580"/>
        <item m="1" x="516"/>
        <item m="1" x="652"/>
        <item m="1" x="1826"/>
        <item m="1" x="650"/>
        <item m="1" x="2166"/>
        <item m="1" x="122"/>
        <item m="1" x="861"/>
        <item m="1" x="2398"/>
        <item m="1" x="2720"/>
        <item m="1" x="3009"/>
        <item m="1" x="1245"/>
        <item m="1" x="1992"/>
        <item m="1" x="1186"/>
        <item m="1" x="338"/>
        <item m="1" x="1465"/>
        <item m="1" x="2944"/>
        <item m="1" x="2170"/>
        <item m="1" x="97"/>
        <item m="1" x="223"/>
        <item m="1" x="3114"/>
        <item m="1" x="3168"/>
        <item m="1" x="1945"/>
        <item m="1" x="120"/>
        <item m="1" x="2274"/>
        <item m="1" x="207"/>
        <item m="1" x="2307"/>
        <item m="1" x="2627"/>
        <item m="1" x="1029"/>
        <item m="1" x="1461"/>
        <item m="1" x="1208"/>
        <item m="1" x="907"/>
        <item m="1" x="6"/>
        <item m="1" x="214"/>
        <item m="1" x="1213"/>
        <item m="1" x="2928"/>
        <item m="1" x="2107"/>
        <item m="1" x="523"/>
        <item m="1" x="1761"/>
        <item m="1" x="1519"/>
        <item m="1" x="671"/>
        <item m="1" x="2571"/>
        <item m="1" x="464"/>
        <item m="1" x="840"/>
        <item m="1" x="639"/>
        <item m="1" x="477"/>
        <item m="1" x="2848"/>
        <item m="1" x="2734"/>
        <item m="1" x="442"/>
        <item m="1" x="2245"/>
        <item m="1" x="2288"/>
        <item m="1" x="2814"/>
        <item m="1" x="397"/>
        <item m="1" x="2584"/>
        <item m="1" x="765"/>
        <item m="1" x="510"/>
        <item m="1" x="234"/>
        <item m="1" x="3153"/>
        <item m="1" x="2902"/>
        <item m="1" x="2668"/>
        <item m="1" x="2404"/>
        <item m="1" x="2117"/>
        <item m="1" x="1800"/>
        <item m="1" x="1493"/>
        <item m="1" x="1757"/>
        <item m="1" x="2431"/>
        <item m="1" x="601"/>
        <item m="1" x="645"/>
        <item m="1" x="1798"/>
        <item m="1" x="368"/>
        <item m="1" x="619"/>
        <item m="1" x="3212"/>
        <item m="1" x="814"/>
        <item m="1" x="2700"/>
        <item m="1" x="2149"/>
        <item m="1" x="353"/>
        <item m="1" x="1440"/>
        <item m="1" x="2561"/>
        <item m="1" x="2691"/>
        <item m="1" x="2809"/>
        <item m="1" x="1834"/>
        <item m="1" x="596"/>
        <item m="1" x="1637"/>
        <item m="1" x="427"/>
        <item m="1" x="1978"/>
        <item m="1" x="505"/>
        <item m="1" x="2978"/>
        <item m="1" x="2835"/>
        <item m="1" x="566"/>
        <item m="1" x="555"/>
        <item m="1" x="3088"/>
        <item m="1" x="1713"/>
        <item m="1" x="849"/>
        <item m="1" x="1122"/>
        <item m="1" x="36"/>
        <item m="1" x="1078"/>
        <item m="1" x="3022"/>
        <item m="1" x="2044"/>
        <item m="1" x="1867"/>
        <item m="1" x="2860"/>
        <item m="1" x="1726"/>
        <item m="1" x="1550"/>
        <item m="1" x="1861"/>
        <item m="1" x="169"/>
        <item m="1" x="1997"/>
        <item m="1" x="2581"/>
        <item m="1" x="2271"/>
        <item m="1" x="680"/>
        <item m="1" x="40"/>
        <item m="1" x="1119"/>
        <item m="1" x="603"/>
        <item m="1" x="1180"/>
        <item m="1" x="2485"/>
        <item m="1" x="2663"/>
        <item m="1" x="2958"/>
        <item m="1" x="1607"/>
        <item m="1" x="2961"/>
        <item m="1" x="432"/>
        <item m="1" x="2199"/>
        <item m="1" x="431"/>
        <item m="1" x="351"/>
        <item m="1" x="1469"/>
        <item m="1" x="1301"/>
        <item m="1" x="1433"/>
        <item m="1" x="631"/>
        <item m="1" x="2993"/>
        <item m="1" x="366"/>
        <item m="1" x="2753"/>
        <item m="1" x="2739"/>
        <item m="1" x="1876"/>
        <item m="1" x="8"/>
        <item m="1" x="306"/>
        <item m="1" x="2224"/>
        <item m="1" x="1244"/>
        <item m="1" x="1313"/>
        <item m="1" x="949"/>
        <item m="1" x="821"/>
        <item m="1" x="153"/>
        <item m="1" x="2622"/>
        <item m="1" x="703"/>
        <item m="1" x="342"/>
        <item m="1" x="2796"/>
        <item m="1" x="2187"/>
        <item m="1" x="64"/>
        <item m="1" x="267"/>
        <item m="1" x="117"/>
        <item m="1" x="890"/>
        <item m="1" x="2774"/>
        <item m="1" x="1028"/>
        <item m="1" x="1413"/>
        <item m="1" x="630"/>
        <item m="1" x="2303"/>
        <item m="1" x="910"/>
        <item m="1" x="1248"/>
        <item m="1" x="817"/>
        <item m="1" x="138"/>
        <item m="1" x="137"/>
        <item m="1" x="610"/>
        <item m="1" x="762"/>
        <item m="1" x="2851"/>
        <item m="1" x="2589"/>
        <item m="1" x="1998"/>
        <item m="1" x="480"/>
        <item m="1" x="2654"/>
        <item m="1" x="2977"/>
        <item m="1" x="389"/>
        <item m="1" x="1614"/>
        <item m="1" x="2190"/>
        <item m="1" x="929"/>
        <item m="1" x="1273"/>
        <item m="1" x="1367"/>
        <item m="1" x="139"/>
        <item m="1" x="3006"/>
        <item m="1" x="320"/>
        <item m="1" x="508"/>
        <item m="1" x="1986"/>
        <item m="1" x="449"/>
        <item m="1" x="1415"/>
        <item m="1" x="1320"/>
        <item m="1" x="576"/>
        <item m="1" x="832"/>
        <item m="1" x="101"/>
        <item m="1" x="833"/>
        <item m="1" x="145"/>
        <item m="1" x="1743"/>
        <item m="1" x="1979"/>
        <item m="1" x="402"/>
        <item m="1" x="3023"/>
        <item m="1" x="3089"/>
        <item m="1" x="420"/>
        <item m="1" x="540"/>
        <item m="1" x="866"/>
        <item m="1" x="2892"/>
        <item m="1" x="1735"/>
        <item m="1" x="257"/>
        <item m="1" x="2943"/>
        <item m="1" x="1805"/>
        <item m="1" x="3050"/>
        <item m="1" x="1138"/>
        <item m="1" x="3208"/>
        <item m="1" x="1424"/>
        <item m="1" x="577"/>
        <item m="1" x="2466"/>
        <item m="1" x="2712"/>
        <item m="1" x="2153"/>
        <item m="1" x="922"/>
        <item m="1" x="2698"/>
        <item m="1" x="3043"/>
        <item m="1" x="1893"/>
        <item m="1" x="1653"/>
        <item m="1" x="328"/>
        <item m="1" x="52"/>
        <item m="1" x="1312"/>
        <item m="1" x="482"/>
        <item m="1" x="760"/>
        <item m="1" x="895"/>
        <item m="1" x="448"/>
        <item m="1" x="17"/>
        <item m="1" x="2255"/>
        <item m="1" x="2579"/>
        <item m="1" x="876"/>
        <item m="1" x="2212"/>
        <item m="1" x="628"/>
        <item m="1" x="599"/>
        <item m="1" x="373"/>
        <item m="1" x="2423"/>
        <item m="1" x="820"/>
        <item m="1" x="3038"/>
        <item m="1" x="98"/>
        <item m="1" x="33"/>
        <item m="1" x="143"/>
        <item m="1" x="2792"/>
        <item m="1" x="2093"/>
        <item m="1" x="944"/>
        <item m="1" x="163"/>
        <item m="1" x="1840"/>
        <item m="1" x="256"/>
        <item m="1" x="706"/>
        <item m="1" x="623"/>
        <item m="1" x="1920"/>
        <item m="1" x="374"/>
        <item m="1" x="172"/>
        <item m="1" x="2469"/>
        <item m="1" x="3087"/>
        <item m="1" x="1092"/>
        <item m="1" x="131"/>
        <item m="1" x="1700"/>
        <item m="1" x="441"/>
        <item m="1" x="2537"/>
        <item m="1" x="421"/>
        <item m="1" x="1136"/>
        <item m="1" x="1720"/>
        <item m="1" x="375"/>
        <item m="1" x="2138"/>
        <item m="1" x="1034"/>
        <item m="1" x="887"/>
        <item m="1" x="714"/>
        <item m="1" x="3207"/>
        <item m="1" x="1597"/>
        <item m="1" x="1663"/>
        <item m="1" x="825"/>
        <item m="1" x="2528"/>
        <item m="1" x="279"/>
        <item m="1" x="361"/>
        <item m="1" x="1823"/>
        <item m="1" x="641"/>
        <item m="1" x="2400"/>
        <item m="1" x="126"/>
        <item m="1" x="1676"/>
        <item m="1" x="1699"/>
        <item m="1" x="1870"/>
        <item m="1" x="399"/>
        <item m="1" x="2424"/>
        <item m="1" x="1007"/>
        <item m="1" x="2559"/>
        <item m="1" x="1010"/>
        <item m="1" x="2751"/>
        <item m="1" x="2578"/>
        <item m="1" x="3194"/>
        <item m="1" x="1822"/>
        <item m="1" x="1511"/>
        <item m="1" x="1512"/>
        <item m="1" x="3211"/>
        <item m="1" x="1723"/>
        <item m="1" x="2938"/>
        <item m="1" x="1044"/>
        <item m="1" x="2608"/>
        <item m="1" x="2295"/>
        <item m="1" x="2006"/>
        <item m="1" x="2727"/>
        <item m="1" x="61"/>
        <item m="1" x="3007"/>
        <item m="1" x="585"/>
        <item m="1" x="528"/>
        <item m="1" x="1602"/>
        <item m="1" x="1675"/>
        <item m="1" x="3154"/>
        <item m="1" x="1811"/>
        <item m="1" x="1338"/>
        <item m="1" x="1249"/>
        <item m="1" x="1965"/>
        <item m="1" x="1501"/>
        <item m="1" x="1049"/>
        <item m="1" x="3028"/>
        <item m="1" x="2969"/>
        <item m="1" x="2669"/>
        <item m="1" x="3145"/>
        <item m="1" x="1836"/>
        <item m="1" x="2126"/>
        <item m="1" x="1595"/>
        <item m="1" x="591"/>
        <item m="1" x="2685"/>
        <item m="1" x="2188"/>
        <item m="1" x="2708"/>
        <item m="1" x="2150"/>
        <item m="1" x="459"/>
        <item m="1" x="2159"/>
        <item m="1" x="2169"/>
        <item m="1" x="2407"/>
        <item m="1" x="2186"/>
        <item m="1" x="1515"/>
        <item m="1" x="3166"/>
        <item m="1" x="1521"/>
        <item m="1" x="1529"/>
        <item m="1" x="1545"/>
        <item m="1" x="1952"/>
        <item m="1" x="894"/>
        <item m="1" x="1573"/>
        <item m="1" x="900"/>
        <item m="1" x="294"/>
        <item m="1" x="940"/>
        <item m="1" x="958"/>
        <item m="1" x="2538"/>
        <item m="1" x="1188"/>
        <item m="1" x="1349"/>
        <item m="1" x="3019"/>
        <item m="1" x="254"/>
        <item m="1" x="59"/>
        <item m="1" x="2037"/>
        <item m="1" x="63"/>
        <item m="1" x="1237"/>
        <item m="1" x="1202"/>
        <item m="1" x="947"/>
        <item m="1" x="1097"/>
        <item m="1" x="2523"/>
        <item m="1" x="2553"/>
        <item m="1" x="1932"/>
        <item m="1" x="1935"/>
        <item m="1" x="1950"/>
        <item m="1" x="1956"/>
        <item m="1" x="1962"/>
        <item m="1" x="1329"/>
        <item m="1" x="1336"/>
        <item m="1" x="1207"/>
        <item m="1" x="89"/>
        <item m="1" x="240"/>
        <item m="1" x="2510"/>
        <item m="1" x="2950"/>
        <item m="1" x="3015"/>
        <item m="1" x="2300"/>
        <item m="1" x="1873"/>
        <item m="1" x="2870"/>
        <item m="1" x="2202"/>
        <item m="1" x="2702"/>
        <item m="1" x="2171"/>
        <item m="1" x="109"/>
        <item m="1" x="1810"/>
        <item m="1" x="1125"/>
        <item m="1" x="1914"/>
        <item m="1" x="722"/>
        <item m="1" x="445"/>
        <item m="1" x="2959"/>
        <item m="1" x="16"/>
        <item m="1" x="1900"/>
        <item m="1" x="1050"/>
        <item m="1" x="262"/>
        <item m="1" x="2997"/>
        <item m="1" x="2330"/>
        <item m="1" x="1399"/>
        <item m="1" x="1730"/>
        <item m="1" x="3147"/>
        <item m="1" x="1871"/>
        <item m="1" x="1497"/>
        <item m="1" x="1052"/>
        <item m="1" x="359"/>
        <item m="1" x="1228"/>
        <item m="1" x="2539"/>
        <item m="1" x="1927"/>
        <item m="1" x="1217"/>
        <item m="1" x="1880"/>
        <item m="1" x="244"/>
        <item m="1" x="2880"/>
        <item m="1" x="2048"/>
        <item m="1" x="1150"/>
        <item m="1" x="618"/>
        <item m="1" x="1046"/>
        <item m="1" x="2105"/>
        <item m="1" x="3082"/>
        <item m="1" x="1148"/>
        <item m="1" x="2789"/>
        <item m="1" x="1929"/>
        <item m="1" x="763"/>
        <item m="1" x="1086"/>
        <item m="1" x="2401"/>
        <item m="1" x="835"/>
        <item m="1" x="1841"/>
        <item m="1" x="781"/>
        <item m="1" x="3010"/>
        <item m="1" x="1884"/>
        <item m="1" x="848"/>
        <item m="1" x="1332"/>
        <item m="1" x="203"/>
        <item m="1" x="2192"/>
        <item m="1" x="1487"/>
        <item m="1" x="1801"/>
        <item m="1" x="3164"/>
        <item m="1" x="3116"/>
        <item m="1" x="2882"/>
        <item m="1" x="637"/>
        <item m="1" x="2569"/>
        <item m="1" x="2462"/>
        <item m="1" x="288"/>
        <item m="1" x="2742"/>
        <item m="1" x="2312"/>
        <item m="1" x="2583"/>
        <item m="1" x="221"/>
        <item m="1" x="1386"/>
        <item m="1" x="1277"/>
        <item m="1" x="2543"/>
        <item m="1" x="3042"/>
        <item m="1" x="1544"/>
        <item m="1" x="192"/>
        <item m="1" x="2443"/>
        <item m="1" x="2028"/>
        <item m="1" x="1412"/>
        <item m="1" x="1582"/>
        <item m="1" x="2756"/>
        <item m="1" x="2515"/>
        <item m="1" x="1464"/>
        <item m="1" x="1751"/>
        <item m="1" x="1061"/>
        <item m="1" x="957"/>
        <item m="1" x="1715"/>
        <item m="1" x="2239"/>
        <item m="1" x="1351"/>
        <item m="1" x="1584"/>
        <item m="1" x="47"/>
        <item m="1" x="158"/>
        <item m="1" x="183"/>
        <item m="1" x="310"/>
        <item m="1" x="2181"/>
        <item m="1" x="769"/>
        <item m="1" x="243"/>
        <item m="1" x="1620"/>
        <item m="1" x="1123"/>
        <item m="1" x="1203"/>
        <item m="1" x="1946"/>
        <item m="1" x="3192"/>
        <item m="1" x="2546"/>
        <item m="1" x="1707"/>
        <item m="1" x="114"/>
        <item m="1" x="191"/>
        <item m="1" x="1299"/>
        <item m="1" x="3158"/>
        <item m="1" x="1272"/>
        <item m="1" x="1194"/>
        <item m="1" x="200"/>
        <item m="1" x="2672"/>
        <item m="1" x="2463"/>
        <item m="1" x="1554"/>
        <item m="1" x="2822"/>
        <item m="1" x="1033"/>
        <item m="1" x="1243"/>
        <item m="1" x="2092"/>
        <item m="1" x="352"/>
        <item m="1" x="246"/>
        <item m="1" x="247"/>
        <item m="1" x="173"/>
        <item m="1" x="1466"/>
        <item m="1" x="391"/>
        <item m="1" x="1847"/>
        <item m="1" x="3180"/>
        <item m="1" x="479"/>
        <item m="1" x="2352"/>
        <item m="1" x="2971"/>
        <item m="1" x="838"/>
        <item m="1" x="790"/>
        <item m="1" x="1778"/>
        <item m="1" x="2647"/>
        <item m="1" x="2291"/>
        <item m="1" x="654"/>
        <item m="1" x="2364"/>
        <item m="1" x="3060"/>
        <item m="1" x="1388"/>
        <item m="1" x="683"/>
        <item m="1" x="2209"/>
        <item m="1" x="2988"/>
        <item m="1" x="2704"/>
        <item m="1" x="1358"/>
        <item m="1" x="2899"/>
        <item m="1" x="2665"/>
        <item m="1" x="273"/>
        <item m="1" x="274"/>
        <item m="1" x="414"/>
        <item m="1" x="187"/>
        <item m="1" x="118"/>
        <item m="1" x="144"/>
        <item m="1" x="806"/>
        <item m="1" x="1003"/>
        <item m="1" x="1444"/>
        <item m="1" x="1106"/>
        <item m="1" x="31"/>
        <item m="1" x="1705"/>
        <item m="1" x="11"/>
        <item m="1" x="1791"/>
        <item m="1" x="1833"/>
        <item m="1" x="241"/>
        <item m="1" x="1374"/>
        <item m="1" x="3136"/>
        <item m="1" x="70"/>
        <item m="1" x="199"/>
        <item m="1" x="450"/>
        <item m="1" x="2813"/>
        <item m="1" x="646"/>
        <item m="1" x="724"/>
        <item m="1" x="2316"/>
        <item m="1" x="2429"/>
        <item m="1" x="1473"/>
        <item m="1" x="1348"/>
        <item m="1" x="2862"/>
        <item m="1" x="2439"/>
        <item m="1" x="1953"/>
        <item m="1" x="2939"/>
        <item m="1" x="1896"/>
        <item m="1" x="2298"/>
        <item m="1" x="2887"/>
        <item m="1" x="248"/>
        <item m="1" x="982"/>
        <item m="1" x="321"/>
        <item m="1" x="899"/>
        <item m="1" x="1922"/>
        <item m="1" x="3130"/>
        <item m="1" x="2715"/>
        <item m="1" x="2803"/>
        <item m="1" x="597"/>
        <item m="1" x="737"/>
        <item m="1" x="801"/>
        <item m="1" x="2554"/>
        <item m="1" x="2856"/>
        <item m="1" x="863"/>
        <item m="1" x="2174"/>
        <item m="1" x="1289"/>
        <item m="1" x="3217"/>
        <item m="1" x="28"/>
        <item m="1" x="119"/>
        <item m="1" x="892"/>
        <item m="1" x="2981"/>
        <item m="1" x="186"/>
        <item m="1" x="1160"/>
        <item m="1" x="1079"/>
        <item m="1" x="1470"/>
        <item m="1" x="2843"/>
        <item m="1" x="2931"/>
        <item m="1" x="2955"/>
        <item m="1" x="162"/>
        <item m="1" x="237"/>
        <item m="1" x="305"/>
        <item m="1" x="2284"/>
        <item m="1" x="2358"/>
        <item m="1" x="2420"/>
        <item m="1" x="396"/>
        <item m="1" x="2563"/>
        <item m="1" x="2597"/>
        <item m="1" x="2403"/>
        <item m="1" x="711"/>
        <item m="1" x="1968"/>
        <item m="1" x="816"/>
        <item m="1" x="53"/>
        <item m="1" x="3041"/>
        <item m="1" x="1947"/>
        <item m="1" x="752"/>
        <item m="1" x="2359"/>
        <item m="1" x="1829"/>
        <item m="1" x="2550"/>
        <item m="1" x="1392"/>
        <item m="1" x="642"/>
        <item m="1" x="3198"/>
        <item m="1" x="3105"/>
        <item m="1" x="1768"/>
        <item m="1" x="568"/>
        <item m="1" x="2893"/>
        <item m="1" x="1851"/>
        <item m="1" x="1485"/>
        <item m="1" x="3141"/>
        <item m="1" x="2869"/>
        <item m="1" x="2348"/>
        <item m="1" x="2177"/>
        <item m="1" x="2512"/>
        <item m="1" x="2319"/>
        <item m="1" x="1874"/>
        <item m="1" x="1906"/>
        <item m="1" x="1662"/>
        <item m="1" x="3209"/>
        <item m="1" x="2660"/>
        <item m="1" x="2633"/>
        <item m="1" x="2666"/>
        <item m="1" x="2701"/>
        <item m="1" x="2419"/>
        <item m="1" x="1559"/>
        <item m="1" x="1819"/>
        <item m="1" x="2631"/>
        <item m="1" x="1530"/>
        <item m="1" x="1408"/>
        <item m="1" x="1334"/>
        <item m="1" x="525"/>
        <item m="1" x="2042"/>
        <item m="1" x="1038"/>
        <item m="1" x="323"/>
        <item m="1" x="388"/>
        <item m="1" x="1143"/>
        <item m="1" x="2706"/>
        <item m="1" x="141"/>
        <item m="1" x="3036"/>
        <item m="1" x="653"/>
        <item m="1" x="1555"/>
        <item m="1" x="1594"/>
        <item m="1" x="1264"/>
        <item m="1" x="2623"/>
        <item m="1" x="2033"/>
        <item m="1" x="1163"/>
        <item m="1" x="2161"/>
        <item m="1" x="1918"/>
        <item m="1" x="88"/>
        <item m="1" x="2260"/>
        <item m="1" x="3099"/>
        <item m="1" x="473"/>
        <item m="1" x="470"/>
        <item m="1" x="859"/>
        <item m="1" x="439"/>
        <item m="1" x="1107"/>
        <item m="1" x="732"/>
        <item m="1" x="1011"/>
        <item m="1" x="2127"/>
        <item m="1" x="1198"/>
        <item m="1" x="1316"/>
        <item m="1" x="1575"/>
        <item m="1" x="953"/>
        <item m="1" x="3182"/>
        <item m="1" x="2207"/>
        <item m="1" x="196"/>
        <item m="1" x="201"/>
        <item m="1" x="1027"/>
        <item m="1" x="2482"/>
        <item m="1" x="1622"/>
        <item m="1" x="1832"/>
        <item m="1" x="799"/>
        <item m="1" x="1866"/>
        <item m="1" x="659"/>
        <item m="1" x="3206"/>
        <item m="1" x="2279"/>
        <item m="1" x="2241"/>
        <item m="1" x="1853"/>
        <item m="1" x="245"/>
        <item m="1" x="1398"/>
        <item m="1" x="2103"/>
        <item m="1" x="2060"/>
        <item m="1" x="738"/>
        <item m="1" x="1381"/>
        <item m="1" x="2386"/>
        <item m="1" x="548"/>
        <item m="1" x="164"/>
        <item m="1" x="858"/>
        <item m="1" x="2070"/>
        <item m="1" x="2764"/>
        <item m="1" x="3066"/>
        <item m="1" x="1460"/>
        <item m="1" x="2325"/>
        <item m="1" x="1547"/>
        <item m="1" x="692"/>
        <item m="1" x="1523"/>
        <item m="1" x="208"/>
        <item m="1" x="73"/>
        <item m="1" x="2356"/>
        <item m="1" x="3059"/>
        <item m="1" x="2875"/>
        <item m="1" x="1085"/>
        <item m="1" x="1126"/>
        <item m="1" x="2427"/>
        <item m="1" x="925"/>
        <item m="1" x="3035"/>
        <item m="1" x="1901"/>
        <item m="1" x="390"/>
        <item m="1" x="1048"/>
        <item m="1" x="686"/>
        <item m="1" x="331"/>
        <item m="1" x="3074"/>
        <item m="1" x="2154"/>
        <item m="1" x="264"/>
        <item m="1" x="2844"/>
        <item m="1" x="2839"/>
        <item m="1" x="1175"/>
        <item m="1" x="325"/>
        <item m="1" x="2903"/>
        <item m="1" x="1219"/>
        <item m="1" x="2514"/>
        <item m="1" x="3175"/>
        <item m="1" x="614"/>
        <item m="1" x="3030"/>
        <item m="1" x="1379"/>
        <item m="1" x="1387"/>
        <item m="1" x="2586"/>
        <item m="1" x="2045"/>
        <item m="1" x="766"/>
        <item m="1" x="2236"/>
        <item m="1" x="2270"/>
        <item m="1" x="1000"/>
        <item m="1" x="2683"/>
        <item m="1" x="1948"/>
        <item m="1" x="2130"/>
        <item m="1" x="1934"/>
        <item m="1" x="1437"/>
        <item m="1" x="1134"/>
        <item m="1" x="2937"/>
        <item m="1" x="2089"/>
        <item m="1" x="55"/>
        <item m="1" x="1070"/>
        <item m="1" x="1886"/>
        <item m="1" x="2259"/>
        <item m="1" x="1149"/>
        <item m="1" x="795"/>
        <item m="1" x="2472"/>
        <item m="1" x="2768"/>
        <item m="1" x="2237"/>
        <item m="1" x="3213"/>
        <item m="1" x="2800"/>
        <item m="1" x="112"/>
        <item m="1" x="1843"/>
        <item m="1" x="1722"/>
        <item m="1" x="188"/>
        <item m="1" x="2158"/>
        <item m="1" x="1155"/>
        <item m="1" x="1739"/>
        <item m="1" x="297"/>
        <item m="1" x="2013"/>
        <item m="1" x="2108"/>
        <item m="1" x="635"/>
        <item m="1" x="990"/>
        <item m="1" x="1957"/>
        <item m="1" x="2748"/>
        <item m="1" x="384"/>
        <item m="1" x="839"/>
        <item m="1" x="458"/>
        <item m="1" x="913"/>
        <item m="1" x="1088"/>
        <item m="1" x="2211"/>
        <item m="1" x="13"/>
        <item m="1" x="92"/>
        <item m="1" x="3203"/>
        <item m="1" x="2457"/>
        <item m="1" x="1732"/>
        <item m="1" x="559"/>
        <item m="1" x="1542"/>
        <item m="1" x="1356"/>
        <item m="1" x="1458"/>
        <item m="1" x="2306"/>
        <item m="1" x="1911"/>
        <item m="1" x="3020"/>
        <item m="1" x="271"/>
        <item m="1" x="425"/>
        <item m="1" x="344"/>
        <item m="1" x="2376"/>
        <item m="1" x="2079"/>
        <item m="1" x="493"/>
        <item m="1" x="2433"/>
        <item m="1" x="793"/>
        <item m="1" x="3138"/>
        <item m="1" x="318"/>
        <item m="1" x="2738"/>
        <item m="1" x="1129"/>
        <item m="1" x="2133"/>
        <item m="1" x="542"/>
        <item m="1" x="687"/>
        <item m="1" x="2998"/>
        <item m="1" x="155"/>
        <item m="1" x="2609"/>
        <item m="1" x="2737"/>
        <item m="1" x="1209"/>
        <item m="1" x="1848"/>
        <item m="1" x="322"/>
        <item m="1" x="253"/>
        <item m="1" x="2335"/>
        <item m="1" x="96"/>
        <item m="1" x="2129"/>
        <item m="1" x="538"/>
        <item m="1" x="682"/>
        <item m="1" x="1294"/>
        <item m="1" x="747"/>
        <item m="1" x="2729"/>
        <item m="1" x="298"/>
        <item m="1" x="2829"/>
        <item m="1" x="2810"/>
        <item m="1" x="2662"/>
        <item m="1" x="3063"/>
        <item m="1" x="1008"/>
        <item m="1" x="1596"/>
        <item m="1" x="1432"/>
        <item m="1" x="1309"/>
        <item m="1" x="842"/>
        <item m="1" x="1488"/>
        <item m="1" x="2620"/>
        <item m="1" x="660"/>
        <item m="1" x="3177"/>
        <item m="1" x="127"/>
        <item m="1" x="3107"/>
        <item m="1" x="1771"/>
        <item m="1" x="1335"/>
        <item m="1" x="1297"/>
        <item m="1" x="888"/>
        <item m="1" x="2551"/>
        <item m="1" x="190"/>
        <item m="1" x="937"/>
        <item m="1" x="1752"/>
        <item m="1" x="1564"/>
        <item m="1" x="918"/>
        <item m="1" x="161"/>
        <item m="1" x="77"/>
        <item m="1" x="2676"/>
        <item m="1" x="3178"/>
        <item m="1" x="1288"/>
        <item m="1" x="1691"/>
        <item m="1" x="1353"/>
        <item m="1" x="1455"/>
        <item m="1" x="1539"/>
        <item m="1" x="1162"/>
        <item m="1" x="1633"/>
        <item m="1" x="779"/>
        <item m="1" x="805"/>
        <item m="1" x="1603"/>
        <item m="1" x="419"/>
        <item m="1" x="1612"/>
        <item m="1" x="1695"/>
        <item m="1" x="372"/>
        <item m="1" x="1439"/>
        <item m="1" x="1518"/>
        <item m="1" x="488"/>
        <item m="1" x="2082"/>
        <item m="1" x="1480"/>
        <item m="1" x="1416"/>
        <item m="1" x="2818"/>
        <item m="1" x="2076"/>
        <item m="1" x="1984"/>
        <item m="1" x="1376"/>
        <item m="1" x="2693"/>
        <item m="1" x="2509"/>
        <item m="1" x="265"/>
        <item m="1" x="2095"/>
        <item m="1" x="2618"/>
        <item m="1" x="537"/>
        <item m="1" x="846"/>
        <item m="1" x="3170"/>
        <item m="1" x="3040"/>
        <item m="1" x="1885"/>
        <item m="1" x="2752"/>
        <item m="1" x="2225"/>
        <item m="1" x="1609"/>
        <item t="default"/>
      </items>
    </pivotField>
    <pivotField axis="axisPage" showAll="0">
      <items count="4">
        <item m="1" x="2"/>
        <item m="1" x="0"/>
        <item m="1" x="1"/>
        <item t="default"/>
      </items>
    </pivotField>
    <pivotField axis="axisRow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axis="axisRow" showAll="0">
      <items count="2">
        <item m="1" x="0"/>
        <item t="default"/>
      </items>
    </pivotField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 defaultSubtotal="0">
      <items count="3">
        <item x="0"/>
        <item x="1"/>
        <item x="2"/>
      </items>
    </pivotField>
  </pivotFields>
  <rowFields count="4">
    <field x="15"/>
    <field x="14"/>
    <field x="7"/>
    <field x="13"/>
  </rowFields>
  <colFields count="1">
    <field x="-2"/>
  </colFields>
  <pageFields count="4">
    <pageField fld="3" hier="-1"/>
    <pageField fld="4" hier="-1"/>
    <pageField fld="5" hier="-1"/>
    <pageField fld="6" hier="-1"/>
  </pageFields>
  <dataFields count="5">
    <dataField name="Suma de INVENTARIO_PROYECTADO" fld="12" baseField="0" baseItem="0"/>
    <dataField name="Suma de INVENTARIO_FISICO" fld="11" baseField="0" baseItem="0"/>
    <dataField name="Suma de BUFFER" fld="8" baseField="0" baseItem="0"/>
    <dataField name="Suma de ZONA_AMARILLA" fld="9" baseField="0" baseItem="0"/>
    <dataField name="Suma de ZONA_ROJA" fld="10" baseField="0" baseItem="0"/>
  </dataFields>
  <chartFormats count="5">
    <chartFormat chart="3" format="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Consulta desde DATOS CODIGO" backgroundRefresh="0" adjustColumnWidth="0" connectionId="16" autoFormatId="16" applyNumberFormats="0" applyBorderFormats="0" applyFontFormats="0" applyPatternFormats="0" applyAlignmentFormats="0" applyWidthHeightFormats="0">
  <queryTableRefresh nextId="70">
    <queryTableFields count="56">
      <queryTableField id="11" name="pro_empresa_id" tableColumnId="2"/>
      <queryTableField id="12" name="pro_codigo" tableColumnId="3"/>
      <queryTableField id="13" name="pro_codigovinculado" tableColumnId="4"/>
      <queryTableField id="14" name="pro_codigogenerico" tableColumnId="5"/>
      <queryTableField id="15" name="pro_codigopromocion" tableColumnId="6"/>
      <queryTableField id="16" name="pro_descripcion" tableColumnId="7"/>
      <queryTableField id="17" name="pro_grupo_id" tableColumnId="8"/>
      <queryTableField id="18" name="pro_grupo" tableColumnId="9"/>
      <queryTableField id="19" name="pro_linea_id" tableColumnId="10"/>
      <queryTableField id="20" name="pro_linea" tableColumnId="11"/>
      <queryTableField id="21" name="pro_sublinea_id" tableColumnId="12"/>
      <queryTableField id="22" name="pro_sublinea" tableColumnId="13"/>
      <queryTableField id="23" name="pro_modelo_id" tableColumnId="14"/>
      <queryTableField id="24" name="pro_modelo" tableColumnId="15"/>
      <queryTableField id="63" dataBound="0" tableColumnId="1"/>
      <queryTableField id="26" name="pro_familia" tableColumnId="17"/>
      <queryTableField id="27" name="pro_subfamilia_id" tableColumnId="18"/>
      <queryTableField id="28" name="pro_subfamilia" tableColumnId="19"/>
      <queryTableField id="29" name="pro_categoria_id" tableColumnId="20"/>
      <queryTableField id="30" name="pro_categoria" tableColumnId="21"/>
      <queryTableField id="31" name="pro_tipo_id" tableColumnId="22"/>
      <queryTableField id="32" name="pro_tipo" tableColumnId="23"/>
      <queryTableField id="33" name="pro_marca_id" tableColumnId="24"/>
      <queryTableField id="34" name="pro_marca" tableColumnId="25"/>
      <queryTableField id="35" name="pro_cat_management_id" tableColumnId="26"/>
      <queryTableField id="36" name="pro_cat_management" tableColumnId="27"/>
      <queryTableField id="37" name="pro_catpropia1_id" tableColumnId="28"/>
      <queryTableField id="38" name="pro_catpropia1" tableColumnId="29"/>
      <queryTableField id="39" name="pro_catpropia2_id" tableColumnId="30"/>
      <queryTableField id="40" name="pro_catpropia2" tableColumnId="31"/>
      <queryTableField id="41" name="pro_catpropia3_id" tableColumnId="32"/>
      <queryTableField id="42" name="pro_catpropia3" tableColumnId="33"/>
      <queryTableField id="43" name="pro_catpropia4_id" tableColumnId="34"/>
      <queryTableField id="44" name="pro_catpropia4" tableColumnId="35"/>
      <queryTableField id="45" name="pro_catpropia5_id" tableColumnId="36"/>
      <queryTableField id="46" name="pro_catpropia5" tableColumnId="37"/>
      <queryTableField id="47" name="pro_tiporeposicion" tableColumnId="38"/>
      <queryTableField id="48" name="pro_peso" tableColumnId="39"/>
      <queryTableField id="49" name="pro_unidad_peso" tableColumnId="40"/>
      <queryTableField id="50" name="pro_volumen" tableColumnId="41"/>
      <queryTableField id="51" name="pro_unidad_volumen" tableColumnId="42"/>
      <queryTableField id="52" name="pro_activo" tableColumnId="43"/>
      <queryTableField id="53" name="pro_control_buffer" tableColumnId="44"/>
      <queryTableField id="54" name="pro_precio" tableColumnId="45"/>
      <queryTableField id="55" name="pro_costo" tableColumnId="46"/>
      <queryTableField id="56" name="pro_truput_total" tableColumnId="47"/>
      <queryTableField id="57" name="pro_fechadescontinuado" tableColumnId="48"/>
      <queryTableField id="58" name="pro_unidad" tableColumnId="49"/>
      <queryTableField id="62" name="pro_estatus" tableColumnId="52"/>
      <queryTableField id="69" dataBound="0" tableColumnId="16"/>
      <queryTableField id="68" dataBound="0" tableColumnId="53"/>
      <queryTableField id="67" dataBound="0" tableColumnId="54"/>
      <queryTableField id="66" dataBound="0" tableColumnId="55"/>
      <queryTableField id="65" dataBound="0" tableColumnId="56"/>
      <queryTableField id="59" name="pro_fecha_actualizacion" tableColumnId="50"/>
      <queryTableField id="60" name="pro_notas" tableColumnId="51"/>
    </queryTableFields>
    <queryTableDeletedFields count="2">
      <deletedField name="producto_id"/>
      <deletedField name="familia_id"/>
    </queryTableDeletedFields>
  </queryTableRefresh>
</queryTable>
</file>

<file path=xl/queryTables/queryTable2.xml><?xml version="1.0" encoding="utf-8"?>
<queryTable xmlns="http://schemas.openxmlformats.org/spreadsheetml/2006/main" name="Consulta desde ARCHIVO" backgroundRefresh="0" connectionId="13" autoFormatId="16" applyNumberFormats="0" applyBorderFormats="0" applyFontFormats="0" applyPatternFormats="0" applyAlignmentFormats="0" applyWidthHeightFormats="0">
  <queryTableRefresh nextId="6" unboundColumnsRight="1">
    <queryTableFields count="4">
      <queryTableField id="1" name="CODIGO" tableColumnId="1"/>
      <queryTableField id="2" name="DESTINO" tableColumnId="2"/>
      <queryTableField id="4" name="CANTIDAD" tableColumnId="4"/>
      <queryTableField id="5" dataBound="0" tableColumnId="5"/>
    </queryTableFields>
  </queryTableRefresh>
</queryTable>
</file>

<file path=xl/queryTables/queryTable3.xml><?xml version="1.0" encoding="utf-8"?>
<queryTable xmlns="http://schemas.openxmlformats.org/spreadsheetml/2006/main" name="Consulta desde ARCHIVO_1" backgroundRefresh="0" connectionId="14" autoFormatId="16" applyNumberFormats="0" applyBorderFormats="0" applyFontFormats="0" applyPatternFormats="0" applyAlignmentFormats="0" applyWidthHeightFormats="0">
  <queryTableRefresh nextId="9" unboundColumnsRight="1">
    <queryTableFields count="4">
      <queryTableField id="1" name="CODIGO" tableColumnId="1"/>
      <queryTableField id="6" name="origen" tableColumnId="2"/>
      <queryTableField id="4" name="CANTIDAD" tableColumnId="3"/>
      <queryTableField id="8" dataBound="0" tableColumnId="4"/>
    </queryTableFields>
  </queryTableRefresh>
</queryTable>
</file>

<file path=xl/queryTables/queryTable4.xml><?xml version="1.0" encoding="utf-8"?>
<queryTable xmlns="http://schemas.openxmlformats.org/spreadsheetml/2006/main" name="Consulta desde Backorders" backgroundRefresh="0" connectionId="15" autoFormatId="16" applyNumberFormats="0" applyBorderFormats="0" applyFontFormats="0" applyPatternFormats="0" applyAlignmentFormats="0" applyWidthHeightFormats="0">
  <queryTableRefresh nextId="7">
    <queryTableFields count="3">
      <queryTableField id="4" name="BODEGA" tableColumnId="4"/>
      <queryTableField id="1" name="CODIGO " tableColumnId="1"/>
      <queryTableField id="2" name="CANTIDAD" tableColumnId="2"/>
    </queryTableFields>
  </queryTableRefresh>
</queryTable>
</file>

<file path=xl/queryTables/queryTable5.xml><?xml version="1.0" encoding="utf-8"?>
<queryTable xmlns="http://schemas.openxmlformats.org/spreadsheetml/2006/main" name="Consulta desde Reporte ROI_1" backgroundRefresh="0" connectionId="24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ROI ANUAL" tableColumnId="2"/>
    </queryTableFields>
  </queryTableRefresh>
</queryTable>
</file>

<file path=xl/queryTables/queryTable6.xml><?xml version="1.0" encoding="utf-8"?>
<queryTable xmlns="http://schemas.openxmlformats.org/spreadsheetml/2006/main" name="Consulta desde Reporte ROI" backgroundRefresh="0" connectionId="23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ROI" tableColumnId="2"/>
    </queryTableFields>
  </queryTableRefresh>
</queryTable>
</file>

<file path=xl/queryTables/queryTable7.xml><?xml version="1.0" encoding="utf-8"?>
<queryTable xmlns="http://schemas.openxmlformats.org/spreadsheetml/2006/main" name="Consulta desde Reporte ROI_2" backgroundRefresh="0" connectionId="25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ROI" tableColumnId="2"/>
    </queryTableFields>
  </queryTableRefresh>
</queryTable>
</file>

<file path=xl/queryTables/queryTable8.xml><?xml version="1.0" encoding="utf-8"?>
<queryTable xmlns="http://schemas.openxmlformats.org/spreadsheetml/2006/main" name="Consulta desde Velocidad CASH" backgroundRefresh="0" connectionId="26" autoFormatId="16" applyNumberFormats="0" applyBorderFormats="0" applyFontFormats="0" applyPatternFormats="0" applyAlignmentFormats="0" applyWidthHeightFormats="0">
  <queryTableRefresh nextId="12">
    <queryTableFields count="3">
      <queryTableField id="1" name="Empresa" tableColumnId="1"/>
      <queryTableField id="10" name="Proveedor" tableColumnId="2"/>
      <queryTableField id="9" name="Ciclo Efectivo" tableColumnId="9"/>
    </queryTableFields>
  </queryTableRefresh>
</queryTable>
</file>

<file path=xl/queryTables/queryTable9.xml><?xml version="1.0" encoding="utf-8"?>
<queryTable xmlns="http://schemas.openxmlformats.org/spreadsheetml/2006/main" name="Consulta desde ODBC MySQL en AGROTA" backgroundRefresh="0" connectionId="19" autoFormatId="16" applyNumberFormats="0" applyBorderFormats="0" applyFontFormats="0" applyPatternFormats="0" applyAlignmentFormats="0" applyWidthHeightFormats="0">
  <queryTableRefresh nextId="3">
    <queryTableFields count="2">
      <queryTableField id="1" name="CodigoVentaProducto" tableColumnId="1"/>
      <queryTableField id="2" name="NombreProveedor" tableColumnId="2"/>
    </queryTableFields>
  </queryTableRefresh>
</queryTable>
</file>

<file path=xl/queryTables/queryTable10.xml><?xml version="1.0" encoding="utf-8"?>
<queryTable xmlns="http://schemas.openxmlformats.org/spreadsheetml/2006/main" name="Consulta desde ODBC MySQL en AGROTA_1" backgroundRefresh="0" connectionId="20" autoFormatId="16" applyNumberFormats="0" applyBorderFormats="0" applyFontFormats="0" applyPatternFormats="0" applyAlignmentFormats="0" applyWidthHeightFormats="0">
  <queryTableRefresh nextId="3">
    <queryTableFields count="2">
      <queryTableField id="1" name="CodigoVentaProducto" tableColumnId="1"/>
      <queryTableField id="2" name="NombreProveedor" tableColumnId="2"/>
    </queryTableFields>
  </queryTableRefresh>
</queryTable>
</file>

<file path=xl/queryTables/queryTable11.xml><?xml version="1.0" encoding="utf-8"?>
<queryTable xmlns="http://schemas.openxmlformats.org/spreadsheetml/2006/main" name="Consulta desde Datos en Access_1" backgroundRefresh="0" connectionId="17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FECHA" tableColumnId="2"/>
    </queryTableFields>
  </queryTableRefresh>
</queryTable>
</file>

<file path=xl/queryTables/queryTable12.xml><?xml version="1.0" encoding="utf-8"?>
<queryTable xmlns="http://schemas.openxmlformats.org/spreadsheetml/2006/main" name="Consulta desde ODBC MySQL en AGROTA" backgroundRefresh="0" connectionId="21" autoFormatId="16" applyNumberFormats="0" applyBorderFormats="0" applyFontFormats="0" applyPatternFormats="0" applyAlignmentFormats="0" applyWidthHeightFormats="0">
  <queryTableRefresh nextId="2">
    <queryTableFields count="1">
      <queryTableField id="1" name="Causa" tableColumnId="1"/>
    </queryTableFields>
  </queryTableRefresh>
</queryTable>
</file>

<file path=xl/queryTables/queryTable13.xml><?xml version="1.0" encoding="utf-8"?>
<queryTable xmlns="http://schemas.openxmlformats.org/spreadsheetml/2006/main" name="Consulta desde INVENTARIO FISICO_3" backgroundRefresh="0" connectionId="18" autoFormatId="16" applyNumberFormats="0" applyBorderFormats="0" applyFontFormats="0" applyPatternFormats="0" applyAlignmentFormats="0" applyWidthHeightFormats="0">
  <queryTableRefresh nextId="19">
    <queryTableFields count="18">
      <queryTableField id="1" name="codigo" tableColumnId="1"/>
      <queryTableField id="2" name="AGROTACENTRAL" tableColumnId="2"/>
      <queryTableField id="3" name="CTV" tableColumnId="3"/>
      <queryTableField id="4" name="PV" tableColumnId="4"/>
      <queryTableField id="5" name="F5" tableColumnId="5"/>
      <queryTableField id="6" name="codigo1" tableColumnId="6"/>
      <queryTableField id="7" name="AGROTACENTRALPROPIA" tableColumnId="7"/>
      <queryTableField id="8" name="CTV1" tableColumnId="8"/>
      <queryTableField id="9" name="PV1" tableColumnId="9"/>
      <queryTableField id="10" name="F10" tableColumnId="10"/>
      <queryTableField id="11" name="codigo2" tableColumnId="11"/>
      <queryTableField id="12" name="AGROTAMAXGUAYAQUIL" tableColumnId="12"/>
      <queryTableField id="13" name="F13" tableColumnId="13"/>
      <queryTableField id="14" name="codigo3" tableColumnId="14"/>
      <queryTableField id="15" name="AGROTAPROMACOFI" tableColumnId="15"/>
      <queryTableField id="16" name="F16" tableColumnId="16"/>
      <queryTableField id="17" name="codigo4" tableColumnId="17"/>
      <queryTableField id="18" name="AGROTAEIGUANCHI" tableColumnId="18"/>
    </queryTableFields>
  </queryTableRefresh>
</queryTable>
</file>

<file path=xl/queryTables/queryTable14.xml><?xml version="1.0" encoding="utf-8"?>
<queryTable xmlns="http://schemas.openxmlformats.org/spreadsheetml/2006/main" name="Consulta desde ODBC RAMCAS1" backgroundRefresh="0" connectionId="22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ROI" tableColumnId="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ODEGA" sourceName="BODEGA">
  <extLst>
    <x:ext xmlns:x15="http://schemas.microsoft.com/office/spreadsheetml/2010/11/main" uri="{2F2917AC-EB37-4324-AD4E-5DD8C200BD13}">
      <x15:tableSlicerCache tableId="2" column="40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Estatus" sourceName="Estatus">
  <extLst>
    <x:ext xmlns:x15="http://schemas.microsoft.com/office/spreadsheetml/2010/11/main" uri="{2F2917AC-EB37-4324-AD4E-5DD8C200BD13}">
      <x15:tableSlicerCache tableId="2" column="578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lasificación" sourceName="Clasificación">
  <extLst>
    <x:ext xmlns:x15="http://schemas.microsoft.com/office/spreadsheetml/2010/11/main" uri="{2F2917AC-EB37-4324-AD4E-5DD8C200BD13}">
      <x15:tableSlicerCache tableId="2" column="323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Responsable" sourceName="Responsable">
  <extLst>
    <x:ext xmlns:x15="http://schemas.microsoft.com/office/spreadsheetml/2010/11/main" uri="{2F2917AC-EB37-4324-AD4E-5DD8C200BD13}">
      <x15:tableSlicerCache tableId="2" column="324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veedor" sourceName="Proveedor">
  <extLst>
    <x:ext xmlns:x15="http://schemas.microsoft.com/office/spreadsheetml/2010/11/main" uri="{2F2917AC-EB37-4324-AD4E-5DD8C200BD13}">
      <x15:tableSlicerCache tableId="2" column="300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erfil" sourceName="Perfil">
  <extLst>
    <x:ext xmlns:x15="http://schemas.microsoft.com/office/spreadsheetml/2010/11/main" uri="{2F2917AC-EB37-4324-AD4E-5DD8C200BD13}">
      <x15:tableSlicerCache tableId="2" column="224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Color" sourceName="Color">
  <extLst>
    <x:ext xmlns:x15="http://schemas.microsoft.com/office/spreadsheetml/2010/11/main" uri="{2F2917AC-EB37-4324-AD4E-5DD8C200BD13}">
      <x15:tableSlicerCache tableId="2" column="99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Ult_Cambio" sourceName="Ult Cambio">
  <extLst>
    <x:ext xmlns:x15="http://schemas.microsoft.com/office/spreadsheetml/2010/11/main" uri="{2F2917AC-EB37-4324-AD4E-5DD8C200BD13}">
      <x15:tableSlicerCache tableId="2" column="7" sortOrder="descending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BODEGA" cache="SegmentaciónDeDatos_BODEGA" caption="BODEGA" style="SlicerStyleLight2" rowHeight="225425"/>
  <slicer name="Estatus" cache="SegmentaciónDeDatos_Estatus" caption="Estatus" columnCount="2" style="SlicerStyleLight5" rowHeight="225425"/>
  <slicer name="Clasificación" cache="SegmentaciónDeDatos_Clasificación" caption="Clasificación" columnCount="2" style="SlicerStyleLight5" rowHeight="225425"/>
  <slicer name="Responsable" cache="SegmentaciónDeDatos_Responsable" caption="Responsable" style="SlicerStyleLight5" rowHeight="225425"/>
  <slicer name="Proveedor" cache="SegmentaciónDeDatos_Proveedor" caption="Proveedor" style="SlicerStyleLight3" rowHeight="225425"/>
  <slicer name="Perfil" cache="SegmentaciónDeDatos_Perfil" caption="Perfil" style="SlicerStyleLight3" rowHeight="225425"/>
  <slicer name="Color" cache="SegmentaciónDeDatos_Color" caption="Color" columnCount="2" style="SlicerStyleLight5" rowHeight="225425"/>
  <slicer name="Ult Cambio" cache="SegmentaciónDeDatos_Ult_Cambio" caption="Ult Cambio" style="SlicerStyleDark4" rowHeight="225425"/>
</slicer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id="2" name="CONTROL" displayName="CONTROL" comment="Es la hoja principal donde están todos los datos de los ítems." ref="A2:LE289" totalsRowShown="0" headerRowDxfId="504" dataDxfId="503">
  <autoFilter ref="A2:LE289"/>
  <tableColumns count="317">
    <tableColumn id="40" name="BODEGA" dataDxfId="502"/>
    <tableColumn id="1" name="CODIGO" dataDxfId="501"/>
    <tableColumn id="51" name="CODIGO FUNCIONAL" dataDxfId="500"/>
    <tableColumn id="50" name="CODIGO VINCULADO" dataDxfId="499"/>
    <tableColumn id="49" name="CODIGO GENERICO" dataDxfId="498"/>
    <tableColumn id="2" name="DESCRIPCION" dataDxfId="497"/>
    <tableColumn id="13" name="GRUPO" dataDxfId="496"/>
    <tableColumn id="33" name="LINEA" dataDxfId="495"/>
    <tableColumn id="129" name="SUBLINEA" dataDxfId="494"/>
    <tableColumn id="131" name="FAMILIA" dataDxfId="493"/>
    <tableColumn id="132" name="SUBFAMILIA" dataDxfId="492"/>
    <tableColumn id="133" name="CATEGORIA" dataDxfId="491"/>
    <tableColumn id="32" name="TIPO" dataDxfId="490"/>
    <tableColumn id="134" name="MARCA" dataDxfId="489"/>
    <tableColumn id="130" name="MODELO" dataDxfId="488"/>
    <tableColumn id="135" name="CAT MANAGEMENT" dataDxfId="487"/>
    <tableColumn id="136" name="CAT PROPIA 1" dataDxfId="486"/>
    <tableColumn id="137" name="CAT PROPIA 2" dataDxfId="485"/>
    <tableColumn id="138" name="CAT PROPIA 3" dataDxfId="484"/>
    <tableColumn id="139" name="CAT PROPIA 4" dataDxfId="483"/>
    <tableColumn id="140" name="CAT PROPIA 5" dataDxfId="482"/>
    <tableColumn id="578" name="Estatus" dataDxfId="481"/>
    <tableColumn id="323" name="Clasificación" dataDxfId="480"/>
    <tableColumn id="324" name="Responsable" dataDxfId="479"/>
    <tableColumn id="37" name="CTV" dataDxfId="478"/>
    <tableColumn id="39" name="PV" dataDxfId="477"/>
    <tableColumn id="325" name="Precio Promoción" dataDxfId="476"/>
    <tableColumn id="326" name="Inicio Promoción" dataDxfId="475"/>
    <tableColumn id="327" name="Fin Promoción" dataDxfId="474"/>
    <tableColumn id="300" name="Proveedor" dataDxfId="473"/>
    <tableColumn id="224" name="Perfil" dataDxfId="472"/>
    <tableColumn id="43" name="Horizonte" dataDxfId="471"/>
    <tableColumn id="44" name="T Suministro" dataDxfId="470"/>
    <tableColumn id="45" name="Frec Repos" dataDxfId="469"/>
    <tableColumn id="30" name="GDB" dataDxfId="468"/>
    <tableColumn id="41" name="Cam" dataDxfId="467"/>
    <tableColumn id="290" name="Etapa" dataDxfId="466"/>
    <tableColumn id="76" name="Nuevo Buff Ingles" dataDxfId="465"/>
    <tableColumn id="77" name="Nuevo Buff Espanol" dataDxfId="464"/>
    <tableColumn id="26" name="Nuevo Buff Sug" dataDxfId="463"/>
    <tableColumn id="539" name="Comportamiento" dataDxfId="462"/>
    <tableColumn id="165" name="Consumo" dataDxfId="461"/>
    <tableColumn id="170" name="Buff Calc" dataDxfId="460"/>
    <tableColumn id="502" name="Cobertura Buffer" dataDxfId="459"/>
    <tableColumn id="503" name="Cobertura Inv Proy" dataDxfId="458"/>
    <tableColumn id="648" name="Cobertura Ped Min" dataDxfId="457"/>
    <tableColumn id="504" name="Días Desabastecimiento" dataDxfId="456"/>
    <tableColumn id="322" name="Ventas Perdidas" dataDxfId="455"/>
    <tableColumn id="6" name="Observaciones" dataDxfId="454"/>
    <tableColumn id="29" name="Nuevo Buff Real" dataDxfId="453"/>
    <tableColumn id="693" name="Posponer BUF" dataDxfId="452"/>
    <tableColumn id="694" name="Posponer RED" dataDxfId="451"/>
    <tableColumn id="695" name="Posponer GDB" dataDxfId="450"/>
    <tableColumn id="36" name="Buff Min" dataDxfId="449"/>
    <tableColumn id="505" name="Buff Max" dataDxfId="448"/>
    <tableColumn id="61" name="PEDID Min" dataDxfId="447"/>
    <tableColumn id="739" name="Redondeo Pedido Mínimo" dataDxfId="446"/>
    <tableColumn id="541" name="PEDID Min Grupo" dataDxfId="445"/>
    <tableColumn id="365" name="Unidad Empaque" dataDxfId="444"/>
    <tableColumn id="740" name="Redondeo Unidad Empaque" dataDxfId="443"/>
    <tableColumn id="149" name="Porc Aten" dataDxfId="442"/>
    <tableColumn id="42" name="Impacto Faltante" dataDxfId="441"/>
    <tableColumn id="3" name="Buff Act" dataDxfId="440"/>
    <tableColumn id="27" name="Zona Amar" dataDxfId="439"/>
    <tableColumn id="28" name="Zona Roja" dataDxfId="438"/>
    <tableColumn id="99" name="Color" dataDxfId="437"/>
    <tableColumn id="282" name="Color1" dataDxfId="436"/>
    <tableColumn id="56" name="Ult Buffer" dataDxfId="435"/>
    <tableColumn id="67" name="Buff Ant Estacion" dataDxfId="434"/>
    <tableColumn id="66" name="Buff Estacional" dataDxfId="433"/>
    <tableColumn id="8" name="Inv Proveed" dataDxfId="432"/>
    <tableColumn id="22" name="Inv Fís Act" dataDxfId="431"/>
    <tableColumn id="38" name="Estado Buffer" dataDxfId="430"/>
    <tableColumn id="18" name="Tráns Act" dataDxfId="429"/>
    <tableColumn id="572" name="Negociación" dataDxfId="428"/>
    <tableColumn id="573" name="Producción" dataDxfId="427"/>
    <tableColumn id="574" name="Embarcado" dataDxfId="426"/>
    <tableColumn id="20" name="Comprom" dataDxfId="425"/>
    <tableColumn id="21" name="Backorders" dataDxfId="424"/>
    <tableColumn id="19" name="Inv Proy Act" dataDxfId="423"/>
    <tableColumn id="499" name="Estado Buffer Proy" dataDxfId="422"/>
    <tableColumn id="682" name="Ingresos" dataDxfId="421"/>
    <tableColumn id="683" name="Egresos" dataDxfId="420"/>
    <tableColumn id="750" name="Pedid Calc Auxiliar" dataDxfId="419"/>
    <tableColumn id="34" name="PEDIDCalc" dataDxfId="418"/>
    <tableColumn id="11" name="PEDID Prom" dataDxfId="417"/>
    <tableColumn id="23" name="PEDID Real" dataDxfId="416"/>
    <tableColumn id="65" name="Calendario Estacional" dataDxfId="415"/>
    <tableColumn id="72" name="Acción Estacional" dataDxfId="414"/>
    <tableColumn id="142" name="Etapa Estacional" dataDxfId="413"/>
    <tableColumn id="12" name="T$D" dataDxfId="412"/>
    <tableColumn id="24" name="I$D" dataDxfId="411"/>
    <tableColumn id="25" name="Rentabilid" dataDxfId="410"/>
    <tableColumn id="500" name="Rentabilidad Proy" dataDxfId="409"/>
    <tableColumn id="9" name="Vel Efect" dataDxfId="408"/>
    <tableColumn id="5" name="Servicio" dataDxfId="407"/>
    <tableColumn id="7" name="Ult Cambio" dataDxfId="406"/>
    <tableColumn id="48" name="Nuevo Inicio" dataDxfId="405"/>
    <tableColumn id="46" name="Inicio Per" dataDxfId="404"/>
    <tableColumn id="47" name="Fin Per" dataDxfId="403"/>
    <tableColumn id="579" name="Ult Transfer Inicial" dataDxfId="402"/>
    <tableColumn id="580" name="Ult Transfer Final" dataDxfId="401"/>
    <tableColumn id="35" name="Var" dataDxfId="400"/>
    <tableColumn id="283" name="Porcent Lleno" dataDxfId="399"/>
    <tableColumn id="4" name="Rojo Acum" dataDxfId="398"/>
    <tableColumn id="10" name="Negro" dataDxfId="397"/>
    <tableColumn id="14" name="Rojo" dataDxfId="396"/>
    <tableColumn id="15" name="Amarillo" dataDxfId="395"/>
    <tableColumn id="16" name="Verde" dataDxfId="394"/>
    <tableColumn id="17" name="Lila" dataDxfId="393"/>
    <tableColumn id="649" name="Err Ped Grupo" dataDxfId="392"/>
    <tableColumn id="540" name="Numero Fila" dataDxfId="391"/>
    <tableColumn id="655" name="Borrar" dataDxfId="390"/>
    <tableColumn id="54" name="Coincidir Codigo en Producto" dataDxfId="389"/>
    <tableColumn id="55" name="Bodega-Codigo" dataDxfId="388"/>
    <tableColumn id="953" name="Coincidir Bodega Codigo en Consumo" dataDxfId="387"/>
    <tableColumn id="954" name="Coincidir Bodega Codigo en Inventario" dataDxfId="386"/>
    <tableColumn id="927" name="Coincidir Bodega Codigo en Servicio" dataDxfId="385"/>
    <tableColumn id="715" name="Coincidir Bodega Codigo en Ultimo Cambio" dataDxfId="384"/>
    <tableColumn id="921" name="Coincidir Bodega Perfil" dataDxfId="383"/>
    <tableColumn id="923" name="Columnas Horizonte" dataDxfId="382"/>
    <tableColumn id="689" name="25/11/2016" dataDxfId="381"/>
    <tableColumn id="690" name="26/11/2016" dataDxfId="380"/>
    <tableColumn id="691" name="28/11/2016" dataDxfId="379"/>
    <tableColumn id="692" name="29/11/2016" dataDxfId="378"/>
    <tableColumn id="696" name="30/11/2016" dataDxfId="377"/>
    <tableColumn id="697" name="01/12/2016" dataDxfId="376"/>
    <tableColumn id="698" name="02/12/2016" dataDxfId="375"/>
    <tableColumn id="699" name="03/12/2016" dataDxfId="374"/>
    <tableColumn id="700" name="05/12/2016" dataDxfId="373"/>
    <tableColumn id="701" name="06/12/2016" dataDxfId="372"/>
    <tableColumn id="702" name="13/12/2016" dataDxfId="371"/>
    <tableColumn id="703" name="14/12/2016" dataDxfId="370"/>
    <tableColumn id="704" name="15/12/2016" dataDxfId="369"/>
    <tableColumn id="705" name="16/12/2016" dataDxfId="368"/>
    <tableColumn id="706" name="17/12/2016" dataDxfId="367"/>
    <tableColumn id="707" name="18/12/2016" dataDxfId="366"/>
    <tableColumn id="708" name="19/12/2016" dataDxfId="365"/>
    <tableColumn id="709" name="20/12/2016" dataDxfId="364"/>
    <tableColumn id="710" name="21/12/2016" dataDxfId="363"/>
    <tableColumn id="711" name="22/12/2016" dataDxfId="362"/>
    <tableColumn id="712" name="23/12/2016" dataDxfId="361"/>
    <tableColumn id="713" name="24/12/2016" dataDxfId="360"/>
    <tableColumn id="714" name="03/01/2017" dataDxfId="359"/>
    <tableColumn id="716" name="04/01/2017" dataDxfId="358"/>
    <tableColumn id="717" name="05/01/2017" dataDxfId="357"/>
    <tableColumn id="718" name="06/01/2017" dataDxfId="356"/>
    <tableColumn id="719" name="07/01/2017" dataDxfId="355"/>
    <tableColumn id="720" name="08/01/2017" dataDxfId="354"/>
    <tableColumn id="721" name="09/01/2017" dataDxfId="353"/>
    <tableColumn id="722" name="10/01/2017" dataDxfId="352"/>
    <tableColumn id="723" name="11/01/2017" dataDxfId="351"/>
    <tableColumn id="724" name="12/01/2017" dataDxfId="350"/>
    <tableColumn id="725" name="13/01/2017" dataDxfId="349"/>
    <tableColumn id="726" name="14/01/2017" dataDxfId="348"/>
    <tableColumn id="727" name="16/01/2017" dataDxfId="347"/>
    <tableColumn id="728" name="17/01/2017" dataDxfId="346"/>
    <tableColumn id="729" name="18/01/2017" dataDxfId="345"/>
    <tableColumn id="730" name="19/01/2017" dataDxfId="344"/>
    <tableColumn id="731" name="20/01/2017" dataDxfId="343"/>
    <tableColumn id="732" name="21/01/2017" dataDxfId="342"/>
    <tableColumn id="733" name="25/01/2017" dataDxfId="341"/>
    <tableColumn id="734" name="26/01/2017" dataDxfId="340"/>
    <tableColumn id="735" name="27/01/2017" dataDxfId="339"/>
    <tableColumn id="736" name="28/01/2017" dataDxfId="338"/>
    <tableColumn id="737" name="29/01/2017" dataDxfId="337"/>
    <tableColumn id="738" name="30/01/2017" dataDxfId="336"/>
    <tableColumn id="741" name="31/01/2017" dataDxfId="335"/>
    <tableColumn id="742" name="01/02/2017" dataDxfId="334"/>
    <tableColumn id="743" name="02/02/2017" dataDxfId="333"/>
    <tableColumn id="744" name="03/02/2017" dataDxfId="332"/>
    <tableColumn id="745" name="04/02/2017" dataDxfId="331"/>
    <tableColumn id="746" name="05/02/2017" dataDxfId="330"/>
    <tableColumn id="747" name="06/02/2017" dataDxfId="329"/>
    <tableColumn id="748" name="07/02/2017" dataDxfId="328"/>
    <tableColumn id="749" name="08/02/2017" dataDxfId="327"/>
    <tableColumn id="751" name="09/02/2017" dataDxfId="326"/>
    <tableColumn id="752" name="10/02/2017" dataDxfId="325"/>
    <tableColumn id="753" name="11/02/2017" dataDxfId="324"/>
    <tableColumn id="754" name="12/02/2017" dataDxfId="323"/>
    <tableColumn id="755" name="13/02/2017" dataDxfId="322"/>
    <tableColumn id="756" name="14/02/2017" dataDxfId="321"/>
    <tableColumn id="757" name="15/02/2017" dataDxfId="320"/>
    <tableColumn id="758" name="16/02/2017" dataDxfId="319"/>
    <tableColumn id="759" name="17/02/2017" dataDxfId="318"/>
    <tableColumn id="760" name="18/02/2017" dataDxfId="317"/>
    <tableColumn id="761" name="19/02/2017" dataDxfId="316"/>
    <tableColumn id="762" name="20/02/2017" dataDxfId="315"/>
    <tableColumn id="763" name="21/02/2017" dataDxfId="314"/>
    <tableColumn id="764" name="22/02/2017" dataDxfId="313"/>
    <tableColumn id="765" name="23/02/2017" dataDxfId="312"/>
    <tableColumn id="766" name="24/02/2017" dataDxfId="311"/>
    <tableColumn id="767" name="25/02/2017" dataDxfId="310"/>
    <tableColumn id="768" name="26/02/2017" dataDxfId="309"/>
    <tableColumn id="769" name="27/02/2017" dataDxfId="308"/>
    <tableColumn id="770" name="28/02/2017" dataDxfId="307"/>
    <tableColumn id="771" name="01/03/2017" dataDxfId="306"/>
    <tableColumn id="772" name="02/03/2017" dataDxfId="305"/>
    <tableColumn id="773" name="03/03/2017" dataDxfId="304"/>
    <tableColumn id="774" name="04/03/2017" dataDxfId="303"/>
    <tableColumn id="775" name="05/03/2017" dataDxfId="302"/>
    <tableColumn id="776" name="06/03/2017" dataDxfId="301"/>
    <tableColumn id="777" name="07/03/2017" dataDxfId="300"/>
    <tableColumn id="778" name="08/03/2017" dataDxfId="299"/>
    <tableColumn id="779" name="09/03/2017" dataDxfId="298"/>
    <tableColumn id="780" name="10/03/2017" dataDxfId="297"/>
    <tableColumn id="781" name="11/03/2017" dataDxfId="296"/>
    <tableColumn id="782" name="13/03/2017" dataDxfId="295"/>
    <tableColumn id="783" name="14/03/2017" dataDxfId="294"/>
    <tableColumn id="784" name="15/03/2017" dataDxfId="293"/>
    <tableColumn id="785" name="16/03/2017" dataDxfId="292"/>
    <tableColumn id="786" name="17/03/2017" dataDxfId="291"/>
    <tableColumn id="787" name="18/03/2017" dataDxfId="290"/>
    <tableColumn id="788" name="19/03/2017" dataDxfId="289"/>
    <tableColumn id="789" name="20/03/2017" dataDxfId="288"/>
    <tableColumn id="790" name="21/03/2017" dataDxfId="287"/>
    <tableColumn id="791" name="22/03/2017" dataDxfId="286"/>
    <tableColumn id="792" name="23/03/2017" dataDxfId="285"/>
    <tableColumn id="793" name="24/03/2017" dataDxfId="284"/>
    <tableColumn id="794" name="25/03/2017" dataDxfId="283"/>
    <tableColumn id="795" name="26/03/2017" dataDxfId="282"/>
    <tableColumn id="796" name="27/03/2017" dataDxfId="281"/>
    <tableColumn id="797" name="28/03/2017" dataDxfId="280"/>
    <tableColumn id="798" name="29/03/2017" dataDxfId="279"/>
    <tableColumn id="799" name="30/03/2017" dataDxfId="278"/>
    <tableColumn id="800" name="31/03/2017" dataDxfId="277"/>
    <tableColumn id="801" name="01/04/2017" dataDxfId="276"/>
    <tableColumn id="802" name="02/04/2017" dataDxfId="275"/>
    <tableColumn id="803" name="03/04/2017" dataDxfId="274"/>
    <tableColumn id="804" name="04/04/2017" dataDxfId="273"/>
    <tableColumn id="805" name="05/04/2017" dataDxfId="272"/>
    <tableColumn id="806" name="06/04/2017" dataDxfId="271"/>
    <tableColumn id="807" name="07/04/2017" dataDxfId="270"/>
    <tableColumn id="808" name="10/04/2017" dataDxfId="269"/>
    <tableColumn id="809" name="11/04/2017" dataDxfId="268"/>
    <tableColumn id="810" name="12/04/2017" dataDxfId="267"/>
    <tableColumn id="811" name="13/04/2017" dataDxfId="266"/>
    <tableColumn id="812" name="14/04/2017" dataDxfId="265"/>
    <tableColumn id="813" name="17/04/2017" dataDxfId="264"/>
    <tableColumn id="814" name="18/04/2017" dataDxfId="263"/>
    <tableColumn id="815" name="19/04/2017" dataDxfId="262"/>
    <tableColumn id="816" name="20/04/2017" dataDxfId="261"/>
    <tableColumn id="817" name="21/04/2017" dataDxfId="260"/>
    <tableColumn id="818" name="24/04/2017" dataDxfId="259"/>
    <tableColumn id="819" name="25/04/2017" dataDxfId="258"/>
    <tableColumn id="820" name="26/04/2017" dataDxfId="257"/>
    <tableColumn id="821" name="27/04/2017" dataDxfId="256"/>
    <tableColumn id="822" name="28/04/2017" dataDxfId="255"/>
    <tableColumn id="823" name="01/05/2017" dataDxfId="254"/>
    <tableColumn id="824" name="02/05/2017" dataDxfId="253"/>
    <tableColumn id="825" name="03/05/2017" dataDxfId="252"/>
    <tableColumn id="826" name="04/05/2017" dataDxfId="251"/>
    <tableColumn id="827" name="05/05/2017" dataDxfId="250"/>
    <tableColumn id="828" name="08/05/2017" dataDxfId="249"/>
    <tableColumn id="829" name="09/05/2017" dataDxfId="248"/>
    <tableColumn id="830" name="10/05/2017" dataDxfId="247"/>
    <tableColumn id="831" name="11/05/2017" dataDxfId="246"/>
    <tableColumn id="832" name="12/05/2017" dataDxfId="245"/>
    <tableColumn id="833" name="15/05/2017" dataDxfId="244"/>
    <tableColumn id="834" name="16/05/2017" dataDxfId="243"/>
    <tableColumn id="835" name="17/05/2017" dataDxfId="242"/>
    <tableColumn id="836" name="18/05/2017" dataDxfId="241"/>
    <tableColumn id="837" name="19/05/2017" dataDxfId="240"/>
    <tableColumn id="838" name="22/05/2017" dataDxfId="239"/>
    <tableColumn id="839" name="23/05/2017" dataDxfId="238"/>
    <tableColumn id="840" name="24/05/2017" dataDxfId="237"/>
    <tableColumn id="841" name="25/05/2017" dataDxfId="236"/>
    <tableColumn id="842" name="26/05/2017" dataDxfId="235"/>
    <tableColumn id="843" name="29/05/2017" dataDxfId="234"/>
    <tableColumn id="844" name="30/05/2017" dataDxfId="233"/>
    <tableColumn id="845" name="31/05/2017" dataDxfId="232"/>
    <tableColumn id="846" name="01/06/2017" dataDxfId="231"/>
    <tableColumn id="847" name="02/06/2017" dataDxfId="230"/>
    <tableColumn id="848" name="05/06/2017" dataDxfId="229"/>
    <tableColumn id="849" name="06/06/2017" dataDxfId="228"/>
    <tableColumn id="850" name="07/06/2017" dataDxfId="227"/>
    <tableColumn id="851" name="08/06/2017" dataDxfId="226"/>
    <tableColumn id="852" name="09/06/2017" dataDxfId="225"/>
    <tableColumn id="853" name="12/06/2017" dataDxfId="224"/>
    <tableColumn id="854" name="13/06/2017" dataDxfId="223"/>
    <tableColumn id="855" name="14/06/2017" dataDxfId="222"/>
    <tableColumn id="856" name="15/06/2017" dataDxfId="221"/>
    <tableColumn id="857" name="16/06/2017" dataDxfId="220"/>
    <tableColumn id="858" name="19/06/2017" dataDxfId="219"/>
    <tableColumn id="859" name="20/06/2017" dataDxfId="218"/>
    <tableColumn id="860" name="21/06/2017" dataDxfId="217"/>
    <tableColumn id="861" name="22/06/2017" dataDxfId="216"/>
    <tableColumn id="862" name="23/06/2017" dataDxfId="215"/>
    <tableColumn id="863" name="26/06/2017" dataDxfId="214"/>
    <tableColumn id="864" name="27/06/2017" dataDxfId="213"/>
    <tableColumn id="865" name="28/06/2017" dataDxfId="212"/>
    <tableColumn id="866" name="29/06/2017" dataDxfId="211"/>
    <tableColumn id="867" name="30/06/2017" dataDxfId="210"/>
    <tableColumn id="868" name="03/07/2017" dataDxfId="209"/>
    <tableColumn id="869" name="04/07/2017" dataDxfId="208"/>
    <tableColumn id="870" name="05/07/2017" dataDxfId="207"/>
    <tableColumn id="871" name="06/07/2017" dataDxfId="206"/>
    <tableColumn id="872" name="07/07/2017" dataDxfId="205"/>
    <tableColumn id="873" name="10/07/2017" dataDxfId="204"/>
    <tableColumn id="874" name="11/07/2017" dataDxfId="203"/>
    <tableColumn id="875" name="12/07/2017" dataDxfId="202"/>
    <tableColumn id="876" name="13/07/2017" dataDxfId="201"/>
    <tableColumn id="877" name="14/07/2017" dataDxfId="200"/>
    <tableColumn id="878" name="17/07/2017" dataDxfId="199"/>
    <tableColumn id="879" name="18/07/2017" dataDxfId="198"/>
    <tableColumn id="880" name="19/07/2017" dataDxfId="197"/>
    <tableColumn id="881" name="20/07/2017" dataDxfId="196"/>
    <tableColumn id="882" name="21/07/2017" dataDxfId="195"/>
    <tableColumn id="883" name="24/07/2017" dataDxfId="194"/>
    <tableColumn id="884" name="25/07/2017" dataDxfId="193"/>
    <tableColumn id="885" name="26/07/2017" dataDxfId="192"/>
    <tableColumn id="886" name="27/07/2017" dataDxfId="191"/>
    <tableColumn id="887" name="28/07/2017" dataDxfId="190"/>
    <tableColumn id="888" name="31/07/2017" dataDxfId="189"/>
    <tableColumn id="889" name="01/08/2017" dataDxfId="188"/>
    <tableColumn id="890" name="02/08/2017" dataDxfId="187"/>
    <tableColumn id="891" name="03/08/2017" dataDxfId="186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47" name="Tabla_Transito_Detallado" displayName="Tabla_Transito_Detallado" ref="A1:N2" totalsRowShown="0">
  <autoFilter ref="A1:N2"/>
  <tableColumns count="14">
    <tableColumn id="1" name="CODTRANSFER"/>
    <tableColumn id="8" name="CODIGO"/>
    <tableColumn id="9" name="DESCRIPCION"/>
    <tableColumn id="10" name="GRUPO"/>
    <tableColumn id="11" name="LINEA"/>
    <tableColumn id="2" name="TRANSITO"/>
    <tableColumn id="3" name="ORIGEN"/>
    <tableColumn id="4" name="DESTINO"/>
    <tableColumn id="5" name="REFERENCIA"/>
    <tableColumn id="6" name="FECHAARRIBO"/>
    <tableColumn id="7" name="COSTO"/>
    <tableColumn id="12" name="INVFIS" dataDxfId="185"/>
    <tableColumn id="14" name="INVTRANS" dataDxfId="184"/>
    <tableColumn id="13" name="INVPROY" dataDxfId="18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4" name="tbl_transferencia_atrasada" displayName="tbl_transferencia_atrasada" ref="A2:O3" insertRow="1" totalsRowShown="0" headerRowDxfId="174">
  <autoFilter ref="A2:O3"/>
  <tableColumns count="15">
    <tableColumn id="15" name="BODEGA"/>
    <tableColumn id="1" name="CODIGO"/>
    <tableColumn id="2" name="DESCRIPCION"/>
    <tableColumn id="3" name="GRUPO"/>
    <tableColumn id="4" name="LINEA"/>
    <tableColumn id="5" name="SUBLINEA"/>
    <tableColumn id="6" name="MODELO"/>
    <tableColumn id="7" name="FAMILIA"/>
    <tableColumn id="8" name="SUBFAMILIA"/>
    <tableColumn id="9" name="CATEGORIA"/>
    <tableColumn id="10" name="TIPO"/>
    <tableColumn id="11" name="MARCA"/>
    <tableColumn id="12" name="FECHA PROGRAMADA" dataDxfId="173"/>
    <tableColumn id="13" name="ULTIMA TRANSFERENCIA" dataDxfId="172"/>
    <tableColumn id="14" name="DIAS ATRASO" dataDxfId="171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5" name="tbl_transferencia_demorada" displayName="tbl_transferencia_demorada" ref="A2:Q3" insertRow="1" totalsRowShown="0" headerRowDxfId="170">
  <autoFilter ref="A2:Q3"/>
  <tableColumns count="17">
    <tableColumn id="15" name="BODEGA"/>
    <tableColumn id="1" name="CODIGO"/>
    <tableColumn id="2" name="DESCRIPCION"/>
    <tableColumn id="3" name="GRUPO"/>
    <tableColumn id="4" name="LINEA"/>
    <tableColumn id="5" name="SUBLINEA"/>
    <tableColumn id="6" name="MODELO"/>
    <tableColumn id="7" name="FAMILIA"/>
    <tableColumn id="8" name="SUBFAMILIA"/>
    <tableColumn id="9" name="CATEGORIA"/>
    <tableColumn id="10" name="TIPO"/>
    <tableColumn id="11" name="MARCA"/>
    <tableColumn id="12" name="INICIO ULTIMA TRANSFERENCIA" dataDxfId="169"/>
    <tableColumn id="13" name="FIN ULTIMA TRANSFERENCIA" dataDxfId="168"/>
    <tableColumn id="14" name="DIAS ULTIMA TRANSFERENCIA" dataDxfId="167"/>
    <tableColumn id="16" name="DIAS TIEMPO SUMINISTRO" dataDxfId="166"/>
    <tableColumn id="17" name="DIAS ATRASO" dataDxfId="165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43" name="Tabla_Duplicados" displayName="Tabla_Duplicados" ref="A1:E2" insertRow="1" totalsRowShown="0" dataDxfId="164">
  <autoFilter ref="A1:E2"/>
  <tableColumns count="5">
    <tableColumn id="1" name="EMPRESA" dataDxfId="163"/>
    <tableColumn id="2" name="BODEGA" dataDxfId="162"/>
    <tableColumn id="3" name="CODIGO" dataDxfId="161"/>
    <tableColumn id="4" name="DESCRIPCIÓN" dataDxfId="160"/>
    <tableColumn id="5" name="HOJA CB" dataDxfId="159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0" name="tbl_Redondeo_Pedido_Minimo" displayName="tbl_Redondeo_Pedido_Minimo" ref="A1:D2" totalsRowShown="0">
  <autoFilter ref="A1:D2"/>
  <tableColumns count="4">
    <tableColumn id="1" name="Nombre"/>
    <tableColumn id="2" name="Campo"/>
    <tableColumn id="3" name="Categoría"/>
    <tableColumn id="4" name="Porcentaje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42" name="tbl_Nombres_Redondeo_Pedido_Minimo" displayName="tbl_Nombres_Redondeo_Pedido_Minimo" ref="F1:F2" totalsRowShown="0" headerRowDxfId="158">
  <autoFilter ref="F1:F2"/>
  <tableColumns count="1">
    <tableColumn id="1" name="NombreUnico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0" name="XXYY" displayName="XXYY" comment="Es la hoja principal donde están todos los datos de los ítems." ref="A2:DS3" totalsRowShown="0">
  <autoFilter ref="A2:DS3"/>
  <tableColumns count="123">
    <tableColumn id="53" name="BODEGA"/>
    <tableColumn id="54" name="CODIGO"/>
    <tableColumn id="75" name="CODIGO FUNCIONAL"/>
    <tableColumn id="78" name="CODIGO VINCULADO">
      <calculatedColumnFormula>IF(ISERROR(CONTROL[[#This Row],[Coincidir Codigo en Producto]]),"",INDEX(Tabla_Datos_Codigo[pro_codigovinculado],CONTROL[[#This Row],[Coincidir Codigo en Producto]]))</calculatedColumnFormula>
    </tableColumn>
    <tableColumn id="79" name="CODIGO GENERICO">
      <calculatedColumnFormula>IF(ISERROR(CONTROL[[#This Row],[Coincidir Codigo en Producto]]),"",INDEX(Tabla_Datos_Codigo[pro_codigogenerico],CONTROL[[#This Row],[Coincidir Codigo en Producto]]))</calculatedColumnFormula>
    </tableColumn>
    <tableColumn id="2" name="DESCRIPCION">
      <calculatedColumnFormula>IF(ISERROR(CONTROL[[#This Row],[Coincidir Codigo en Producto]]),"",INDEX(Tabla_Datos_Codigo[pro_descripcion],CONTROL[[#This Row],[Coincidir Codigo en Producto]]))</calculatedColumnFormula>
    </tableColumn>
    <tableColumn id="13" name="GRUPO">
      <calculatedColumnFormula>IF(ISERROR(CONTROL[[#This Row],[Coincidir Codigo en Producto]]),"",INDEX(Tabla_Datos_Codigo[pro_grupo],CONTROL[[#This Row],[Coincidir Codigo en Producto]]))</calculatedColumnFormula>
    </tableColumn>
    <tableColumn id="33" name="LINEA">
      <calculatedColumnFormula>IF(ISERROR(CONTROL[[#This Row],[Coincidir Codigo en Producto]]),"",INDEX(Tabla_Datos_Codigo[pro_linea],CONTROL[[#This Row],[Coincidir Codigo en Producto]]))</calculatedColumnFormula>
    </tableColumn>
    <tableColumn id="3" name="SUBLINEA">
      <calculatedColumnFormula>IF(ISERROR(CONTROL[[#This Row],[Coincidir Codigo en Producto]]),"",INDEX(Tabla_Datos_Codigo[pro_sublinea],CONTROL[[#This Row],[Coincidir Codigo en Producto]]))</calculatedColumnFormula>
    </tableColumn>
    <tableColumn id="29" name="FAMILIA">
      <calculatedColumnFormula>IF(ISERROR(CONTROL[[#This Row],[Coincidir Codigo en Producto]]),"",INDEX(Tabla_Datos_Codigo[pro_familia],CONTROL[[#This Row],[Coincidir Codigo en Producto]]))</calculatedColumnFormula>
    </tableColumn>
    <tableColumn id="36" name="SUBFAMILIA">
      <calculatedColumnFormula>IF(ISERROR(CONTROL[[#This Row],[Coincidir Codigo en Producto]]),"",INDEX(Tabla_Datos_Codigo[pro_subfamilia],CONTROL[[#This Row],[Coincidir Codigo en Producto]]))</calculatedColumnFormula>
    </tableColumn>
    <tableColumn id="42" name="CATEGORIA">
      <calculatedColumnFormula>IF(ISERROR(CONTROL[[#This Row],[Coincidir Codigo en Producto]]),"",INDEX(Tabla_Datos_Codigo[pro_categoria],CONTROL[[#This Row],[Coincidir Codigo en Producto]]))</calculatedColumnFormula>
    </tableColumn>
    <tableColumn id="32" name="TIPO">
      <calculatedColumnFormula>IF(ISERROR(CONTROL[[#This Row],[Coincidir Codigo en Producto]]),"",INDEX(Tabla_Datos_Codigo[pro_tipo],CONTROL[[#This Row],[Coincidir Codigo en Producto]]))</calculatedColumnFormula>
    </tableColumn>
    <tableColumn id="61" name="MARCA">
      <calculatedColumnFormula>IF(ISERROR(CONTROL[[#This Row],[Coincidir Codigo en Producto]]),"",INDEX(Tabla_Datos_Codigo[pro_marca],CONTROL[[#This Row],[Coincidir Codigo en Producto]]))</calculatedColumnFormula>
    </tableColumn>
    <tableColumn id="64" name="MODELO">
      <calculatedColumnFormula>IF(ISERROR(CONTROL[[#This Row],[Coincidir Codigo en Producto]]),"",INDEX(Tabla_Datos_Codigo[pro_modelo],CONTROL[[#This Row],[Coincidir Codigo en Producto]]))</calculatedColumnFormula>
    </tableColumn>
    <tableColumn id="68" name="CAT MANAGEMENT">
      <calculatedColumnFormula>IF(ISERROR(CONTROL[[#This Row],[Coincidir Codigo en Producto]]),"",INDEX(Tabla_Datos_Codigo[pro_cat_management],CONTROL[[#This Row],[Coincidir Codigo en Producto]]))</calculatedColumnFormula>
    </tableColumn>
    <tableColumn id="69" name="CAT PROPIA 1"/>
    <tableColumn id="70" name="CAT PROPIA 2"/>
    <tableColumn id="71" name="CAT PROPIA 3"/>
    <tableColumn id="73" name="CAT PROPIA 4"/>
    <tableColumn id="74" name="CAT PROPIA 5"/>
    <tableColumn id="101" name="Estatus">
      <calculatedColumnFormula>IF(ISERROR(CONTROL[[#This Row],[Coincidir Codigo en Producto]]),"",INDEX(Tabla_Datos_Codigo[pro_estatus],CONTROL[[#This Row],[Coincidir Codigo en Producto]]))</calculatedColumnFormula>
    </tableColumn>
    <tableColumn id="106" name="Clasificación">
      <calculatedColumnFormula>IF(ISERROR(CONTROL[[#This Row],[Coincidir Codigo en Producto]]),"",INDEX(Tabla_Datos_Codigo[pro_clasificacion],CONTROL[[#This Row],[Coincidir Codigo en Producto]]))</calculatedColumnFormula>
    </tableColumn>
    <tableColumn id="107" name="Responsable">
      <calculatedColumnFormula>IF(ISERROR(CONTROL[[#This Row],[Coincidir Codigo en Producto]]),"",INDEX(Tabla_Datos_Codigo[pro_responsable],CONTROL[[#This Row],[Coincidir Codigo en Producto]]))</calculatedColumnFormula>
    </tableColumn>
    <tableColumn id="37" name="CTV">
      <calculatedColumnFormula>IF(ISERROR(CONTROL[[#This Row],[Coincidir Codigo en Producto]]),0,--INDEX(Tabla_Datos_Codigo[pro_costo],CONTROL[[#This Row],[Coincidir Codigo en Producto]]))</calculatedColumnFormula>
    </tableColumn>
    <tableColumn id="39" name="PV">
      <calculatedColumnFormula>IF(ISERROR(CONTROL[[#This Row],[Coincidir Codigo en Producto]]),0,--INDEX(Tabla_Datos_Codigo[pro_precio],CONTROL[[#This Row],[Coincidir Codigo en Producto]]))</calculatedColumnFormula>
    </tableColumn>
    <tableColumn id="108" name="Precio Promoción">
      <calculatedColumnFormula>IF(ISERROR(CONTROL[[#This Row],[Coincidir Codigo en Producto]]),0,--INDEX(Tabla_Datos_Codigo[pro_precio_promocion],CONTROL[[#This Row],[Coincidir Codigo en Producto]]))</calculatedColumnFormula>
    </tableColumn>
    <tableColumn id="109" name="Inicio Promoción">
      <calculatedColumnFormula>IF(ISERROR(CONTROL[[#This Row],[Coincidir Codigo en Producto]]),"",IF(INDEX(Tabla_Datos_Codigo[pro_promocion_desde],CONTROL[[#This Row],[Coincidir Codigo en Producto]])=0,"",INDEX(Tabla_Datos_Codigo[pro_promocion_desde],CONTROL[[#This Row],[Coincidir Codigo en Producto]])))</calculatedColumnFormula>
    </tableColumn>
    <tableColumn id="110" name="Fin Promoción">
      <calculatedColumnFormula>IF(ISERROR(CONTROL[[#This Row],[Coincidir Codigo en Producto]]),"",IF(INDEX(Tabla_Datos_Codigo[pro_promocion_hasta],CONTROL[[#This Row],[Coincidir Codigo en Producto]])=0,"",INDEX(Tabla_Datos_Codigo[pro_promocion_hasta],CONTROL[[#This Row],[Coincidir Codigo en Producto]])))</calculatedColumnFormula>
    </tableColumn>
    <tableColumn id="1" name="Proveedor"/>
    <tableColumn id="55" name="Perfil"/>
    <tableColumn id="43" name="Horizonte">
      <calculatedColumnFormula>IF(ISERROR(CONTROL[[#This Row],[Coincidir Bodega Perfil]]),"",INDEX(Tabla_ArchivosBodegas[HORIZONTE],CONTROL[[#This Row],[Coincidir Bodega Perfil]],1))</calculatedColumnFormula>
    </tableColumn>
    <tableColumn id="44" name="T Suministro">
      <calculatedColumnFormula>IF(ISERROR(CONTROL[[#This Row],[Coincidir Bodega Perfil]]),"",INDEX(Tabla_ArchivosBodegas[TIEMP SUMINIS],CONTROL[[#This Row],[Coincidir Bodega Perfil]],1))</calculatedColumnFormula>
    </tableColumn>
    <tableColumn id="45" name="Frec Repos">
      <calculatedColumnFormula>IF(ISERROR(CONTROL[[#This Row],[Coincidir Bodega Perfil]]),"",INDEX(Tabla_ArchivosBodegas[FREC REP],CONTROL[[#This Row],[Coincidir Bodega Perfil]],1))</calculatedColumnFormula>
    </tableColumn>
    <tableColumn id="30" name="GDB">
      <calculatedColumnFormula>IF(CONTROL[[#This Row],[Calendario Estacional]]&lt;&gt;"",IF(IFERROR(SUMPRODUCT((--(CONTROL[[#This Row],[Perfil]]=Tabla_Est[Perfil])),(--(CONTROL[[#This Row],[Calendario Estacional]]=Tabla_Est[CALENDARIO])),Tabla_Est[Dentro de Cambios por Estacionalidad?])&lt;&gt;0,0),0,1),1)</calculatedColumnFormula>
    </tableColumn>
    <tableColumn id="41" name="Cam">
      <calculatedColumnFormula>IF(AND(CONTROL[[#This Row],[GDB]]=1,CONTROL[[#This Row],[Color]]&lt;&gt;"L",CONTROL[[#This Row],[Color]]&lt;&gt;"G"),IF(AND(CONTROL[[#This Row],[Servicio]]&gt;=75%,LEFT(CONTROL[[#This Row],[Etapa]],5)="LIBRE"),"+-",IF(AND(CONTROL[[#This Row],[Servicio]]&gt;=75%,LEFT(CONTROL[[#This Row],[Etapa]],5)="LIBRE"),"+",IF(CONTROL[[#This Row],[Ult Cambio]]&lt;HOY,"-",""))),"")</calculatedColumnFormula>
    </tableColumn>
    <tableColumn id="104" name="Etapa">
      <calculatedColumnFormula>IF(CONTROL[[#This Row],[Ult Cambio]]=0,"NUEVO",IF((CONTROL[[#This Row],[Ult Cambio]]+(CONTROL[[#This Row],[Horizonte]]*7))&gt;HOY,"SUSP"&amp;"-"&amp;(CONTROL[[#This Row],[Ult Cambio]]+(CONTROL[[#This Row],[Horizonte]]*7))-HOY,"LIBRE"&amp;"-"&amp;HOY-(CONTROL[[#This Row],[Ult Cambio]]+(CONTROL[[#This Row],[Horizonte]]*7))))</calculatedColumnFormula>
    </tableColumn>
    <tableColumn id="76" name="Nuevo Buff Ingles">
      <calculatedColumnFormula array="1">IF(CONTROL[[#This Row],[Cam]]="","",IF(CONTROL[[#This Row],[Cam]]="+",IF(CONTROL[[#This Row],[Rojo Acum]]&gt;=CONTROL[[#This Row],[Zona Roja]],ROUNDUP(CONTROL[[#This Row],[Buff Act]]*1.33,0),""),IF(CONTROL[[#This Row],[Cam]]="-",IF(AND(CONTROL[[#This Row],[Verde]]&gt;=80%,CONTROL[[#This Row],[Negro]]=0,CONTROL[[#This Row],[Color]]&lt;&gt;"L"),ROUNDDOWN(CONTROL[[#This Row],[Buff Act]]*0.7,0),IF(AND(OR(CONTROL[[#This Row],[Buff Act]]&lt;&gt;1,CONTROL[[#This Row],[Buff Act]]&lt;&gt;2),CONTROL[[#This Row],[Porcent Lleno]]&gt;=90%,CONTROL[[#This Row],[Negro]]=0,CONTROL[[#This Row],[Rojo]]=0,CONTROL[[#This Row],[Lila]]&lt;5%,CONTROL[[#This Row],[Color]]&lt;&gt;"L"),ROUNDDOWN(CONTROL[[#This Row],[Buff Act]]*0.8,0),IF(AND(CONTROL[[#This Row],[Var]]&lt;=6%,CONTROL[[#This Row],[Porcent Lleno]]&gt;=90%,CONTROL[[#This Row],[Lila]]&lt;3%,OR(CONTROL[[#This Row],[Color]]="V",CONTROL[[#This Row],[Color]]="A")),ROUNDDOWN(CONTROL[[#This Row],[Buff Act]]*0.85,0),""))),IF(CONTROL[[#This Row],[Cam]]="+-",IF(CONTROL[[#This Row],[Rojo Acum]]&gt;=CONTROL[[#This Row],[Zona Roja]],ROUNDUP(CONTROL[[#This Row],[Buff Act]]*1.33,0),IF(AND(CONTROL[[#This Row],[Verde]]&gt;=80%,CONTROL[[#This Row],[Negro]]=0,CONTROL[[#This Row],[Color]]&lt;&gt;"L"),ROUNDDOWN(CONTROL[[#This Row],[Buff Act]]*0.7,0),IF(AND(OR(CONTROL[[#This Row],[Buff Act]]&lt;&gt;1,CONTROL[[#This Row],[Buff Act]]&lt;&gt;2),CONTROL[[#This Row],[Porcent Lleno]]&gt;=90%,CONTROL[[#This Row],[Negro]]=0,CONTROL[[#This Row],[Rojo]]=0,CONTROL[[#This Row],[Lila]]&lt;5%,CONTROL[[#This Row],[Color]]&lt;&gt;"L"),ROUNDDOWN(CONTROL[[#This Row],[Buff Act]]*0.8,0),IF(AND(CONTROL[[#This Row],[Var]]&lt;=6%,CONTROL[[#This Row],[Porcent Lleno]]&gt;=90%,CONTROL[[#This Row],[Lila]]&lt;3%,OR(CONTROL[[#This Row],[Color]]="V",CONTROL[[#This Row],[Color]]="A")),ROUNDDOWN(CONTROL[[#This Row],[Buff Act]]*0.85,0),""))))))))</calculatedColumnFormula>
    </tableColumn>
    <tableColumn id="77" name="Nuevo Buff Espanol"/>
    <tableColumn id="26" name="Nuevo Buff Sug">
      <calculatedColumnFormula>IF(OR(HOY&lt;CONTROL[[#This Row],[Posponer GDB]],CONTROL[[#This Row],[Nuevo Buff Ingles]]&gt;(IF(ISNUMBER(CONTROL[[#This Row],[Buff Max]]),CONTROL[[#This Row],[Buff Max]],100000000000)),CONTROL[[#This Row],[Nuevo Buff Ingles]]&lt;CONTROL[[#This Row],[Buff Min]]),"",CONTROL[[#This Row],[Nuevo Buff Ingles]])</calculatedColumnFormula>
    </tableColumn>
    <tableColumn id="92" name="Comportamiento">
      <calculatedColumnFormula>IFERROR(IF(CONTROL[[#This Row],[Color]]="G","",IF(AND(HOY&gt;=CONTROL[[#This Row],[Posponer RED]],CONTROL[[#This Row],[GDB]]=1,OR(CONTROL[[#This Row],[Verde]]=100%,CONTROL[[#This Row],[Amarillo]]=100%,CONTROL[[#This Row],[Rojo]]=100%),CONTROL[[#This Row],[Var]]&lt;=25%),"RED ","")&amp;IF(AND(CONTROL[[#This Row],[Estatus]]&lt;&gt;"PAN",CONTROL[[#This Row],[Negro]]&lt;=10%,HOY&gt;=CONTROL[[#This Row],[Posponer BUF]],ABS((CONTROL[[#This Row],[Buff Calc]]-CONTROL[[#This Row],[Buff Act]])/CONTROL[[#This Row],[Buff Act]])&gt;70%,CONTROL[[#This Row],[Buff Calc]]&lt;&gt;0),"BUF","")),"")</calculatedColumnFormula>
    </tableColumn>
    <tableColumn id="49" name="Consumo">
      <calculatedColumnFormula>IFERROR(INDEX(tblConsumos[CONSUMO],CONTROL[[#This Row],[Coincidir Bodega Codigo en Consumo]]),0)</calculatedColumnFormula>
    </tableColumn>
    <tableColumn id="31" name="Buff Calc">
      <calculatedColumnFormula>ROUNDUP(CONTROL[[#This Row],[Consumo]]*1.5*(CONTROL[[#This Row],[T Suministro]]+CONTROL[[#This Row],[Frec Repos]]),0)</calculatedColumnFormula>
    </tableColumn>
    <tableColumn id="84" name="Cobertura Buffer">
      <calculatedColumnFormula>IF(CONTROL[[#This Row],[Consumo]]=0,0,CONTROL[[#This Row],[Buff Act]]/(CONTROL[[#This Row],[Consumo]]*4))</calculatedColumnFormula>
    </tableColumn>
    <tableColumn id="85" name="Cobertura Inv Proy">
      <calculatedColumnFormula>IF(CONTROL[[#This Row],[Consumo]]=0,0,CONTROL[[#This Row],[Inv Proy Act]]/(CONTROL[[#This Row],[Consumo]]*4))</calculatedColumnFormula>
    </tableColumn>
    <tableColumn id="90" name="Cobertura Ped Min">
      <calculatedColumnFormula>IF(CONTROL[[#This Row],[Consumo]]=0,0,CONTROL[[#This Row],[PEDID Min]]/(CONTROL[[#This Row],[Consumo]]*4))</calculatedColumnFormula>
    </tableColumn>
    <tableColumn id="86" name="Días Desabastecimiento">
      <calculatedColumnFormula>IF(CONTROL[[#This Row],[Color]]="G",0,SUMPRODUCT((--((HORIZONTE*1)&gt;(HOY-30))),(--((HORIZONTE*1)&lt;=HOY)),(--ISNUMBER(OFFSET(PRIMER_CAMPO,CONTROL[[#This Row],[Numero Fila]],0,1,COLUMNS(HORIZONTE)))),(--(OFFSET(PRIMER_CAMPO,CONTROL[[#This Row],[Numero Fila]],0,1,COLUMNS(HORIZONTE))=0))))</calculatedColumnFormula>
    </tableColumn>
    <tableColumn id="105" name="Ventas Perdidas">
      <calculatedColumnFormula>IFERROR(INDEX(Tabla_Inventario[inv_ventas_perdidas],MATCH(INDEX(Tabla_Bodegas_Permitidas[COD_BODEGA],MATCH(CONTROL[[#This Row],[BODEGA]],Tabla_Bodegas_Permitidas[BODEGA],0),1)&amp;CONTROL[[#This Row],[CODIGO]],Tabla_Inventario[BODEGASKU],0),1),0)</calculatedColumnFormula>
    </tableColumn>
    <tableColumn id="6" name="Observaciones"/>
    <tableColumn id="40" name="Nuevo Buff Real"/>
    <tableColumn id="96" name="Posponer BUF"/>
    <tableColumn id="97" name="Posponer RED"/>
    <tableColumn id="98" name="Posponer GDB"/>
    <tableColumn id="57" name="Buff Min"/>
    <tableColumn id="87" name="Buff Max"/>
    <tableColumn id="58" name="PEDID Min"/>
    <tableColumn id="111" name="Redondeo Pedido Mínimo"/>
    <tableColumn id="80" name="PEDID Min Grupo"/>
    <tableColumn id="59" name="Unidad Empaque"/>
    <tableColumn id="112" name="Redondeo Unidad Empaque"/>
    <tableColumn id="60" name="Porc Aten"/>
    <tableColumn id="62" name="Impacto Faltante"/>
    <tableColumn id="63" name="Buff Act"/>
    <tableColumn id="27" name="Zona Amar">
      <calculatedColumnFormula>IF(CONTROL[[#This Row],[Buff Act]]=2,2,ROUND(CONTROL[[#This Row],[Buff Act]]*(1-((1-(INDEX(Tabla_ArchivosBodegas[PORCENT LINEA ROJA],MATCH(CONTROL[[#This Row],[Perfil]],Tabla_ArchivosBodegas[PERFIL],0),1)))/2)),0))</calculatedColumnFormula>
    </tableColumn>
    <tableColumn id="28" name="Zona Roja">
      <calculatedColumnFormula>IF(CONTROL[[#This Row],[Buff Act]]=1,0.5,ROUND(CONTROL[[#This Row],[Buff Act]]*((INDEX(Tabla_ArchivosBodegas[PORCENT LINEA ROJA],MATCH(CONTROL[[#This Row],[Perfil]],Tabla_ArchivosBodegas[PERFIL],0),1))),0))</calculatedColumnFormula>
    </tableColumn>
    <tableColumn id="99" name="Color">
      <calculatedColumnFormula>IF(CONTROL[[#This Row],[Inv Fís Act]]&lt;0,"E",IF((CONTROL[[#This Row],[Buff Act]]*1)=0,"G",IF(CONTROL[[#This Row],[Inv Fís Act]]=0,"N",IF(CONTROL[[#This Row],[Inv Fís Act]]&lt;=CONTROL[[#This Row],[Zona Roja]],"R",IF(CONTROL[[#This Row],[Inv Fís Act]]&lt;=CONTROL[[#This Row],[Zona Amar]],"A",IF(CONTROL[[#This Row],[Inv Fís Act]]&lt;=(CONTROL[[#This Row],[Buff Act]]*1),"V","L"))))))</calculatedColumnFormula>
    </tableColumn>
    <tableColumn id="52" name="Color1">
      <calculatedColumnFormula>IF(CONTROL[[#This Row],[Inv Proy Act]]&lt;0,"E",IF((CONTROL[[#This Row],[Buff Act]]*1)=0,"G",IF(CONTROL[[#This Row],[Inv Proy Act]]=0,"N",IF(CONTROL[[#This Row],[Inv Proy Act]]&lt;=CONTROL[[#This Row],[Zona Roja]],"R",IF(CONTROL[[#This Row],[Inv Proy Act]]&lt;=CONTROL[[#This Row],[Zona Amar]],"A",IF(CONTROL[[#This Row],[Inv Proy Act]]&lt;=(CONTROL[[#This Row],[Buff Act]]*1),"V","L"))))))</calculatedColumnFormula>
    </tableColumn>
    <tableColumn id="56" name="Ult Buffer"/>
    <tableColumn id="67" name="Buff Ant Estacion"/>
    <tableColumn id="66" name="Buff Estacional"/>
    <tableColumn id="8" name="Inv Proveed">
      <calculatedColumnFormula>IFERROR(INDEX(Tabla_Inventario[inv_existencia],MATCH(INDEX(Tabla_Proveedores[COD_PROVEEDOR],MATCH(CONTROL[[#This Row],[BODEGA]]&amp;CONTROL[[#This Row],[Proveedor]]&amp;"1",Tabla_Proveedores[BodegaProveedorPrioridad],0))&amp;CONTROL[[#This Row],[CODIGO]],Tabla_Inventario[BODEGASKU],0)),1000000000)</calculatedColumnFormula>
    </tableColumn>
    <tableColumn id="22" name="Inv Fís Act">
      <calculatedColumnFormula>IFERROR(IF(INDEX(Tabla_ArchivosBodegas[USA_FISICO],CONTROL[[#This Row],[Coincidir Bodega Perfil]])=1,INDEX(Tabla_Inventario[inv_existencia],CONTROL[[#This Row],[Coincidir Bodega Codigo en Inventario]],1),0),0)</calculatedColumnFormula>
    </tableColumn>
    <tableColumn id="38" name="Estado Buffer">
      <calculatedColumnFormula>IF(CONTROL[[#This Row],[Buff Act]]&lt;=0,0,IFERROR(ROUND((CONTROL[[#This Row],[Buff Act]]-CONTROL[[#This Row],[Inv Fís Act]])/CONTROL[[#This Row],[Buff Act]],2),0))</calculatedColumnFormula>
    </tableColumn>
    <tableColumn id="18" name="Tráns Act">
      <calculatedColumnFormula>IFERROR(IF(INDEX(Tabla_ArchivosBodegas[USA_TRANSITO],CONTROL[[#This Row],[Coincidir Bodega Perfil]])=1,IF(INDEX(Tabla_ArchivosBodegas[TIPO_TRANSITO],CONTROL[[#This Row],[Coincidir Bodega Perfil]])="ERP",INDEX(Tabla_Inventario[inv_transito],CONTROL[[#This Row],[Coincidir Bodega Codigo en Inventario]],1),IF(INDEX(Tabla_ArchivosBodegas[TIPO_TRANSITO],CONTROL[[#This Row],[Coincidir Bodega Perfil]])="Transferencias",INDEX(Tabla_TRANSFERENCIAS[CANTIDAD],MATCH(CONTROL[[#This Row],[CODIGO]]&amp;"-"&amp;CONTROL[[#This Row],[BODEGA]],Tabla_TRANSFERENCIAS[UNIDO],0)),INDEX(Tabla_TRANSFERENCIAS[CANTIDAD],MATCH(CONTROL[[#This Row],[CODIGO]]&amp;"-"&amp;CONTROL[[#This Row],[BODEGA]],Tabla_TRANSFERENCIAS[UNIDO],0))+INDEX(Tabla_Inventario[inv_transito],CONTROL[[#This Row],[Coincidir Bodega Codigo en Inventario]],1))),0),0)</calculatedColumnFormula>
    </tableColumn>
    <tableColumn id="81" name="Negociación">
      <calculatedColumnFormula>IFERROR(IF(INDEX(Tabla_ArchivosBodegas[USA_TRANSITO],CONTROL[[#This Row],[Coincidir Bodega Perfil]])=1,INDEX(Tabla_Inventario[inv_negociacion],CONTROL[[#This Row],[Coincidir Bodega Codigo en Inventario]],1),0),0)</calculatedColumnFormula>
    </tableColumn>
    <tableColumn id="82" name="Producción">
      <calculatedColumnFormula>IFERROR(IF(INDEX(Tabla_ArchivosBodegas[USA_TRANSITO],CONTROL[[#This Row],[Coincidir Bodega Perfil]])=1,INDEX(Tabla_Inventario[inv_produccion],CONTROL[[#This Row],[Coincidir Bodega Codigo en Inventario]],1),0),0)</calculatedColumnFormula>
    </tableColumn>
    <tableColumn id="83" name="Embarcado">
      <calculatedColumnFormula>IFERROR(IF(INDEX(Tabla_ArchivosBodegas[USA_TRANSITO],CONTROL[[#This Row],[Coincidir Bodega Perfil]])=1,INDEX(Tabla_Inventario[inv_embarcado],CONTROL[[#This Row],[Coincidir Bodega Codigo en Inventario]],1),0),0)</calculatedColumnFormula>
    </tableColumn>
    <tableColumn id="20" name="Comprom">
      <calculatedColumnFormula>IFERROR(IF(INDEX(Tabla_ArchivosBodegas[USA_COMPROMETIDO],CONTROL[[#This Row],[Coincidir Bodega Perfil]])=1,IF(INDEX(Tabla_ArchivosBodegas[TIPO_COMPROMETIDO],CONTROL[[#This Row],[Coincidir Bodega Perfil]])="ERP",INDEX(Tabla_Inventario[inv_comprometido],CONTROL[[#This Row],[Coincidir Bodega Codigo en Inventario]],1),SUMIFS(Tabla_Comprometidos[CANTIDAD],Tabla_Comprometidos[BODEGA],CONTROL[[#This Row],[BODEGA]],Tabla_Comprometidos[CODIGO],CONTROL[[#This Row],[CODIGO]])),0),0)</calculatedColumnFormula>
    </tableColumn>
    <tableColumn id="21" name="Backorders">
      <calculatedColumnFormula>IFERROR(IF(INDEX(Tabla_ArchivosBodegas[USA_BACKORDER],CONTROL[[#This Row],[Coincidir Bodega Perfil]])=1,IF(INDEX(Tabla_ArchivosBodegas[TIPO_BACKORDER],CONTROL[[#This Row],[Coincidir Bodega Perfil]])="ERP",INDEX(Tabla_Inventario[inv_backorder],CONTROL[[#This Row],[Coincidir Bodega Codigo en Inventario]],1),SUMIFS(Tabla_Backorders[CANTIDAD],Tabla_Backorders[BODEGA],CONTROL[[#This Row],[BODEGA]],Tabla_Backorders[CODIGO],CONTROL[[#This Row],[CODIGO]])),0),0)</calculatedColumnFormula>
    </tableColumn>
    <tableColumn id="19" name="Inv Proy Act">
      <calculatedColumnFormula>CONTROL[[#This Row],[Inv Fís Act]]+CONTROL[[#This Row],[Tráns Act]]-CONTROL[[#This Row],[Comprom]]+CONTROL[[#This Row],[Backorders]]</calculatedColumnFormula>
    </tableColumn>
    <tableColumn id="88" name="Estado Buffer Proy">
      <calculatedColumnFormula>IF(CONTROL[[#This Row],[Buff Act]]&lt;=0,0,IFERROR(ROUND((CONTROL[[#This Row],[Buff Act]]-CONTROL[[#This Row],[Inv Proy Act]])/CONTROL[[#This Row],[Buff Act]],2),0))</calculatedColumnFormula>
    </tableColumn>
    <tableColumn id="94" name="Ingresos">
      <calculatedColumnFormula>IFERROR(INDEX(Tabla_Inventario[inv_entradas],CONTROL[[#This Row],[Coincidir Bodega Codigo en Inventario]],1),0)</calculatedColumnFormula>
    </tableColumn>
    <tableColumn id="95" name="Egresos">
      <calculatedColumnFormula>IFERROR(INDEX(Tabla_Inventario[inv_salidas],CONTROL[[#This Row],[Coincidir Bodega Codigo en Inventario]],1),0)</calculatedColumnFormula>
    </tableColumn>
    <tableColumn id="113" name="Pedid Calc Auxiliar">
      <calculatedColumnFormula>IF(CONTROL[[#This Row],[PEDID Min]]&gt;0,IF(IF(AND(INDEX(Tabla_ArchivosBodegas[USA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Aten]])&gt;=CONTROL[[#This Row],[PEDID Min]],IF(AND(INDEX(Tabla_ArchivosBodegas[USA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Aten]]),IF(IF(AND(INDEX(Tabla_ArchivosBodegas[USA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Aten]])&gt;=(CONTROL[[#This Row],[PEDID Min]]*(1-(IF(CONTROL[[#This Row],[Redondeo Pedido Mínimo]]="Default",INDEX(tbl_Redondeo_Pedido_Minimo[Porcentaje],MATCH("Default",tbl_Redondeo_Pedido_Minimo[Nombre],0)),SUMPRODUCT((CONTROL[[#This Row],[Redondeo Pedido Mínimo]]=tbl_Redondeo_Pedido_Minimo[Nombre])*1,((INDEX(INDIRECT("CONTROL["&amp;INDEX(tbl_Redondeo_Pedido_Minimo[Campo],MATCH(CONTROL[[#This Row],[Redondeo Pedido Mínimo]],tbl_Redondeo_Pedido_Minimo[Nombre],0))&amp;"]"),CONTROL[[#This Row],[Numero Fila]]))=tbl_Redondeo_Pedido_Minimo[Categoría])*1,tbl_Redondeo_Pedido_Minimo[Porcentaje]))))),CONTROL[[#This Row],[PEDID Min]],0)),IF(AND(INDEX(Tabla_ArchivosBodegas[USA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Aten]]))</calculatedColumnFormula>
    </tableColumn>
    <tableColumn id="34" name="PEDIDCalc">
      <calculatedColumnFormula>IF(CONTROL[[#This Row],[Unidad Empaque]]&gt;0,IF(CONTROL[[#This Row],[Redondeo Unidad Empaque]]="=",ROUND(CONTROL[[#This Row],[Pedid Calc Auxiliar]]/CONTROL[[#This Row],[Unidad Empaque]],0)*CONTROL[[#This Row],[Unidad Empaque]],IF(CONTROL[[#This Row],[Redondeo Unidad Empaque]]="+",ROUNDUP(CONTROL[[#This Row],[Pedid Calc Auxiliar]]/CONTROL[[#This Row],[Unidad Empaque]],0)*CONTROL[[#This Row],[Unidad Empaque]],ROUNDDOWN(CONTROL[[#This Row],[Pedid Calc Auxiliar]]/CONTROL[[#This Row],[Unidad Empaque]],0)*CONTROL[[#This Row],[Unidad Empaque]])),ROUND(CONTROL[[#This Row],[Pedid Calc Auxiliar]],0))</calculatedColumnFormula>
    </tableColumn>
    <tableColumn id="11" name="PEDID Prom">
      <calculatedColumnFormula>IF(CONTROL[[#This Row],[Color]]="G",0,IFERROR(ROUND((CONTROL[[#This Row],[Buff Act]]*CONTROL[[#This Row],[Frec Repos]])/(CONTROL[[#This Row],[T Suministro]]+CONTROL[[#This Row],[Frec Repos]]),0),0))</calculatedColumnFormula>
    </tableColumn>
    <tableColumn id="23" name="PEDID Real"/>
    <tableColumn id="65" name="Calendario Estacional"/>
    <tableColumn id="72" name="Acción Estacional">
      <calculatedColumnFormula>IF(CONTROL[[#This Row],[Color]]="G","",IF(AND(CONTROL[[#This Row],[GDB]]=0,OR(ISBLANK(CONTROL[[#This Row],[Buff Ant Estacion]]),ISBLANK(CONTROL[[#This Row],[Buff Estacional]]),CONTROL[[#This Row],[Buff Act]]=CONTROL[[#This Row],[Buff Ant Estacion]])),"SÍ EST: Llenar buff anterior a estación, buff estacional y cambiar el buff actual.",IF(AND(CONTROL[[#This Row],[GDB]]=1,CONTROL[[#This Row],[Buff Ant Estacion]]&lt;&gt;CONTROL[[#This Row],[Buff Act]],CONTROL[[#This Row],[Buff Ant Estacion]]&lt;&gt;""),"NO EST: Volver el buffer actual al buffer anterior a la estación.",IF(AND(CONTROL[[#This Row],[GDB]]=1,OR(NOT(ISBLANK(CONTROL[[#This Row],[Buff Ant Estacion]])),NOT(ISBLANK(CONTROL[[#This Row],[Buff Estacional]])))),"NO EST: Borrar buff estacional y buff anterior a la estación.",IF(AND(CONTROL[[#This Row],[Etapa Estacional]]&lt;&gt;"Stand by",CONTROL[[#This Row],[GDB]]=0),"SÍ EST: Buffer cambiado. Revisar Etapa.","")
)
)))</calculatedColumnFormula>
    </tableColumn>
    <tableColumn id="142" name="Etapa Estacional">
      <calculatedColumnFormula>IF(AND(CONTROL[[#This Row],[GDB]]=0,IFERROR(IF(CONTROL[[#This Row],[Calendario Estacional]]&lt;&gt;"",INDEX(Tabla_Est[Aviso General],SUMIFS(Tabla_Est[filas],Tabla_Est[Perfil],CONTROL[[#This Row],[Perfil]],Tabla_Est[CALENDARIO],CONTROL[[#This Row],[Calendario Estacional]])),""),"")=""),"Stand by",IFERROR(IF(CONTROL[[#This Row],[Calendario Estacional]]&lt;&gt;"",INDEX(Tabla_Est[Aviso General],SUMIFS(Tabla_Est[filas],Tabla_Est[Perfil],CONTROL[[#This Row],[Perfil]],Tabla_Est[CALENDARIO],CONTROL[[#This Row],[Calendario Estacional]])),""),""))</calculatedColumnFormula>
    </tableColumn>
    <tableColumn id="12" name="T$D">
      <calculatedColumnFormula>IF(OR(CONTROL[[#This Row],[Color]]="R",CONTROL[[#This Row],[Color]]="N"),CONTROL[[#This Row],[Zona Roja]]-CONTROL[[#This Row],[Inv Fís Act]],0)*(CONTROL[[#This Row],[PV]]-CONTROL[[#This Row],[CTV]])</calculatedColumnFormula>
    </tableColumn>
    <tableColumn id="24" name="I$D">
      <calculatedColumnFormula>IF(CONTROL[[#This Row],[Color]]="G",0,IF(CONTROL[[#This Row],[Inv Fís Act]]&gt;CONTROL[[#This Row],[Buff Act]],CONTROL[[#This Row],[Inv Fís Act]]-CONTROL[[#This Row],[Buff Act]],0)*(CONTROL[[#This Row],[CTV]]))</calculatedColumnFormula>
    </tableColumn>
    <tableColumn id="25" name="Rentabilid">
      <calculatedColumnFormula>IF(CONTROL[[#This Row],[Color]]="G",0,IFERROR(INDEX(Tabla_Rentabilidad[ROI],MATCH(CONTROL[[#This Row],[CODIGO]],Tabla_Rentabilidad[CODIGO],0),1),0))</calculatedColumnFormula>
    </tableColumn>
    <tableColumn id="89" name="Rentabilidad Proy">
      <calculatedColumnFormula>IF(CONTROL[[#This Row],[Color]]="G",0,IFERROR((((CONTROL[[#This Row],[Buff Act]]/(CONTROL[[#This Row],[T Suministro]]+CONTROL[[#This Row],[Frec Repos]]))*4)*(CONTROL[[#This Row],[PV]]-CONTROL[[#This Row],[CTV]])*12)/(CONTROL[[#This Row],[Buff Act]]*CONTROL[[#This Row],[CTV]]),0))</calculatedColumnFormula>
    </tableColumn>
    <tableColumn id="9" name="Vel Efect"/>
    <tableColumn id="5" name="Servicio">
      <calculatedColumnFormula array="1">IF(Servicio_Calculado*1=1,IFERROR(INDEX(Tabla_Nivel_Servicio[Servicio],CONTROL[[#This Row],[Coincidir Bodega Codigo en Servicio]]),0),1)</calculatedColumnFormula>
    </tableColumn>
    <tableColumn id="7" name="Ult Cambio">
      <calculatedColumnFormula>IFERROR(INDEX(Tabla_Ultimo_Cambio_Buffer[FECHA],CONTROL[[#This Row],[Coincidir Bodega Codigo en Ultimo Cambio]],0),0)</calculatedColumnFormula>
    </tableColumn>
    <tableColumn id="48" name="Nuevo Inicio">
      <calculatedColumnFormula array="1">IF(INDEX(Tabla_ArchivosBodegas[TIPO HORIZONTE],CONTROL[[#This Row],[Coincidir Bodega Perfil]],1)="MOV",MAX(--INDEX(Tabla_ArchivosBodegas[INICIO_HORIZONTE],CONTROL[[#This Row],[Coincidir Bodega Perfil]]),--CONTROL[[#This Row],[Ult Cambio]]),IF(SUM(--(IF(((IF(CONTROL[[#This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Per]])))=HORIZONTE*1))=1,IF(((IF(CONTROL[[#This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Per]]))),INDEX(HORIZONTE*1,1,1+MATCH(IF(((IF(CONTROL[[#This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Per]]))),HORIZONTE*1,1))))</calculatedColumnFormula>
    </tableColumn>
    <tableColumn id="46" name="Inicio Per">
      <calculatedColumnFormula>CONTROL[[#This Row],[Nuevo Inicio]]</calculatedColumnFormula>
    </tableColumn>
    <tableColumn id="47" name="Fin Per">
      <calculatedColumnFormula array="1">IF(MAX(CONTROL[[#This Row],[Inicio Per]]+CONTROL[[#This Row],[Horizonte]]*7,HOY)=HOY,HOY,INDEX(--HORIZONTE,IFERROR(MATCH(CONTROL[[#This Row],[Inicio Per]]+CONTROL[[#This Row],[Horizonte]]*7,--HORIZONTE,0),1+MATCH(CONTROL[[#This Row],[Inicio Per]]+CONTROL[[#This Row],[Horizonte]]*7,--HORIZONTE,1))))</calculatedColumnFormula>
    </tableColumn>
    <tableColumn id="102" name="Ult Transfer Inicial">
      <calculatedColumnFormula>IFERROR(INDEX(Tabla_Nivel_Servicio[Ultimo Inicio],CONTROL[[#This Row],[Coincidir Bodega Codigo en Servicio]]),"")</calculatedColumnFormula>
    </tableColumn>
    <tableColumn id="103" name="Ult Transfer Final">
      <calculatedColumnFormula>IFERROR(INDEX(Tabla_Nivel_Servicio[Ultimo Fin],CONTROL[[#This Row],[Coincidir Bodega Codigo en Servicio]]),"")</calculatedColumnFormula>
    </tableColumn>
    <tableColumn id="35" name="Var">
      <calculatedColumnFormula>IFERROR(STDEV(INDIRECT("CONTROL[@["&amp;TEXT(CONTROL[[#This Row],[Inicio Per]],"dd/mm/yyyy")&amp;"]:["&amp;TEXT(CONTROL[[#This Row],[Fin Per]],"dd/mm/yyyy")&amp;"]]"))/AVERAGE(INDIRECT("CONTROL[@["&amp;TEXT(CONTROL[[#This Row],[Inicio Per]],"dd/mm/yyyy")&amp;"]:["&amp;TEXT(CONTROL[[#This Row],[Fin Per]],"dd/mm/yyyy")&amp;"]]")),100%)</calculatedColumnFormula>
    </tableColumn>
    <tableColumn id="51" name="Porcent Lleno">
      <calculatedColumnFormula>SUM(CONTROL[[#This Row],[Negro]:[Lila]])</calculatedColumnFormula>
    </tableColumn>
    <tableColumn id="4" name="Rojo Acum">
      <calculatedColumnFormula>IF(OR(AND(CONTROL[[#This Row],[Cam]]&lt;&gt;"+",CONTROL[[#This Row],[Cam]]&lt;&gt;"+-"),CONTROL[[#This Row],[GDB]]&lt;&gt;1),0,IF(CONTROL[[#This Row],[Zona Roja]]&gt;1,SUMPRODUCT(--(INDIRECT("CONTROL[@["&amp;TEXT(CONTROL[[#This Row],[Inicio Per]],"dd/mm/yyyy")&amp;"]:["&amp;TEXT(CONTROL[[#This Row],[Fin Per]],"dd/mm/yyyy")&amp;"]]")&lt;=CONTROL[[#This Row],[Zona Roja]]),--ISNUMBER(INDIRECT("CONTROL[@["&amp;TEXT(CONTROL[[#This Row],[Inicio Per]],"dd/mm/yyyy")&amp;"]:["&amp;TEXT(CONTROL[[#This Row],[Fin Per]],"dd/mm/yyyy")&amp;"]]")),(CONTROL[[#This Row],[Zona Roja]]-INDIRECT("CONTROL[@["&amp;TEXT(CONTROL[[#This Row],[Inicio Per]],"dd/mm/yyyy")&amp;"]:["&amp;TEXT(CONTROL[[#This Row],[Fin Per]],"dd/mm/yyyy")&amp;"]]"))),IF(CONTROL[[#This Row],[Zona Roja]]=1,IF(OR(SUMPRODUCT(--(INDIRECT("CONTROL[@["&amp;TEXT(CONTROL[[#This Row],[Inicio Per]],"dd/mm/yyyy")&amp;"]:["&amp;TEXT(CONTROL[[#This Row],[Fin Per]],"dd/mm/yyyy")&amp;"]]")=1))&gt;=3,SUMPRODUCT(--(INDIRECT("CONTROL[@["&amp;TEXT(CONTROL[[#This Row],[Inicio Per]],"dd/mm/yyyy")&amp;"]:["&amp;TEXT(CONTROL[[#This Row],[Fin Per]],"dd/mm/yyyy")&amp;"]]")=0),--ISNUMBER(INDIRECT("CONTROL[@["&amp;TEXT(CONTROL[[#This Row],[Inicio Per]],"dd/mm/yyyy")&amp;"]:["&amp;TEXT(CONTROL[[#This Row],[Fin Per]],"dd/mm/yyyy")&amp;"]]")))&gt;=1),1,0),IF(CONTROL[[#This Row],[Buff Act]]=1,IF(SUMPRODUCT(--(INDIRECT("CONTROL[@["&amp;TEXT(CONTROL[[#This Row],[Inicio Per]],"dd/mm/yyyy")&amp;"]:["&amp;TEXT(CONTROL[[#This Row],[Fin Per]],"dd/mm/yyyy")&amp;"]]")=0),--ISNUMBER(INDIRECT("CONTROL[@["&amp;TEXT(CONTROL[[#This Row],[Inicio Per]],"dd/mm/yyyy")&amp;"]:["&amp;TEXT(CONTROL[[#This Row],[Fin Per]],"dd/mm/yyyy")&amp;"]]")))&gt;=1,1,0),0))))</calculatedColumnFormula>
    </tableColumn>
    <tableColumn id="10" name="Negro">
      <calculatedColumnFormula>COUNTIF(INDIRECT("CONTROL[@["&amp;TEXT(CONTROL[[#This Row],[Inicio Per]],"dd/mm/yyyy")&amp;"]:["&amp;TEXT(CONTROL[[#This Row],[Fin Per]],"dd/mm/yyyy")&amp;"]]"),"=0")/CONTROL[[#This Row],[Columnas Horizonte]]</calculatedColumnFormula>
    </tableColumn>
    <tableColumn id="14" name="Rojo">
      <calculatedColumnFormula>COUNTIFS(INDIRECT("CONTROL[@["&amp;TEXT(CONTROL[[#This Row],[Inicio Per]],"dd/mm/yyyy")&amp;"]:["&amp;TEXT(CONTROL[[#This Row],[Fin Per]],"dd/mm/yyyy")&amp;"]]"),"&gt;0",INDIRECT("CONTROL[@["&amp;TEXT(CONTROL[[#This Row],[Inicio Per]],"dd/mm/yyyy")&amp;"]:["&amp;TEXT(CONTROL[[#This Row],[Fin Per]],"dd/mm/yyyy")&amp;"]]"),"&lt;="&amp;CONTROL[[#This Row],[Zona Roja]])/CONTROL[[#This Row],[Columnas Horizonte]]</calculatedColumnFormula>
    </tableColumn>
    <tableColumn id="15" name="Amarillo">
      <calculatedColumnFormula>COUNTIFS(INDIRECT("CONTROL[@["&amp;TEXT(CONTROL[[#This Row],[Inicio Per]],"dd/mm/yyyy")&amp;"]:["&amp;TEXT(CONTROL[[#This Row],[Fin Per]],"dd/mm/yyyy")&amp;"]]"),"&gt;"&amp;CONTROL[[#This Row],[Zona Roja]],INDIRECT("CONTROL[@["&amp;TEXT(CONTROL[[#This Row],[Inicio Per]],"dd/mm/yyyy")&amp;"]:["&amp;TEXT(CONTROL[[#This Row],[Fin Per]],"dd/mm/yyyy")&amp;"]]"),"&lt;="&amp;CONTROL[[#This Row],[Zona Amar]])/CONTROL[[#This Row],[Columnas Horizonte]]</calculatedColumnFormula>
    </tableColumn>
    <tableColumn id="16" name="Verde">
      <calculatedColumnFormula>COUNTIFS(INDIRECT("CONTROL[@["&amp;TEXT(CONTROL[[#This Row],[Inicio Per]],"dd/mm/yyyy")&amp;"]:["&amp;TEXT(CONTROL[[#This Row],[Fin Per]],"dd/mm/yyyy")&amp;"]]"),"&gt;"&amp;CONTROL[[#This Row],[Zona Amar]],INDIRECT("CONTROL[@["&amp;TEXT(CONTROL[[#This Row],[Inicio Per]],"dd/mm/yyyy")&amp;"]:["&amp;TEXT(CONTROL[[#This Row],[Fin Per]],"dd/mm/yyyy")&amp;"]]"),"&lt;="&amp;CONTROL[[#This Row],[Buff Act]])/CONTROL[[#This Row],[Columnas Horizonte]]</calculatedColumnFormula>
    </tableColumn>
    <tableColumn id="17" name="Lila">
      <calculatedColumnFormula>COUNTIF(INDIRECT("CONTROL[@["&amp;TEXT(CONTROL[[#This Row],[Inicio Per]],"dd/mm/yyyy")&amp;"]:["&amp;TEXT(CONTROL[[#This Row],[Fin Per]],"dd/mm/yyyy")&amp;"]]"),"&gt;"&amp;CONTROL[[#This Row],[Buff Act]])/CONTROL[[#This Row],[Columnas Horizonte]]</calculatedColumnFormula>
    </tableColumn>
    <tableColumn id="114" name="Err Ped Grupo">
      <calculatedColumnFormula array="1">IF(OR(CONTROL[[#This Row],[CODIGO GENERICO]]="",CONTROL[[#This Row],[CODIGO GENERICO]]=0),"",IFERROR(STDEV(IF((CONTROL[[#This Row],[CODIGO GENERICO]]=CONTROL[CODIGO GENERICO]),CONTROL[PEDID Min Grupo],"")),0))</calculatedColumnFormula>
    </tableColumn>
    <tableColumn id="122" name="Numero Fila">
      <calculatedColumnFormula>ROW()-Fila_Cabecera_Control</calculatedColumnFormula>
    </tableColumn>
    <tableColumn id="123" name="Borrar"/>
    <tableColumn id="124" name="Coincidir Codigo en Producto">
      <calculatedColumnFormula>MATCH(CONTROL[[#This Row],[CODIGO]],Tabla_Datos_Codigo[pro_codigo],0)</calculatedColumnFormula>
    </tableColumn>
    <tableColumn id="115" name="Bodega-Codigo">
      <calculatedColumnFormula>INDEX(Tabla_Bodegas_Permitidas[COD_BODEGA],MATCH(CONTROL[[#This Row],[BODEGA]],Tabla_Bodegas_Permitidas[BODEGA],0),1)&amp;CONTROL[[#This Row],[CODIGO]]</calculatedColumnFormula>
    </tableColumn>
    <tableColumn id="116" name="Coincidir Bodega Codigo en Consumo">
      <calculatedColumnFormula>MATCH(CONTROL[[#This Row],[Bodega-Codigo]],tblConsumos[BODEGA-CODIGO],0)</calculatedColumnFormula>
    </tableColumn>
    <tableColumn id="117" name="Coincidir Bodega Codigo en Inventario">
      <calculatedColumnFormula>MATCH(CONTROL[[#This Row],[Bodega-Codigo]],Tabla_Inventario[BODEGASKU],0)</calculatedColumnFormula>
    </tableColumn>
    <tableColumn id="118" name="Coincidir Bodega Codigo en Servicio">
      <calculatedColumnFormula>MATCH(CONTROL[[#This Row],[BODEGA]]&amp;CONTROL[[#This Row],[CODIGO]],Tabla_Nivel_Servicio[Bodega-Codigo],0)</calculatedColumnFormula>
    </tableColumn>
    <tableColumn id="119" name="Coincidir Bodega Codigo en Ultimo Cambio">
      <calculatedColumnFormula>MATCH(CONTROL[[#This Row],[Bodega-Codigo]],Tabla_Ultimo_Cambio_Buffer[Bodega-Codigo],0)</calculatedColumnFormula>
    </tableColumn>
    <tableColumn id="120" name="Coincidir Bodega Perfil">
      <calculatedColumnFormula>MATCH(CONTROL[[#This Row],[BODEGA]]&amp;CONTROL[[#This Row],[Perfil]],Tabla_ArchivosBodegas[BodegaPerfil],0)</calculatedColumnFormula>
    </tableColumn>
    <tableColumn id="121" name="Columnas Horizonte">
      <calculatedColumnFormula>COLUMNS(INDIRECT("CONTROL[@["&amp;TEXT(CONTROL[[#This Row],[Inicio Per]],"dd/mm/yyyy")&amp;"]:["&amp;TEXT(CONTROL[[#This Row],[Fin Per]],"dd/mm/yyyy")&amp;"]]"))</calculatedColumnFormula>
    </tableColumn>
    <tableColumn id="50" name="Recupera Inv Fis"/>
    <tableColumn id="100" name="Recupera Inv Fis2">
      <calculatedColumnFormula array="1">IF(IDIOMA="Inglés",SUMPRODUCT((--(CONTROL[[#This Row],[BODEGA]]=tblRecupBuffHist[BODEGA]))*(--(CONTROL[[#This Row],[CODIGO]]=tblRecupBuffHist[CODIGO]))*(--((INDIRECT("CONTROL[[#Headers]"&amp;sep_lis&amp;"[01/03/2013]]")*1)=1*tblRecupBuffHist[FECHA]))*tblRecupBuffHist[InvFisAct]),SUMPRODUCT((--(CONTROL[[#This Row],[BODEGA]]=tblRecupBuffHist[BODEGA]))*(--(CONTROL[[#This Row],[CODIGO]]=tblRecupBuffHist[CODIGO]))*(--((INDIRECT("CONTROL[[#Encabezados]"&amp;sep_lis&amp;"[01/03/2013]]")*1)=1*tblRecupBuffHist[FECHA]))*tblRecupBuffHist[InvFisAct]))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1" name="TIPO" displayName="TIPO" ref="A40:A44" totalsRowShown="0" headerRowDxfId="152" dataDxfId="151">
  <autoFilter ref="A40:A44"/>
  <tableColumns count="1">
    <tableColumn id="1" name="TIPO" dataDxfId="150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33" name="Tabla_Parametros_Nivel_Servicio" displayName="Tabla_Parametros_Nivel_Servicio" ref="A52:C53" totalsRowShown="0">
  <autoFilter ref="A52:C53"/>
  <tableColumns count="3">
    <tableColumn id="4" name="FECHAFIN" dataDxfId="149">
      <calculatedColumnFormula>HOY</calculatedColumnFormula>
    </tableColumn>
    <tableColumn id="5" name="FECHAINI" dataDxfId="148">
      <calculatedColumnFormula>Tabla_Parametros_Nivel_Servicio[FECHAFIN]-Tabla_Parametros_Nivel_Servicio[DÍAS NIVEL SERVICIO]</calculatedColumnFormula>
    </tableColumn>
    <tableColumn id="1" name="DÍAS NIVEL SERVICIO" dataDxfId="147">
      <calculatedColumnFormula>AVERAGE(Tabla_ArchivosBodegas[T NIV SER (DIAS)])</calculatedColumnFormula>
    </tableColumn>
  </tableColumns>
  <tableStyleInfo name="TableStyleDark5" showFirstColumn="0" showLastColumn="0" showRowStripes="1" showColumnStripes="0"/>
</table>
</file>

<file path=xl/tables/table11.xml><?xml version="1.0" encoding="utf-8"?>
<table xmlns="http://schemas.openxmlformats.org/spreadsheetml/2006/main" id="28" name="Observaciones_Notables" displayName="Observaciones_Notables" ref="AA1:AA12" dataDxfId="146">
  <autoFilter ref="AA1:AA12"/>
  <tableColumns count="1">
    <tableColumn id="1" name="Observaciones" totalsRowFunction="custom" dataDxfId="145" totalsRowDxfId="144">
      <totalsRowFormula>IF(COUNTA(tbl_transferencia_demorada[CODIGO])&gt;0,"Se incumple t suministro","")</totalsRow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Tabla_Empresa" displayName="Tabla_Empresa" ref="A1:W2" totalsRowShown="0">
  <autoFilter ref="A1:W2"/>
  <tableColumns count="23">
    <tableColumn id="1" name="BODEGA"/>
    <tableColumn id="2" name="ARCHIVO">
      <calculatedColumnFormula>NOMBREWORKBOOK</calculatedColumnFormula>
    </tableColumn>
    <tableColumn id="20" name="PATH">
      <calculatedColumnFormula>DIRPATHCOMPLETO</calculatedColumnFormula>
    </tableColumn>
    <tableColumn id="3" name="PRIMER DIA">
      <calculatedColumnFormula>PRIMER_CAMPO</calculatedColumnFormula>
    </tableColumn>
    <tableColumn id="4" name="ULTIMO DIA">
      <calculatedColumnFormula>OFFSET(PRIMER_CAMPO,0,COUNTIF(CONTROL[#Headers],"*/*")-1,1,1)</calculatedColumnFormula>
    </tableColumn>
    <tableColumn id="7" name="DIAS PERIODO">
      <calculatedColumnFormula>COLUMNS(HORIZONTE)</calculatedColumnFormula>
    </tableColumn>
    <tableColumn id="5" name="HOY" dataDxfId="143">
      <calculatedColumnFormula>HOY</calculatedColumnFormula>
    </tableColumn>
    <tableColumn id="6" name="DIAS FIN PERIODO">
      <calculatedColumnFormula>Tabla_Empresa[ULTIMO DIA]-Tabla_Empresa[HOY]</calculatedColumnFormula>
    </tableColumn>
    <tableColumn id="8" name="ITEMS TOTALES">
      <calculatedColumnFormula>ROWS(CONTROL[])</calculatedColumnFormula>
    </tableColumn>
    <tableColumn id="9" name="ITEMS CONTROL BUFFERS">
      <calculatedColumnFormula>SUMPRODUCT(--(CONTROL[Buff Act]&gt;0))</calculatedColumnFormula>
    </tableColumn>
    <tableColumn id="10" name="EMPRESA">
      <calculatedColumnFormula>INDEX(Tabla_ArchivosCB[EMPRESA],MATCH(DIRPATHCOMPLETO,Tabla_ArchivosCB[PATH],0),1)</calculatedColumnFormula>
    </tableColumn>
    <tableColumn id="11" name="PROVEEDOR"/>
    <tableColumn id="12" name="COSTO BUFFER">
      <calculatedColumnFormula>SUMPRODUCT(CONTROL[Buff Act],CONTROL[CTV])</calculatedColumnFormula>
    </tableColumn>
    <tableColumn id="13" name="COSTO TOTAL">
      <calculatedColumnFormula>SUMPRODUCT((CONTROL[Inv Fís Act]+CONTROL[Tráns Act]),CONTROL[CTV])</calculatedColumnFormula>
    </tableColumn>
    <tableColumn id="14" name="COSTO FISICO">
      <calculatedColumnFormula>SUMPRODUCT((CONTROL[Inv Fís Act]),CONTROL[CTV])</calculatedColumnFormula>
    </tableColumn>
    <tableColumn id="15" name="COSTO TRANSITO">
      <calculatedColumnFormula>SUMPRODUCT(CONTROL[Tráns Act],CONTROL[CTV])</calculatedColumnFormula>
    </tableColumn>
    <tableColumn id="16" name="ERRORES PERIODO"/>
    <tableColumn id="17" name="REFRESCADA"/>
    <tableColumn id="18" name="FECHA REFRESCADO" dataDxfId="142"/>
    <tableColumn id="19" name="CAMPOS">
      <calculatedColumnFormula>COUNTA(CONTROL[#Headers])</calculatedColumnFormula>
    </tableColumn>
    <tableColumn id="21" name="DUPLICADOS">
      <calculatedColumnFormula>COUNTA(Tabla_Duplicados[EMPRESA])</calculatedColumnFormula>
    </tableColumn>
    <tableColumn id="22" name="INICIO REFRESCADO" dataDxfId="141"/>
    <tableColumn id="23" name="TIPO REFRESCADO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32" name="Tabla_Unos_y_Ceros" displayName="Tabla_Unos_y_Ceros" ref="C11:C13" totalsRowShown="0">
  <autoFilter ref="C11:C13"/>
  <tableColumns count="1">
    <tableColumn id="1" name="Unos y Ceros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8" name="Tabla_Errores" displayName="Tabla_Errores" ref="E1:F19">
  <autoFilter ref="E1:F19"/>
  <tableColumns count="2">
    <tableColumn id="1" name="Descripción" totalsRowFunction="custom">
      <totalsRowFormula>"Es necesario insertar la fecha "&amp;TEXT(Tabla_Errores[[#Totals],[Error]],"dd/mm/yyyy")&amp;" en el Período"</totalsRowFormula>
    </tableColumn>
    <tableColumn id="2" name="Error" totalsRowFunction="custom">
      <totalsRowFormula array="1">IFERROR(INDEX(CONTROL[Ult Cambio],MATCH("-",IFERROR(MATCH(CONTROL[Ult Cambio],HORIZONTE*1,0),"-"),0)),"")</totalsRowFormula>
    </tableColumn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25" name="Tabla_Empresa_Activa" displayName="Tabla_Empresa_Activa" ref="A1:C2" totalsRowShown="0" headerRowDxfId="139">
  <autoFilter ref="A1:C2"/>
  <tableColumns count="3">
    <tableColumn id="1" name="CODIGO"/>
    <tableColumn id="2" name="NOMBRE"/>
    <tableColumn id="3" name="NOMBRE_COMPLETO"/>
  </tableColumns>
  <tableStyleInfo name="TableStyleMedium8" showFirstColumn="0" showLastColumn="0" showRowStripes="1" showColumnStripes="0"/>
</table>
</file>

<file path=xl/tables/table16.xml><?xml version="1.0" encoding="utf-8"?>
<table xmlns="http://schemas.openxmlformats.org/spreadsheetml/2006/main" id="30" name="Tabla_ArchivosCB" displayName="Tabla_ArchivosCB" ref="A1:E3" totalsRowShown="0">
  <autoFilter ref="A1:E3"/>
  <tableColumns count="5">
    <tableColumn id="1" name="EMPRESA"/>
    <tableColumn id="3" name="ARCHIVO"/>
    <tableColumn id="9" name="PATH"/>
    <tableColumn id="8" name="TabARCHIVO"/>
    <tableColumn id="2" name="COD_EMPRESA" dataDxfId="138"/>
  </tableColumns>
  <tableStyleInfo name="TableStyleMedium18" showFirstColumn="0" showLastColumn="0" showRowStripes="1" showColumnStripes="0"/>
</table>
</file>

<file path=xl/tables/table17.xml><?xml version="1.0" encoding="utf-8"?>
<table xmlns="http://schemas.openxmlformats.org/spreadsheetml/2006/main" id="20" name="Tabla_ArchivosBodegas" displayName="Tabla_ArchivosBodegas" ref="A1:W12" totalsRowShown="0">
  <autoFilter ref="A1:W12"/>
  <tableColumns count="23">
    <tableColumn id="2" name="BODEGA"/>
    <tableColumn id="1" name="ARCHIVO"/>
    <tableColumn id="9" name="PATH"/>
    <tableColumn id="4" name="FREC REP"/>
    <tableColumn id="5" name="TIEMP SUMINIS"/>
    <tableColumn id="7" name="HORIZONTE"/>
    <tableColumn id="6" name="T NIV SER (DIAS)"/>
    <tableColumn id="3" name="PERFIL"/>
    <tableColumn id="10" name="PORCENT LINEA ROJA"/>
    <tableColumn id="8" name="BodegaPerfil"/>
    <tableColumn id="11" name="COD_BODEGA"/>
    <tableColumn id="12" name="PORCENT PEDID MIN"/>
    <tableColumn id="13" name="TIPO HORIZONTE"/>
    <tableColumn id="14" name="USA PED PROM"/>
    <tableColumn id="15" name="USA_FISICO"/>
    <tableColumn id="16" name="USA_TRANSITO"/>
    <tableColumn id="17" name="USA_COMPROMETIDO"/>
    <tableColumn id="18" name="USA_BACKORDER"/>
    <tableColumn id="19" name="TIPO_TRANSITO"/>
    <tableColumn id="20" name="TIPO_BACKORDER"/>
    <tableColumn id="21" name="TIPO_COMPROMETIDO"/>
    <tableColumn id="22" name="TIPO_CONSUMO"/>
    <tableColumn id="23" name="INICIO_HORIZONTE" dataDxfId="137">
      <calculatedColumnFormula array="1">IFERROR(INDEX(HORIZONTE,MATCH((HOY-Tabla_ArchivosBodegas[[#This Row],[HORIZONTE]]*7),HORIZONTE*1,0)),INDEX(HORIZONTE,MATCH((HOY-Tabla_ArchivosBodegas[[#This Row],[HORIZONTE]]*7),HORIZONTE*1,1)))</calculatedColumnFormula>
    </tableColumn>
  </tableColumns>
  <tableStyleInfo name="TableStyleMedium18" showFirstColumn="0" showLastColumn="0" showRowStripes="1" showColumnStripes="0"/>
</table>
</file>

<file path=xl/tables/table18.xml><?xml version="1.0" encoding="utf-8"?>
<table xmlns="http://schemas.openxmlformats.org/spreadsheetml/2006/main" id="5" name="Tabla_Proveedores" displayName="Tabla_Proveedores" ref="A1:G11" totalsRowShown="0">
  <autoFilter ref="A1:G11"/>
  <tableColumns count="7">
    <tableColumn id="1" name="Bodega"/>
    <tableColumn id="2" name="Proveedor"/>
    <tableColumn id="3" name="Prioridad"/>
    <tableColumn id="4" name="BodegaProveedor" dataDxfId="136"/>
    <tableColumn id="5" name="COD_BODEGA"/>
    <tableColumn id="6" name="COD_PROVEEDOR"/>
    <tableColumn id="7" name="BodegaProveedorPrioridad" dataDxfId="135">
      <calculatedColumnFormula>Tabla_Proveedores[[#This Row],[BodegaProveedor]]&amp;Tabla_Proveedores[[#This Row],[Prioridad]]</calculatedColumnFormula>
    </tableColumn>
  </tableColumns>
  <tableStyleInfo name="TableStyleMedium18" showFirstColumn="0" showLastColumn="0" showRowStripes="1" showColumnStripes="0"/>
</table>
</file>

<file path=xl/tables/table19.xml><?xml version="1.0" encoding="utf-8"?>
<table xmlns="http://schemas.openxmlformats.org/spreadsheetml/2006/main" id="3" name="Tabla_Bodegas_Permitidas" displayName="Tabla_Bodegas_Permitidas" ref="A1:C2" totalsRowShown="0">
  <autoFilter ref="A1:C2"/>
  <tableColumns count="3">
    <tableColumn id="2" name="COD_BODEGA"/>
    <tableColumn id="1" name="BODEGA"/>
    <tableColumn id="3" name="COD_PROVEEDOR" dataDxfId="134">
      <calculatedColumnFormula>IFERROR(INDEX(Tabla_Proveedores[COD_PROVEEDOR],MATCH(Tabla_Bodegas_Permitidas[[#This Row],[COD_BODEGA]],Tabla_Proveedores[COD_BODEGA],0)),0)</calculatedColumnFormula>
    </tableColumn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12" name="Tabla_Proveedores_Permitidos" displayName="Tabla_Proveedores_Permitidos" ref="A1:A11" totalsRowShown="0">
  <autoFilter ref="A1:A11"/>
  <tableColumns count="1">
    <tableColumn id="1" name="PROVEEDOR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4" name="Tabla_Perfiles_Permitidos" displayName="Tabla_Perfiles_Permitidos" ref="A1:A12" totalsRowShown="0">
  <autoFilter ref="A1:A12"/>
  <tableColumns count="1">
    <tableColumn id="1" name="Perfil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54" name="Tabla_Datos_Codigo" displayName="Tabla_Datos_Codigo" ref="A1:BD2" tableType="queryTable" insertRow="1" totalsRowShown="0">
  <autoFilter ref="A1:BD2"/>
  <tableColumns count="56">
    <tableColumn id="2" uniqueName="2" name="pro_empresa_id" queryTableFieldId="11"/>
    <tableColumn id="3" uniqueName="3" name="pro_codigo" queryTableFieldId="12"/>
    <tableColumn id="4" uniqueName="4" name="pro_codigovinculado" queryTableFieldId="13"/>
    <tableColumn id="5" uniqueName="5" name="pro_codigogenerico" queryTableFieldId="14"/>
    <tableColumn id="6" uniqueName="6" name="pro_codigopromocion" queryTableFieldId="15"/>
    <tableColumn id="7" uniqueName="7" name="pro_descripcion" queryTableFieldId="16"/>
    <tableColumn id="8" uniqueName="8" name="pro_grupo_id" queryTableFieldId="17"/>
    <tableColumn id="9" uniqueName="9" name="pro_grupo" queryTableFieldId="18"/>
    <tableColumn id="10" uniqueName="10" name="pro_linea_id" queryTableFieldId="19"/>
    <tableColumn id="11" uniqueName="11" name="pro_linea" queryTableFieldId="20"/>
    <tableColumn id="12" uniqueName="12" name="pro_sublinea_id" queryTableFieldId="21"/>
    <tableColumn id="13" uniqueName="13" name="pro_sublinea" queryTableFieldId="22"/>
    <tableColumn id="14" uniqueName="14" name="pro_modelo_id" queryTableFieldId="23"/>
    <tableColumn id="15" uniqueName="15" name="pro_modelo" queryTableFieldId="24"/>
    <tableColumn id="1" uniqueName="1" name="pro_familia_id" queryTableFieldId="63"/>
    <tableColumn id="17" uniqueName="17" name="pro_familia" queryTableFieldId="26"/>
    <tableColumn id="18" uniqueName="18" name="pro_subfamilia_id" queryTableFieldId="27"/>
    <tableColumn id="19" uniqueName="19" name="pro_subfamilia" queryTableFieldId="28"/>
    <tableColumn id="20" uniqueName="20" name="pro_categoria_id" queryTableFieldId="29"/>
    <tableColumn id="21" uniqueName="21" name="pro_categoria" queryTableFieldId="30"/>
    <tableColumn id="22" uniqueName="22" name="pro_tipo_id" queryTableFieldId="31"/>
    <tableColumn id="23" uniqueName="23" name="pro_tipo" queryTableFieldId="32"/>
    <tableColumn id="24" uniqueName="24" name="pro_marca_id" queryTableFieldId="33"/>
    <tableColumn id="25" uniqueName="25" name="pro_marca" queryTableFieldId="34"/>
    <tableColumn id="26" uniqueName="26" name="pro_cat_management_id" queryTableFieldId="35"/>
    <tableColumn id="27" uniqueName="27" name="pro_cat_management" queryTableFieldId="36"/>
    <tableColumn id="28" uniqueName="28" name="pro_catpropia1_id" queryTableFieldId="37"/>
    <tableColumn id="29" uniqueName="29" name="pro_catpropia1" queryTableFieldId="38"/>
    <tableColumn id="30" uniqueName="30" name="pro_catpropia2_id" queryTableFieldId="39"/>
    <tableColumn id="31" uniqueName="31" name="pro_catpropia2" queryTableFieldId="40"/>
    <tableColumn id="32" uniqueName="32" name="pro_catpropia3_id" queryTableFieldId="41"/>
    <tableColumn id="33" uniqueName="33" name="pro_catpropia3" queryTableFieldId="42"/>
    <tableColumn id="34" uniqueName="34" name="pro_catpropia4_id" queryTableFieldId="43"/>
    <tableColumn id="35" uniqueName="35" name="pro_catpropia4" queryTableFieldId="44"/>
    <tableColumn id="36" uniqueName="36" name="pro_catpropia5_id" queryTableFieldId="45"/>
    <tableColumn id="37" uniqueName="37" name="pro_catpropia5" queryTableFieldId="46"/>
    <tableColumn id="38" uniqueName="38" name="pro_tiporeposicion" queryTableFieldId="47"/>
    <tableColumn id="39" uniqueName="39" name="pro_peso" queryTableFieldId="48"/>
    <tableColumn id="40" uniqueName="40" name="pro_unidad_peso" queryTableFieldId="49"/>
    <tableColumn id="41" uniqueName="41" name="pro_volumen" queryTableFieldId="50"/>
    <tableColumn id="42" uniqueName="42" name="pro_unidad_volumen" queryTableFieldId="51"/>
    <tableColumn id="43" uniqueName="43" name="pro_activo" queryTableFieldId="52"/>
    <tableColumn id="44" uniqueName="44" name="pro_control_buffer" queryTableFieldId="53"/>
    <tableColumn id="45" uniqueName="45" name="pro_precio" queryTableFieldId="54"/>
    <tableColumn id="46" uniqueName="46" name="pro_costo" queryTableFieldId="55"/>
    <tableColumn id="47" uniqueName="47" name="pro_truput_total" queryTableFieldId="56"/>
    <tableColumn id="48" uniqueName="48" name="pro_fechadescontinuado" queryTableFieldId="57" dataDxfId="133"/>
    <tableColumn id="49" uniqueName="49" name="pro_unidad" queryTableFieldId="58"/>
    <tableColumn id="52" uniqueName="52" name="pro_estatus" queryTableFieldId="62"/>
    <tableColumn id="16" uniqueName="16" name="pro_clasificacion" queryTableFieldId="69"/>
    <tableColumn id="53" uniqueName="53" name="pro_responsable" queryTableFieldId="68"/>
    <tableColumn id="54" uniqueName="54" name="pro_precio_promocion" queryTableFieldId="67"/>
    <tableColumn id="55" uniqueName="55" name="pro_promocion_desde" queryTableFieldId="66"/>
    <tableColumn id="56" uniqueName="56" name="pro_promocion_hasta" queryTableFieldId="65"/>
    <tableColumn id="50" uniqueName="50" name="pro_fecha_actualizacion" queryTableFieldId="59" dataDxfId="132"/>
    <tableColumn id="51" uniqueName="51" name="pro_notas" queryTableFieldId="60"/>
  </tableColumns>
  <tableStyleInfo name="TableStyleDark10" showFirstColumn="0" showLastColumn="0" showRowStripes="1" showColumnStripes="0"/>
</table>
</file>

<file path=xl/tables/table23.xml><?xml version="1.0" encoding="utf-8"?>
<table xmlns="http://schemas.openxmlformats.org/spreadsheetml/2006/main" id="9" name="Tabla_TRANSFERENCIAS" displayName="Tabla_TRANSFERENCIAS" ref="A1:D2" tableType="queryTable" insertRow="1" totalsRowShown="0">
  <autoFilter ref="A1:D2"/>
  <tableColumns count="4">
    <tableColumn id="1" uniqueName="1" name="CODIGO" queryTableFieldId="1"/>
    <tableColumn id="2" uniqueName="2" name="DESTINO" queryTableFieldId="2"/>
    <tableColumn id="4" uniqueName="4" name="CANTIDAD" queryTableFieldId="4"/>
    <tableColumn id="5" uniqueName="5" name="UNIDO" queryTableFieldId="5" dataDxfId="131">
      <calculatedColumnFormula>Tabla_TRANSFERENCIAS[[#This Row],[CODIGO]]&amp;"-"&amp;Tabla_TRANSFERENCIAS[[#This Row],[DESTINO]]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1" name="Tabla_TRANSFERENCIASDE" displayName="Tabla_TRANSFERENCIASDE" ref="G1:J2" tableType="queryTable" insertRow="1" totalsRowShown="0">
  <autoFilter ref="G1:J2"/>
  <tableColumns count="4">
    <tableColumn id="1" uniqueName="1" name="CODIGO" queryTableFieldId="1"/>
    <tableColumn id="2" uniqueName="2" name="ORIGEN" queryTableFieldId="6"/>
    <tableColumn id="3" uniqueName="3" name="CANTIDAD" queryTableFieldId="4" dataDxfId="130"/>
    <tableColumn id="4" uniqueName="4" name="UNIDO" queryTableFieldId="8" dataDxfId="129">
      <calculatedColumnFormula>Tabla_TRANSFERENCIASDE[[#This Row],[CODIGO]]&amp;"-"&amp;Tabla_TRANSFERENCIASDE[[#This Row],[ORIGEN]]</calculatedColumnFormula>
    </tableColumn>
  </tableColumns>
  <tableStyleInfo name="TableStyleMedium3" showFirstColumn="0" showLastColumn="0" showRowStripes="1" showColumnStripes="0"/>
</table>
</file>

<file path=xl/tables/table25.xml><?xml version="1.0" encoding="utf-8"?>
<table xmlns="http://schemas.openxmlformats.org/spreadsheetml/2006/main" id="15" name="Tabla_Comprometidos" displayName="Tabla_Comprometidos" ref="A1:C2" insertRow="1" totalsRowShown="0" headerRowDxfId="128">
  <autoFilter ref="A1:C2"/>
  <tableColumns count="3">
    <tableColumn id="2" name="BODEGA"/>
    <tableColumn id="1" name="CODIGO"/>
    <tableColumn id="3" name="CANTIDAD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16" name="Tabla_Backorders" displayName="Tabla_Backorders" ref="A1:C2" tableType="queryTable" insertRow="1" totalsRowShown="0" dataDxfId="127">
  <autoFilter ref="A1:C2"/>
  <tableColumns count="3">
    <tableColumn id="4" uniqueName="4" name="BODEGA" queryTableFieldId="4" dataDxfId="126"/>
    <tableColumn id="1" uniqueName="1" name="CODIGO" queryTableFieldId="1" dataDxfId="125"/>
    <tableColumn id="2" uniqueName="2" name="CANTIDAD" queryTableFieldId="2" dataDxfId="124"/>
  </tableColumns>
  <tableStyleInfo name="TableStyleMedium10" showFirstColumn="0" showLastColumn="0" showRowStripes="1" showColumnStripes="0"/>
</table>
</file>

<file path=xl/tables/table27.xml><?xml version="1.0" encoding="utf-8"?>
<table xmlns="http://schemas.openxmlformats.org/spreadsheetml/2006/main" id="29" name="Tabla_ROI_Productos" displayName="Tabla_ROI_Productos" ref="A1:B2" tableType="queryTable" insertRow="1" totalsRowShown="0">
  <autoFilter ref="A1:B2"/>
  <tableColumns count="2">
    <tableColumn id="1" uniqueName="1" name="CODIGO" queryTableFieldId="1"/>
    <tableColumn id="2" uniqueName="2" name="ROI ANUAL" queryTableFieldId="2"/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id="7" name="Tabla_ROIAgroinsumosPT" displayName="Tabla_ROIAgroinsumosPT" ref="D1:E2" tableType="queryTable" insertRow="1" totalsRowShown="0">
  <autoFilter ref="D1:E2"/>
  <tableColumns count="2">
    <tableColumn id="1" uniqueName="1" name="CODIGO" queryTableFieldId="1"/>
    <tableColumn id="2" uniqueName="2" name="ROI" queryTableFieldId="2"/>
  </tableColumns>
  <tableStyleInfo name="TableStyleMedium9" showFirstColumn="0" showLastColumn="0" showRowStripes="1" showColumnStripes="0"/>
</table>
</file>

<file path=xl/tables/table29.xml><?xml version="1.0" encoding="utf-8"?>
<table xmlns="http://schemas.openxmlformats.org/spreadsheetml/2006/main" id="39" name="Tabla_ROIAgroinsumosMP" displayName="Tabla_ROIAgroinsumosMP" ref="G1:H2" tableType="queryTable" insertRow="1" totalsRowShown="0">
  <autoFilter ref="G1:H2"/>
  <tableColumns count="2">
    <tableColumn id="1" uniqueName="1" name="CODIGO" queryTableFieldId="1"/>
    <tableColumn id="2" uniqueName="2" name="ROI" queryTableFieldId="2"/>
  </tableColumns>
  <tableStyleInfo name="TableStyleMedium9" showFirstColumn="0" showLastColumn="0" showRowStripes="1" showColumnStripes="0"/>
</table>
</file>

<file path=xl/tables/table30.xml><?xml version="1.0" encoding="utf-8"?>
<table xmlns="http://schemas.openxmlformats.org/spreadsheetml/2006/main" id="31" name="Tabla_Velocidad_Efectivo" displayName="Tabla_Velocidad_Efectivo" ref="A1:C2" tableType="queryTable" insertRow="1" totalsRowShown="0">
  <autoFilter ref="A1:C2"/>
  <tableColumns count="3">
    <tableColumn id="1" uniqueName="1" name="Empresa" queryTableFieldId="1"/>
    <tableColumn id="2" uniqueName="2" name="Proveedor" queryTableFieldId="10"/>
    <tableColumn id="9" uniqueName="9" name="Ciclo Efectivo" queryTableFieldId="9"/>
  </tableColumns>
  <tableStyleInfo name="TableStyleMedium9" showFirstColumn="0" showLastColumn="0" showRowStripes="1" showColumnStripes="0"/>
</table>
</file>

<file path=xl/tables/table31.xml><?xml version="1.0" encoding="utf-8"?>
<table xmlns="http://schemas.openxmlformats.org/spreadsheetml/2006/main" id="37" name="Tabla_Proveedores_Importacion" displayName="Tabla_Proveedores_Importacion" ref="E1:F2" tableType="queryTable" insertRow="1" totalsRowShown="0">
  <autoFilter ref="E1:F2"/>
  <tableColumns count="2">
    <tableColumn id="1" uniqueName="1" name="CodigoVentaProducto" queryTableFieldId="1"/>
    <tableColumn id="2" uniqueName="2" name="NombreProveedor" queryTableFieldId="2"/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id="38" name="Tabla_Proveedores_Local" displayName="Tabla_Proveedores_Local" ref="H1:I2" tableType="queryTable" insertRow="1" totalsRowShown="0">
  <autoFilter ref="H1:I2"/>
  <tableColumns count="2">
    <tableColumn id="1" uniqueName="1" name="CodigoVentaProducto" queryTableFieldId="1"/>
    <tableColumn id="2" uniqueName="2" name="NombreProveedor" queryTableFieldId="2"/>
  </tableColumns>
  <tableStyleInfo name="TableStyleMedium9" showFirstColumn="0" showLastColumn="0" showRowStripes="1" showColumnStripes="0"/>
</table>
</file>

<file path=xl/tables/table33.xml><?xml version="1.0" encoding="utf-8"?>
<table xmlns="http://schemas.openxmlformats.org/spreadsheetml/2006/main" id="34" name="Tabla_Ultimo_Cambio_Buffer_ODBC" displayName="Tabla_Ultimo_Cambio_Buffer_ODBC" ref="E1:F2" tableType="queryTable" totalsRowShown="0" dataDxfId="123">
  <autoFilter ref="E1:F2"/>
  <tableColumns count="2">
    <tableColumn id="1" uniqueName="1" name="CODIGO" queryTableFieldId="1" dataDxfId="122"/>
    <tableColumn id="2" uniqueName="2" name="FECHA" queryTableFieldId="2" dataDxfId="121"/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id="35" name="Tabla_Ultimo_Cambio_Buffer" displayName="Tabla_Ultimo_Cambio_Buffer" ref="A1:B2" insertRow="1" totalsRowShown="0" headerRowDxfId="120" headerRowBorderDxfId="119">
  <autoFilter ref="A1:B2"/>
  <tableColumns count="2">
    <tableColumn id="1" name="Bodega-Codigo"/>
    <tableColumn id="3" name="FECHA"/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id="6" name="Tabla_Nivel_Servicio" displayName="Tabla_Nivel_Servicio" ref="A1:D2" insertRow="1" totalsRowShown="0" headerRowDxfId="118">
  <autoFilter ref="A1:D2"/>
  <tableColumns count="4">
    <tableColumn id="6" name="Bodega-Codigo" dataDxfId="117"/>
    <tableColumn id="2" name="Servicio"/>
    <tableColumn id="4" name="Ultimo Inicio"/>
    <tableColumn id="5" name="Ultimo Fin"/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id="14" name="Tabla_Causas" displayName="Tabla_Causas" ref="A1:A21" tableType="queryTable" totalsRowShown="0">
  <autoFilter ref="A1:A21"/>
  <tableColumns count="1">
    <tableColumn id="1" uniqueName="1" name="Causa" queryTableFieldId="1"/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id="19" name="tblConsumos" displayName="tblConsumos" ref="A1:B2" insertRow="1" totalsRowShown="0">
  <autoFilter ref="A1:B2"/>
  <tableColumns count="2">
    <tableColumn id="1" name="BODEGA-CODIGO"/>
    <tableColumn id="2" name="CONSUMO"/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id="51" name="Tabla_HORIZONTE" displayName="Tabla_HORIZONTE" ref="A1:A197" totalsRowShown="0" dataDxfId="116" tableBorderDxfId="115">
  <autoFilter ref="A1:A197"/>
  <tableColumns count="1">
    <tableColumn id="1" name="HORIZONTE" dataDxfId="114"/>
  </tableColumns>
  <tableStyleInfo name="TableStyleMedium9" showFirstColumn="0" showLastColumn="0" showRowStripes="1" showColumnStripes="0"/>
</table>
</file>

<file path=xl/tables/table39.xml><?xml version="1.0" encoding="utf-8"?>
<table xmlns="http://schemas.openxmlformats.org/spreadsheetml/2006/main" id="18" name="Tabla_Esta" displayName="Tabla_Esta" ref="A1:H2" insertRow="1" totalsRowShown="0" headerRowDxfId="113">
  <autoFilter ref="A1:H2"/>
  <tableColumns count="8">
    <tableColumn id="1" name="CALENDARIO"/>
    <tableColumn id="3" name="INICIO"/>
    <tableColumn id="4" name="PICO"/>
    <tableColumn id="5" name="DECLIVE"/>
    <tableColumn id="6" name="NORMAL"/>
    <tableColumn id="7" name="% CAMBIO"/>
    <tableColumn id="2" name="NUM SUBIDAS"/>
    <tableColumn id="8" name="NUM BAJADAS"/>
  </tableColumns>
  <tableStyleInfo name="TableStyleLight9" showFirstColumn="0" showLastColumn="0" showRowStripes="1" showColumnStripes="0"/>
</table>
</file>

<file path=xl/tables/table40.xml><?xml version="1.0" encoding="utf-8"?>
<table xmlns="http://schemas.openxmlformats.org/spreadsheetml/2006/main" id="26" name="Tabla_Est" displayName="Tabla_Est" ref="A1:BK2" insertRow="1" totalsRowShown="0" headerRowDxfId="112">
  <autoFilter ref="A1:BK2"/>
  <tableColumns count="63">
    <tableColumn id="1" name="CALENDARIO"/>
    <tableColumn id="3" name="INICIO" dataDxfId="111">
      <calculatedColumnFormula>INDEX(Tabla_Esta[INICIO],Tabla_Est[[#This Row],[Coincidir Calendario en Tabla_Est]])</calculatedColumnFormula>
    </tableColumn>
    <tableColumn id="4" name="PICO" dataDxfId="110">
      <calculatedColumnFormula>INDEX(Tabla_Esta[PICO],Tabla_Est[[#This Row],[Coincidir Calendario en Tabla_Est]])</calculatedColumnFormula>
    </tableColumn>
    <tableColumn id="5" name="DECLIVE" dataDxfId="109">
      <calculatedColumnFormula>INDEX(Tabla_Esta[DECLIVE],Tabla_Est[[#This Row],[Coincidir Calendario en Tabla_Est]])</calculatedColumnFormula>
    </tableColumn>
    <tableColumn id="6" name="NORMAL" dataDxfId="108">
      <calculatedColumnFormula>INDEX(Tabla_Esta[NORMAL],Tabla_Est[[#This Row],[Coincidir Calendario en Tabla_Est]])</calculatedColumnFormula>
    </tableColumn>
    <tableColumn id="7" name="% CAMBIO" dataDxfId="107">
      <calculatedColumnFormula>INDEX(Tabla_Esta[% CAMBIO],Tabla_Est[[#This Row],[Coincidir Calendario en Tabla_Est]])</calculatedColumnFormula>
    </tableColumn>
    <tableColumn id="2" name="NUM SUBIDAS" dataDxfId="106">
      <calculatedColumnFormula>INDEX(Tabla_Esta[NUM SUBIDAS],Tabla_Est[[#This Row],[Coincidir Calendario en Tabla_Est]])</calculatedColumnFormula>
    </tableColumn>
    <tableColumn id="8" name="NUM BAJADAS" dataDxfId="105">
      <calculatedColumnFormula>INDEX(Tabla_Esta[NUM BAJADAS],Tabla_Est[[#This Row],[Coincidir Calendario en Tabla_Est]])</calculatedColumnFormula>
    </tableColumn>
    <tableColumn id="11" name="Matriz Ordenada" dataDxfId="104">
      <calculatedColumnFormula>ROW(INDIRECT("A1:A"&amp;Tabla_Est[[#This Row],[Aumentos Posibles]]))</calculatedColumnFormula>
    </tableColumn>
    <tableColumn id="22" name="aux 1" dataDxfId="103">
      <calculatedColumnFormula>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</calculatedColumnFormula>
    </tableColumn>
    <tableColumn id="12" name="posición cero" dataDxfId="102">
      <calculatedColumnFormula>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</calculatedColumnFormula>
    </tableColumn>
    <tableColumn id="23" name="Matriz K" dataDxfId="101">
      <calculatedColumnFormula array="1">ROW(INDIRECT("A1:A"&amp;Tabla_Est[[#This Row],[NUM SUBIDAS]]-SUM(IF(Tabla_Est[[#This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Aumento]])=1,1,0))))))</calculatedColumnFormula>
    </tableColumn>
    <tableColumn id="26" name="KesimoMenor" dataDxfId="100">
      <calculatedColumnFormula>SMALL(IF(IF(Tabla_Est[[#This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Aumento]])=1,1,0)))))))</calculatedColumnFormula>
    </tableColumn>
    <tableColumn id="24" name="Coincidir" dataDxfId="99">
      <calculatedColumnFormula>MATCH(IF(IF(Tabla_Est[[#This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Aumento]])=1,1,0))))))),0)</calculatedColumnFormula>
    </tableColumn>
    <tableColumn id="20" name="aux 2" dataDxfId="98">
      <calculatedColumnFormula>IF(ISERROR(MATCH(IF(IF(Tabla_Est[[#This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SUBIDAS]],1,IF(ROW(INDIRECT("A1:A"&amp;Tabla_Est[[#This Row],[Aumentos Posibles]]))=1,1,IF(MOD(ROW(INDIRECT("A1:A"&amp;Tabla_Est[[#This Row],[Aumentos Posibles]])),Tabla_Est[[#This Row],[Factor Repartición Aumento]])=1,1,0))))))),0)),0,1)</calculatedColumnFormula>
    </tableColumn>
    <tableColumn id="10" name="Inicio Aumentos" dataDxfId="97">
      <calculatedColumnFormula>IF((Tabla_Est[[#This Row],[INICIO]]-Tabla_Est[[#This Row],[Tiempo Suministro]])&gt;0,(Tabla_Est[[#This Row],[INICIO]]-Tabla_Est[[#This Row],[Tiempo Suministro]]),Tabla_Est[[#This Row],[Últ Semana Año Anterior]]-ABS(Tabla_Est[[#This Row],[INICIO]]-Tabla_Est[[#This Row],[Tiempo Suministro]]))</calculatedColumnFormula>
    </tableColumn>
    <tableColumn id="16" name="Inicio Disminución" dataDxfId="96">
      <calculatedColumnFormula>IF((Tabla_Est[[#This Row],[DECLIVE]]-Tabla_Est[[#This Row],[Tiempo Suministro]])&gt;0,(Tabla_Est[[#This Row],[DECLIVE]]-Tabla_Est[[#This Row],[Tiempo Suministro]]),Tabla_Est[[#This Row],[Últ Semana Año Anterior]]-ABS(Tabla_Est[[#This Row],[DECLIVE]]-Tabla_Est[[#This Row],[Tiempo Suministro]]))</calculatedColumnFormula>
    </tableColumn>
    <tableColumn id="13" name="Fin Aumentos" dataDxfId="95">
      <calculatedColumnFormula>IF((Tabla_Est[[#This Row],[PICO]]-Tabla_Est[[#This Row],[Tiempo Suministro]])&gt;0,(Tabla_Est[[#This Row],[PICO]]-Tabla_Est[[#This Row],[Tiempo Suministro]]),Tabla_Est[[#This Row],[Últ Semana Año Anterior]]-ABS(Tabla_Est[[#This Row],[PICO]]-Tabla_Est[[#This Row],[Tiempo Suministro]]))</calculatedColumnFormula>
    </tableColumn>
    <tableColumn id="17" name="Fin Disminución" dataDxfId="94">
      <calculatedColumnFormula>IF((Tabla_Est[[#This Row],[NORMAL]]-Tabla_Est[[#This Row],[Tiempo Suministro]])&gt;0,(Tabla_Est[[#This Row],[NORMAL]]-Tabla_Est[[#This Row],[Tiempo Suministro]]),Tabla_Est[[#This Row],[Últ Semana Año Anterior]]-ABS(Tabla_Est[[#This Row],[NORMAL]]-Tabla_Est[[#This Row],[Tiempo Suministro]]))</calculatedColumnFormula>
    </tableColumn>
    <tableColumn id="14" name="Duración Aumento" dataDxfId="93">
      <calculatedColumnFormula>IF(Tabla_Est[[#This Row],[Fin Aumentos]]&gt;=Tabla_Est[[#This Row],[Inicio Aumentos]],Tabla_Est[[#This Row],[Fin Aumentos]]-Tabla_Est[[#This Row],[Inicio Aumentos]],Tabla_Est[[#This Row],[Últ Semana Año Anterior]]-ABS(Tabla_Est[[#This Row],[Fin Aumentos]]-Tabla_Est[[#This Row],[Inicio Aumentos]]))</calculatedColumnFormula>
    </tableColumn>
    <tableColumn id="18" name="Duración Disminución" dataDxfId="92">
      <calculatedColumnFormula>IF(Tabla_Est[[#This Row],[Fin Disminución]]&gt;=Tabla_Est[[#This Row],[Inicio Disminución]],Tabla_Est[[#This Row],[Fin Disminución]]-Tabla_Est[[#This Row],[Inicio Disminución]],Tabla_Est[[#This Row],[Últ Semana Año Anterior]]-ABS(Tabla_Est[[#This Row],[Fin Disminución]]-Tabla_Est[[#This Row],[Inicio Disminución]]))</calculatedColumnFormula>
    </tableColumn>
    <tableColumn id="15" name="Aumentos Posibles" dataDxfId="91">
      <calculatedColumnFormula>Tabla_Est[[#This Row],[Duración Aumento]]+1</calculatedColumnFormula>
    </tableColumn>
    <tableColumn id="19" name="Disminuc Posibles" dataDxfId="90">
      <calculatedColumnFormula>Tabla_Est[[#This Row],[Duración Disminución]]+1</calculatedColumnFormula>
    </tableColumn>
    <tableColumn id="21" name="Factor Repartición Aumento" dataDxfId="89">
      <calculatedColumnFormula>ROUNDUP(Tabla_Est[[#This Row],[Aumentos Posibles]]/Tabla_Est[[#This Row],[NUM SUBIDAS]],0)</calculatedColumnFormula>
    </tableColumn>
    <tableColumn id="35" name="Factor Repartición Disminución" dataDxfId="88">
      <calculatedColumnFormula>ROUNDUP(Tabla_Est[[#This Row],[Disminuc Posibles]]/Tabla_Est[[#This Row],[NUM BAJADAS]],0)</calculatedColumnFormula>
    </tableColumn>
    <tableColumn id="25" name="PERIODOS DE AUMENTO" dataDxfId="87">
      <calculatedColumnFormula array="1">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</calculatedColumnFormula>
    </tableColumn>
    <tableColumn id="27" name="PERIODOS DE DISMINUCIONES" dataDxfId="86">
      <calculatedColumnFormula>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</calculatedColumnFormula>
    </tableColumn>
    <tableColumn id="9" name="En qué aumento estoy?" dataDxfId="85">
      <calculatedColumnFormula>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</calculatedColumnFormula>
    </tableColumn>
    <tableColumn id="51" name="En qué disminución estoy?" dataDxfId="84">
      <calculatedColumnFormula>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</calculatedColumnFormula>
    </tableColumn>
    <tableColumn id="50" name="Vector Aumentos" dataDxfId="83">
      <calculatedColumnFormula>IF(IF(IF(Tabla_Est[[#This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Posibles]])),0)=0,0,IF((Tabla_Est[[#This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Posibles]])),0)))&lt;=Tabla_Est[[#This Row],[Últ Semana Año Anterior]],(Tabla_Est[[#This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Posibles]])),0))),(Tabla_Est[[#This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Posibles]])),0)))-Tabla_Est[[#This Row],[Últ Semana Año Anterior]]))</calculatedColumnFormula>
    </tableColumn>
    <tableColumn id="28" name="Vector Disminuciones" dataDxfId="82">
      <calculatedColumnFormula>IF(IF(IF(Tabla_Est[[#This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Posibles]])),0)=0,0,IF((Tabla_Est[[#This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Posibles]])),0)))&lt;=Tabla_Est[[#This Row],[Últ Semana Año Anterior]],(Tabla_Est[[#This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Posibles]])),0))),(Tabla_Est[[#This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Posibles]])),0)))-Tabla_Est[[#This Row],[Últ Semana Año Anterior]]))</calculatedColumnFormula>
    </tableColumn>
    <tableColumn id="53" name="Aux Avisos Aumentos" dataDxfId="81">
      <calculatedColumnFormula array="1">IFERROR(MATCH(Tabla_Est[[#This Row],[Semana Hoy]],IF(IF(IF(Tabla_Est[[#This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Posibles]])),0)=0,0,IF((Tabla_Est[[#This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Posibles]])),0)))&lt;=Tabla_Est[[#This Row],[Últ Semana Año Anterior]],(Tabla_Est[[#This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Posibles]])),0))),(Tabla_Est[[#This Row],[Inicio Aumentos]]-1+(IF(IF(Tabla_Est[[#This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Posibles]])),0)))-Tabla_Est[[#This Row],[Últ Semana Año Anterior]])),0),"No")</calculatedColumnFormula>
    </tableColumn>
    <tableColumn id="52" name="Aux Avisos Disminuciones" dataDxfId="80">
      <calculatedColumnFormula array="1">IFERROR(MATCH(Tabla_Est[[#This Row],[Semana Hoy]],IF(IF(IF(Tabla_Est[[#This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Posibles]])),0)=0,0,IF((Tabla_Est[[#This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Posibles]])),0)))&lt;=Tabla_Est[[#This Row],[Últ Semana Año Anterior]],(Tabla_Est[[#This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Posibles]])),0))),(Tabla_Est[[#This Row],[Inicio Disminución]]-1+(IF(IF(Tabla_Est[[#This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Posibles]])),0)))-Tabla_Est[[#This Row],[Últ Semana Año Anterior]])),0),"No")</calculatedColumnFormula>
    </tableColumn>
    <tableColumn id="59" name="Vector Ordenado Aumentos" dataDxfId="79">
      <calculatedColumnFormula>IFERROR(MATCH(IF(IF(Tabla_Est[[#This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Posibles]])),0),SMALL(LARGE(IF(IF(Tabla_Est[[#This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Posibles]])),0),ROW(INDIRECT("A1:A"&amp;SUM(IF(Tabla_Est[[#This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Aumento]])=1,1,0))))))),0)),0,1))))),ROW(INDIRECT("A1:A"&amp;SUM(IF(Tabla_Est[[#This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Aumento]])=1,1,0))))))),0)),0,1))))),0),0)</calculatedColumnFormula>
    </tableColumn>
    <tableColumn id="60" name="Vector Ordenado Disminuciones" dataDxfId="78">
      <calculatedColumnFormula>IFERROR(MATCH(IF(IF(Tabla_Est[[#This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Posibles]])),0),SMALL(LARGE(IF(IF(Tabla_Est[[#This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Posibles]])),0),ROW(INDIRECT("A1:A"&amp;SUM(IF(Tabla_Est[[#This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Disminución]])=1,1,0))))))),0)),0,1))))),ROW(INDIRECT("A1:A"&amp;SUM(IF(Tabla_Est[[#This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Disminución]])=1,1,0))))))),0)),0,1))))),0),0)</calculatedColumnFormula>
    </tableColumn>
    <tableColumn id="55" name="Avisos Aumentos" dataDxfId="77">
      <calculatedColumnFormula array="1">IF(Tabla_Est[[#This Row],[Aux Avisos Aumentos]]="No","No","Aumento # "&amp;INDEX(TRANSPOSE(Numero_Cambio(TRANSPOSE(IF(Tabla_Est[[#This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Aumento]])=1,1,0))))))),0)),0,1)))),Tabla_Est[[#This Row],[Aux Avisos Aumentos]],)&amp;" de "&amp;Tabla_Est[[#This Row],[NUM SUBIDAS]])</calculatedColumnFormula>
    </tableColumn>
    <tableColumn id="54" name="Avisos Disminuciones" dataDxfId="76">
      <calculatedColumnFormula array="1">IF(Tabla_Est[[#This Row],[Aux Avisos Disminuciones]]="No","No","Disminución # "&amp;INDEX(TRANSPOSE(Numero_Cambio(TRANSPOSE(IF(Tabla_Est[[#This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Disminución]])=1,1,0))))))),0)),0,1)))),Tabla_Est[[#This Row],[Aux Avisos Disminuciones]],)&amp;" de "&amp;Tabla_Est[[#This Row],[NUM BAJADAS]])</calculatedColumnFormula>
    </tableColumn>
    <tableColumn id="56" name="Nuevo Avisos Aumentos" dataDxfId="75">
      <calculatedColumnFormula array="1">IF(Tabla_Est[[#This Row],[Aux Avisos Aumentos]]="No","No","Aumento # "&amp;INDEX(IFERROR(MATCH(IF(IF(Tabla_Est[[#This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Posibles]])),0),SMALL(LARGE(IF(IF(Tabla_Est[[#This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Aumento]])=1,1,0))))))),0)),0,1)=1,ROW(INDIRECT("A1:A"&amp;Tabla_Est[[#This Row],[Aumentos Posibles]])),0),ROW(INDIRECT("A1:A"&amp;SUM(IF(Tabla_Est[[#This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Aumento]])=1,1,0))))))),0)),0,1))))),ROW(INDIRECT("A1:A"&amp;SUM(IF(Tabla_Est[[#This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Aumento]])=1,1,0)))+IF(ISERROR(MATCH(IF(IF(Tabla_Est[[#This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Posibles]])),100000),SMALL(IF(IF(Tabla_Est[[#This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Aumento]])=1,1,0)))=0,ROW(INDIRECT("A1:A"&amp;Tabla_Est[[#This Row],[Aumentos Posibles]])),100000),ROW(INDIRECT("A1:A"&amp;Tabla_Est[[#This Row],[NUM SUBIDAS]]-SUM(IF(Tabla_Est[[#This Row],[Aumentos Posibles]]=Tabla_Est[[#This Row],[NUM SUBIDAS]],--ISNUMBER(ROW(INDIRECT("A1:A"&amp;Tabla_Est[[#This Row],[Aumentos Posibles]]))),IF(ROW(INDIRECT("A1:A"&amp;Tabla_Est[[#This Row],[Aumentos Posibles]]))=1,1,IF(MOD(ROW(INDIRECT("A1:A"&amp;Tabla_Est[[#This Row],[Aumentos Posibles]])),Tabla_Est[[#This Row],[Factor Repartición Aumento]])=1,1,0))))))),0)),0,1))))),0),0),Tabla_Est[[#This Row],[Aux Avisos Aumentos]],)&amp;" de "&amp;Tabla_Est[[#This Row],[NUM SUBIDAS]])</calculatedColumnFormula>
    </tableColumn>
    <tableColumn id="58" name="Nuevo Aviso Disminuciones" dataDxfId="74">
      <calculatedColumnFormula array="1">IF(Tabla_Est[[#This Row],[Aux Avisos Disminuciones]]="No","No","Disminución # "&amp;INDEX(IFERROR(MATCH(IF(IF(Tabla_Est[[#This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Posibles]])),0),SMALL(LARGE(IF(IF(Tabla_Est[[#This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Disminución]])=1,1,0))))))),0)),0,1)=1,ROW(INDIRECT("A1:A"&amp;Tabla_Est[[#This Row],[Disminuc Posibles]])),0),ROW(INDIRECT("A1:A"&amp;SUM(IF(Tabla_Est[[#This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Disminución]])=1,1,0))))))),0)),0,1))))),ROW(INDIRECT("A1:A"&amp;SUM(IF(Tabla_Est[[#This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Disminución]])=1,1,0)))+IF(ISERROR(MATCH(IF(IF(Tabla_Est[[#This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Posibles]])),100000),SMALL(IF(IF(Tabla_Est[[#This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Disminución]])=1,1,0)))=0,ROW(INDIRECT("A1:A"&amp;Tabla_Est[[#This Row],[Disminuc Posibles]])),100000),ROW(INDIRECT("A1:A"&amp;Tabla_Est[[#This Row],[NUM BAJADAS]]-SUM(IF(Tabla_Est[[#This Row],[Disminuc Posibles]]=Tabla_Est[[#This Row],[NUM BAJADAS]],--ISNUMBER(ROW(INDIRECT("A1:A"&amp;Tabla_Est[[#This Row],[Disminuc Posibles]]))),IF(ROW(INDIRECT("A1:A"&amp;Tabla_Est[[#This Row],[Disminuc Posibles]]))=1,1,IF(MOD(ROW(INDIRECT("A1:A"&amp;Tabla_Est[[#This Row],[Disminuc Posibles]])),Tabla_Est[[#This Row],[Factor Repartición Disminución]])=1,1,0))))))),0)),0,1))))),0),0),Tabla_Est[[#This Row],[Aux Avisos Disminuciones]],)&amp;" de "&amp;Tabla_Est[[#This Row],[NUM BAJADAS]])</calculatedColumnFormula>
    </tableColumn>
    <tableColumn id="57" name="Aviso General" dataDxfId="73">
      <calculatedColumnFormula>IF(AND(Tabla_Est[[#This Row],[Nuevo Avisos Aumentos]]="No",Tabla_Est[[#This Row],[Nuevo Aviso Disminuciones]]="No"),"",IF(Tabla_Est[[#This Row],[Nuevo Avisos Aumentos]]&lt;&gt;"No",Tabla_Est[[#This Row],[Nuevo Avisos Aumentos]],IF(Tabla_Est[[#This Row],[Nuevo Aviso Disminuciones]]&lt;&gt;"No",Tabla_Est[[#This Row],[Nuevo Aviso Disminuciones]],"")))</calculatedColumnFormula>
    </tableColumn>
    <tableColumn id="29" name="Aumento Buffer - Fin GDB" dataDxfId="72">
      <calculatedColumnFormula>IF((Tabla_Est[[#This Row],[INICIO]]-Tabla_Est[[#This Row],[Tiempo Suministro]])&gt;0,(Tabla_Est[[#This Row],[INICIO]]-Tabla_Est[[#This Row],[Tiempo Suministro]]),Tabla_Est[[#This Row],[Últ Semana Año Anterior]]-ABS(Tabla_Est[[#This Row],[INICIO]]-Tabla_Est[[#This Row],[Tiempo Suministro]]))</calculatedColumnFormula>
    </tableColumn>
    <tableColumn id="30" name="Buffer Pico" dataDxfId="71">
      <calculatedColumnFormula>ROUND(Tabla_Est[[#This Row],[Buffer Actual]]*(1+Tabla_Est[[#This Row],[% CAMBIO]]),0)</calculatedColumnFormula>
    </tableColumn>
    <tableColumn id="31" name="Primera Reducción" dataDxfId="70">
      <calculatedColumnFormula>IF((Tabla_Est[[#This Row],[DECLIVE]]-Tabla_Est[[#This Row],[Tiempo Suministro]])&gt;0,(Tabla_Est[[#This Row],[DECLIVE]]-Tabla_Est[[#This Row],[Tiempo Suministro]]),Tabla_Est[[#This Row],[Últ Semana Año Anterior]]-ABS(Tabla_Est[[#This Row],[DECLIVE]]-Tabla_Est[[#This Row],[Tiempo Suministro]]))</calculatedColumnFormula>
    </tableColumn>
    <tableColumn id="32" name="Buff Primera Reducción" dataDxfId="69">
      <calculatedColumnFormula>ROUND(AVERAGE(Tabla_Est[[#This Row],[Buffer Pico]],Tabla_Est[[#This Row],[Buffer Actual]]),0)</calculatedColumnFormula>
    </tableColumn>
    <tableColumn id="33" name="Segunda Reducción-Inicio GDB" dataDxfId="68">
      <calculatedColumnFormula>IF((Tabla_Est[[#This Row],[NORMAL]]-Tabla_Est[[#This Row],[Tiempo Suministro]])&gt;0,(Tabla_Est[[#This Row],[NORMAL]]-Tabla_Est[[#This Row],[Tiempo Suministro]]),Tabla_Est[[#This Row],[Últ Semana Año Anterior]]-ABS(Tabla_Est[[#This Row],[NORMAL]]-Tabla_Est[[#This Row],[Tiempo Suministro]]))</calculatedColumnFormula>
    </tableColumn>
    <tableColumn id="34" name="Buff Segunda Reducción" dataDxfId="67">
      <calculatedColumnFormula>Tabla_Est[[#This Row],[Buffer Actual]]</calculatedColumnFormula>
    </tableColumn>
    <tableColumn id="36" name="Semana Hoy" dataDxfId="66">
      <calculatedColumnFormula>WEEKNUM(HOY,2)</calculatedColumnFormula>
    </tableColumn>
    <tableColumn id="37" name="Últ Semana Año Anterior" dataDxfId="65">
      <calculatedColumnFormula>WEEKNUM("31/12/"&amp;YEAR(HOY)-1,2)</calculatedColumnFormula>
    </tableColumn>
    <tableColumn id="38" name="Dentro de Cambios por Estacionalidad?" dataDxfId="64">
      <calculatedColumnFormula>IF((Tabla_Est[[#This Row],[Inicio Aumentos]]&lt;Tabla_Est[[#This Row],[Fin Disminución]]),Tabla_Est[[#This Row],[Periodo Normal]],Tabla_Est[[#This Row],[Periodo Repartido]])</calculatedColumnFormula>
    </tableColumn>
    <tableColumn id="39" name="Periodo Normal" dataDxfId="63">
      <calculatedColumnFormula>IF(AND(Tabla_Est[[#This Row],[Semana Hoy]]&gt;=Tabla_Est[[#This Row],[Inicio Aumentos]],Tabla_Est[[#This Row],[Semana Hoy]]&lt;Tabla_Est[[#This Row],[Fin Disminución]]),1,0)</calculatedColumnFormula>
    </tableColumn>
    <tableColumn id="40" name="Periodo Repartido" dataDxfId="62">
      <calculatedColumnFormula>IF(OR(Tabla_Est[[#This Row],[Semana Hoy]]&gt;=Tabla_Est[[#This Row],[Inicio Aumentos]],Tabla_Est[[#This Row],[Semana Hoy]]&lt;Tabla_Est[[#This Row],[Fin Disminución]]),1,0)</calculatedColumnFormula>
    </tableColumn>
    <tableColumn id="41" name="Está en buffer pico?" dataDxfId="61">
      <calculatedColumnFormula>IF((Tabla_Est[[#This Row],[Inicio Aumentos]]&lt;Tabla_Est[[#This Row],[Primera Reducción]]),Tabla_Est[[#This Row],[Pico Normal]],Tabla_Est[[#This Row],[Pico Especial]])</calculatedColumnFormula>
    </tableColumn>
    <tableColumn id="42" name="Pico Normal" dataDxfId="60">
      <calculatedColumnFormula>IF(AND(Tabla_Est[[#This Row],[Semana Hoy]]&gt;=Tabla_Est[[#This Row],[Inicio Aumentos]],Tabla_Est[[#This Row],[Semana Hoy]]&lt;Tabla_Est[[#This Row],[Primera Reducción]]),1,0)</calculatedColumnFormula>
    </tableColumn>
    <tableColumn id="43" name="Pico Especial" dataDxfId="59">
      <calculatedColumnFormula>IF(OR(Tabla_Est[[#This Row],[Semana Hoy]]&gt;=Tabla_Est[[#This Row],[Inicio Aumentos]],Tabla_Est[[#This Row],[Semana Hoy]]&lt;Tabla_Est[[#This Row],[Primera Reducción]]),1,0)</calculatedColumnFormula>
    </tableColumn>
    <tableColumn id="44" name="Está en primera reducción?" dataDxfId="58">
      <calculatedColumnFormula>IF((Tabla_Est[[#This Row],[Primera Reducción]]&lt;Tabla_Est[[#This Row],[Fin Disminución]]),Tabla_Est[[#This Row],[Primera red normal]],Tabla_Est[[#This Row],[Primera red especial]])</calculatedColumnFormula>
    </tableColumn>
    <tableColumn id="45" name="Primera red normal" dataDxfId="57">
      <calculatedColumnFormula>IF(AND(Tabla_Est[[#This Row],[Semana Hoy]]&gt;=Tabla_Est[[#This Row],[Primera Reducción]],Tabla_Est[[#This Row],[Semana Hoy]]&lt;Tabla_Est[[#This Row],[Fin Disminución]]),1,0)</calculatedColumnFormula>
    </tableColumn>
    <tableColumn id="46" name="Primera red especial" dataDxfId="56">
      <calculatedColumnFormula>IF(OR(Tabla_Est[[#This Row],[Semana Hoy]]&gt;=Tabla_Est[[#This Row],[Primera Reducción]],Tabla_Est[[#This Row],[Semana Hoy]]&lt;Tabla_Est[[#This Row],[Fin Disminución]]),1,0)</calculatedColumnFormula>
    </tableColumn>
    <tableColumn id="47" name="Tiempo Suministro" dataDxfId="55">
      <calculatedColumnFormula>INDEX(Tabla_ArchivosBodegas[TIEMP SUMINIS],MATCH(Tabla_Est[[#This Row],[Perfil]],Tabla_ArchivosBodegas[PERFIL],0))</calculatedColumnFormula>
    </tableColumn>
    <tableColumn id="48" name="Buffer Actual" dataDxfId="54"/>
    <tableColumn id="49" name="Buffer Estacional" dataDxfId="53">
      <calculatedColumnFormula>IF(Tabla_Est[[#This Row],[Dentro de Cambios por Estacionalidad?]]=0,Tabla_Est[[#This Row],[Buffer Actual]],Tabla_Est[[#This Row],[Está en buffer pico?]]*Tabla_Est[[#This Row],[Buffer Pico]]+Tabla_Est[[#This Row],[Está en primera reducción?]]*Tabla_Est[[#This Row],[Buff Primera Reducción]])</calculatedColumnFormula>
    </tableColumn>
    <tableColumn id="61" name="Perfil" dataDxfId="52"/>
    <tableColumn id="62" name="Coincidir Calendario en Tabla_Est" dataDxfId="51">
      <calculatedColumnFormula>MATCH(Tabla_Est[[#This Row],[CALENDARIO]],Tabla_Esta[CALENDARIO],0)</calculatedColumnFormula>
    </tableColumn>
    <tableColumn id="63" name="filas" dataDxfId="50">
      <calculatedColumnFormula>ROW()-ROW(Tabla_Est[[#Headers],[filas]])</calculatedColumnFormula>
    </tableColumn>
  </tableColumns>
  <tableStyleInfo name="TableStyleLight8" showFirstColumn="0" showLastColumn="0" showRowStripes="1" showColumnStripes="0"/>
</table>
</file>

<file path=xl/tables/table41.xml><?xml version="1.0" encoding="utf-8"?>
<table xmlns="http://schemas.openxmlformats.org/spreadsheetml/2006/main" id="50" name="Tabla_Buffers_Cargados" displayName="Tabla_Buffers_Cargados" ref="A1:D2" insertRow="1" totalsRowShown="0">
  <autoFilter ref="A1:D2"/>
  <tableColumns count="4">
    <tableColumn id="1" name="CODIGO"/>
    <tableColumn id="2" name="FECHA" dataDxfId="49"/>
    <tableColumn id="4" name="FECHA1" dataDxfId="48">
      <calculatedColumnFormula>Tabla_Buffers_Cargados[[#This Row],[FECHA]]*1</calculatedColumnFormula>
    </tableColumn>
    <tableColumn id="3" name="BUFFER"/>
  </tableColumns>
  <tableStyleInfo name="TableStyleMedium11" showFirstColumn="0" showLastColumn="0" showRowStripes="1" showColumnStripes="0"/>
</table>
</file>

<file path=xl/tables/table42.xml><?xml version="1.0" encoding="utf-8"?>
<table xmlns="http://schemas.openxmlformats.org/spreadsheetml/2006/main" id="36" name="Tabla_Diccionario_Codigos" displayName="Tabla_Diccionario_Codigos" ref="A1:B2" insertRow="1" totalsRowShown="0">
  <autoFilter ref="A1:B2"/>
  <tableColumns count="2">
    <tableColumn id="1" name="COD ORIGINAL"/>
    <tableColumn id="2" name="COD SUSTITUTO"/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id="17" name="Tabla_Buffers_Historicos" displayName="Tabla_Buffers_Historicos" ref="A1:K60" totalsRowShown="0" headerRowDxfId="17">
  <autoFilter ref="A1:K60">
    <filterColumn colId="0">
      <filters>
        <filter val="Bodega Central Agrota"/>
      </filters>
    </filterColumn>
    <filterColumn colId="1">
      <filters>
        <filter val="10000000972"/>
      </filters>
    </filterColumn>
  </autoFilter>
  <tableColumns count="11">
    <tableColumn id="11" name="Bodega" dataDxfId="16"/>
    <tableColumn id="1" name="Codigo"/>
    <tableColumn id="2" name="Buffer"/>
    <tableColumn id="3" name="Fecha"/>
    <tableColumn id="7" name="InvFis" dataDxfId="15"/>
    <tableColumn id="4" name="InvProyAct" dataDxfId="14"/>
    <tableColumn id="5" name="Zona Amar" dataDxfId="13"/>
    <tableColumn id="6" name="Zona Roj" dataDxfId="12"/>
    <tableColumn id="8" name="Entradas" dataDxfId="11"/>
    <tableColumn id="9" name="Salidas" dataDxfId="10"/>
    <tableColumn id="10" name="Causa" dataDxfId="9"/>
  </tableColumns>
  <tableStyleInfo name="TableStyleMedium8" showFirstColumn="0" showLastColumn="0" showRowStripes="1" showColumnStripes="0"/>
</table>
</file>

<file path=xl/tables/table44.xml><?xml version="1.0" encoding="utf-8"?>
<table xmlns="http://schemas.openxmlformats.org/spreadsheetml/2006/main" id="41" name="ConsHist" displayName="ConsHist" ref="A1:F2" insertRow="1" totalsRowShown="0">
  <autoFilter ref="A1:F2"/>
  <tableColumns count="6">
    <tableColumn id="1" name="BODEGA"/>
    <tableColumn id="2" name="CODIGO"/>
    <tableColumn id="3" name="MES"/>
    <tableColumn id="4" name="EGRESOS"/>
    <tableColumn id="5" name="DEVOLUCIONES"/>
    <tableColumn id="6" name="INGRESOS"/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id="53" name="Tabla_Inventario_Fisico_PRUEBA" displayName="Tabla_Inventario_Fisico_PRUEBA" ref="A1:R2" tableType="queryTable" insertRow="1" totalsRowShown="0">
  <autoFilter ref="A1:R2"/>
  <tableColumns count="18">
    <tableColumn id="1" uniqueName="1" name="codigo" queryTableFieldId="1"/>
    <tableColumn id="2" uniqueName="2" name="AGROTACENTRAL" queryTableFieldId="2"/>
    <tableColumn id="3" uniqueName="3" name="CTV" queryTableFieldId="3"/>
    <tableColumn id="4" uniqueName="4" name="PV" queryTableFieldId="4"/>
    <tableColumn id="5" uniqueName="5" name="F5" queryTableFieldId="5"/>
    <tableColumn id="6" uniqueName="6" name="codigo1" queryTableFieldId="6"/>
    <tableColumn id="7" uniqueName="7" name="AGROTACENTRALPROPIA" queryTableFieldId="7"/>
    <tableColumn id="8" uniqueName="8" name="CTV1" queryTableFieldId="8"/>
    <tableColumn id="9" uniqueName="9" name="PV1" queryTableFieldId="9"/>
    <tableColumn id="10" uniqueName="10" name="F10" queryTableFieldId="10"/>
    <tableColumn id="11" uniqueName="11" name="codigo2" queryTableFieldId="11"/>
    <tableColumn id="12" uniqueName="12" name="AGROTAMAXGUAYAQUIL" queryTableFieldId="12"/>
    <tableColumn id="13" uniqueName="13" name="F13" queryTableFieldId="13"/>
    <tableColumn id="14" uniqueName="14" name="codigo3" queryTableFieldId="14"/>
    <tableColumn id="15" uniqueName="15" name="AGROTAPROMACOFI" queryTableFieldId="15"/>
    <tableColumn id="16" uniqueName="16" name="F16" queryTableFieldId="16"/>
    <tableColumn id="17" uniqueName="17" name="codigo4" queryTableFieldId="17"/>
    <tableColumn id="18" uniqueName="18" name="AGROTAEIGUANCHI" queryTableFieldId="18"/>
  </tableColumns>
  <tableStyleInfo name="TableStyleMedium7" showFirstColumn="0" showLastColumn="0" showRowStripes="1" showColumnStripes="0"/>
</table>
</file>

<file path=xl/tables/table46.xml><?xml version="1.0" encoding="utf-8"?>
<table xmlns="http://schemas.openxmlformats.org/spreadsheetml/2006/main" id="24" name="Tabla_Fecha_Cambio_Buffer" displayName="Tabla_Fecha_Cambio_Buffer" ref="A1:C2" insertRow="1" totalsRowShown="0">
  <autoFilter ref="A1:C2"/>
  <tableColumns count="3">
    <tableColumn id="1" name="Codigo"/>
    <tableColumn id="2" name="Fecha" dataDxfId="8"/>
    <tableColumn id="3" name="Buff Act"/>
  </tableColumns>
  <tableStyleInfo name="TableStyleDark2" showFirstColumn="0" showLastColumn="0" showRowStripes="1" showColumnStripes="0"/>
</table>
</file>

<file path=xl/tables/table47.xml><?xml version="1.0" encoding="utf-8"?>
<table xmlns="http://schemas.openxmlformats.org/spreadsheetml/2006/main" id="46" name="Tabla_Fecha_Cambio_Buffer_Calculo" displayName="Tabla_Fecha_Cambio_Buffer_Calculo" ref="F1:I2" insertRow="1" totalsRowShown="0">
  <autoFilter ref="F1:I2"/>
  <tableColumns count="4">
    <tableColumn id="1" name="Codigo"/>
    <tableColumn id="2" name="Ult Fecha" dataDxfId="7"/>
    <tableColumn id="3" name="Ult Buff" dataDxfId="6">
      <calculatedColumnFormula array="1">INDEX(Tabla_Fecha_Cambio_Buffer[Buff Act],MATCH(Tabla_Fecha_Cambio_Buffer_Calculo[[#This Row],[Codigo]]&amp;Tabla_Fecha_Cambio_Buffer_Calculo[[#This Row],[Ult Fecha]],Tabla_Fecha_Cambio_Buffer[Codigo]&amp;Tabla_Fecha_Cambio_Buffer[Fecha],0))</calculatedColumnFormula>
    </tableColumn>
    <tableColumn id="5" name="Ult Cambio Buffer" dataDxfId="5">
      <calculatedColumnFormula array="1">IFERROR(LARGE(--(Tabla_Fecha_Cambio_Buffer_Calculo[[#This Row],[Codigo]]=Tabla_Fecha_Cambio_Buffer[Codigo])*Tabla_Fecha_Cambio_Buffer[Fecha],SUM(--(Tabla_Fecha_Cambio_Buffer_Calculo[[#This Row],[Codigo]]&amp;Tabla_Fecha_Cambio_Buffer_Calculo[[#This Row],[Ult Buff]]=Tabla_Fecha_Cambio_Buffer[Codigo]&amp;Tabla_Fecha_Cambio_Buffer[Buff Act]))+1),0)</calculatedColumnFormula>
    </tableColumn>
  </tableColumns>
  <tableStyleInfo name="TableStyleDark5" showFirstColumn="0" showLastColumn="0" showRowStripes="1" showColumnStripes="0"/>
</table>
</file>

<file path=xl/tables/table48.xml><?xml version="1.0" encoding="utf-8"?>
<table xmlns="http://schemas.openxmlformats.org/spreadsheetml/2006/main" id="21" name="tblRecupBuffHist" displayName="tblRecupBuffHist" ref="A1:F2" insertRow="1" totalsRowShown="0">
  <autoFilter ref="A1:F2"/>
  <tableColumns count="6">
    <tableColumn id="1" name="BODEGA"/>
    <tableColumn id="2" name="CODIGO"/>
    <tableColumn id="3" name="FECHA"/>
    <tableColumn id="4" name="BuffAct"/>
    <tableColumn id="5" name="Color" dataDxfId="4"/>
    <tableColumn id="6" name="InvFisAct"/>
  </tableColumns>
  <tableStyleInfo name="TableStyleLight1" showFirstColumn="0" showLastColumn="0" showRowStripes="1" showColumnStripes="0"/>
</table>
</file>

<file path=xl/tables/table49.xml><?xml version="1.0" encoding="utf-8"?>
<table xmlns="http://schemas.openxmlformats.org/spreadsheetml/2006/main" id="22" name="tblBufferOriginal" displayName="tblBufferOriginal" ref="H1:N2" insertRow="1" totalsRowShown="0">
  <autoFilter ref="H1:N2"/>
  <tableColumns count="7">
    <tableColumn id="1" name="BODEGA"/>
    <tableColumn id="2" name="CODIGO"/>
    <tableColumn id="3" name="BuffAct"/>
    <tableColumn id="6" name="InvFisAct"/>
    <tableColumn id="4" name="FECHA" dataDxfId="3"/>
    <tableColumn id="5" name="BuffFecha" dataDxfId="2">
      <calculatedColumnFormula array="1">SUM((--(tblBufferOriginal[[#This Row],[BODEGA]]=tblRecupBuffHist[BODEGA]))*(--(tblBufferOriginal[[#This Row],[CODIGO]]=tblRecupBuffHist[CODIGO]))*(--(tblBufferOriginal[[#This Row],[FECHA]]=tblRecupBuffHist[FECHA]))*tblRecupBuffHist[BuffAct])</calculatedColumnFormula>
    </tableColumn>
    <tableColumn id="7" name="InvFisActFecha" dataDxfId="1">
      <calculatedColumnFormula array="1">SUM((--(tblBufferOriginal[[#This Row],[BODEGA]]=tblRecupBuffHist[BODEGA]))*(--(tblBufferOriginal[[#This Row],[CODIGO]]=tblRecupBuffHist[CODIGO]))*(--(tblBufferOriginal[[#This Row],[FECHA]]=tblRecupBuffHist[FECHA]))*tblRecupBuffHist[InvFisAct])</calculatedColumnFormula>
    </tableColumn>
  </tableColumns>
  <tableStyleInfo name="TableStyleLight1" showFirstColumn="0" showLastColumn="0" showRowStripes="1" showColumnStripes="0"/>
</table>
</file>

<file path=xl/tables/table50.xml><?xml version="1.0" encoding="utf-8"?>
<table xmlns="http://schemas.openxmlformats.org/spreadsheetml/2006/main" id="23" name="Tabla_Inventario" displayName="Tabla_Inventario" ref="A1:O2" insertRow="1" totalsRowShown="0">
  <autoFilter ref="A1:O2"/>
  <tableColumns count="15">
    <tableColumn id="11" name="inv_empresa_id"/>
    <tableColumn id="1" name="inv_bodega_id"/>
    <tableColumn id="2" name="inv_producto_id"/>
    <tableColumn id="3" name="inv_existencia"/>
    <tableColumn id="4" name="inv_transito" dataDxfId="0"/>
    <tableColumn id="12" name="inv_negociacion"/>
    <tableColumn id="13" name="inv_produccion"/>
    <tableColumn id="14" name="inv_embarcado"/>
    <tableColumn id="5" name="inv_comprometido"/>
    <tableColumn id="6" name="inv_backorder"/>
    <tableColumn id="7" name="inv_entradas"/>
    <tableColumn id="8" name="inv_salidas"/>
    <tableColumn id="9" name="inv_consumo"/>
    <tableColumn id="15" name="inv_ventas_perdidas"/>
    <tableColumn id="10" name="BODEGASKU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id="27" name="Tabla_Rentabilidad" displayName="Tabla_Rentabilidad" ref="A1:B2" tableType="queryTable" insertRow="1" totalsRowShown="0">
  <autoFilter ref="A1:B2"/>
  <tableColumns count="2">
    <tableColumn id="1" uniqueName="1" name="CODIGO" queryTableFieldId="1"/>
    <tableColumn id="2" uniqueName="2" name="ROI" queryTableField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mments" Target="../comments1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microsoft.com/office/2007/relationships/slicer" Target="../slicers/slicer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" Type="http://schemas.openxmlformats.org/officeDocument/2006/relationships/image" Target="../media/image2.emf"/><Relationship Id="rId71" Type="http://schemas.openxmlformats.org/officeDocument/2006/relationships/image" Target="../media/image34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36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41.emf"/><Relationship Id="rId5" Type="http://schemas.openxmlformats.org/officeDocument/2006/relationships/control" Target="../activeX/activeX35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5" Type="http://schemas.openxmlformats.org/officeDocument/2006/relationships/image" Target="../media/image43.emf"/><Relationship Id="rId4" Type="http://schemas.openxmlformats.org/officeDocument/2006/relationships/control" Target="../activeX/activeX3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4.emf"/><Relationship Id="rId4" Type="http://schemas.openxmlformats.org/officeDocument/2006/relationships/control" Target="../activeX/activeX3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10" Type="http://schemas.openxmlformats.org/officeDocument/2006/relationships/table" Target="../tables/table11.xml"/><Relationship Id="rId4" Type="http://schemas.openxmlformats.org/officeDocument/2006/relationships/ctrlProp" Target="../ctrlProps/ctrlProp3.xml"/><Relationship Id="rId9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15.bin"/><Relationship Id="rId4" Type="http://schemas.openxmlformats.org/officeDocument/2006/relationships/table" Target="../tables/table2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16.bin"/><Relationship Id="rId4" Type="http://schemas.openxmlformats.org/officeDocument/2006/relationships/table" Target="../tables/table3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1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9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20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2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3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23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24.bin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pivotTable" Target="../pivotTables/pivotTable4.xml"/><Relationship Id="rId7" Type="http://schemas.openxmlformats.org/officeDocument/2006/relationships/control" Target="../activeX/activeX39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vmlDrawing" Target="../drawings/vmlDrawing11.vml"/><Relationship Id="rId11" Type="http://schemas.openxmlformats.org/officeDocument/2006/relationships/comments" Target="../comments4.xml"/><Relationship Id="rId5" Type="http://schemas.openxmlformats.org/officeDocument/2006/relationships/drawing" Target="../drawings/drawing9.xml"/><Relationship Id="rId10" Type="http://schemas.openxmlformats.org/officeDocument/2006/relationships/image" Target="../media/image67.emf"/><Relationship Id="rId4" Type="http://schemas.openxmlformats.org/officeDocument/2006/relationships/printerSettings" Target="../printerSettings/printerSettings25.bin"/><Relationship Id="rId9" Type="http://schemas.openxmlformats.org/officeDocument/2006/relationships/control" Target="../activeX/activeX40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26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hyperlink" Target="mailto:csemanate@mejoracontinua.biz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27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2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30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  <pageSetUpPr fitToPage="1"/>
  </sheetPr>
  <dimension ref="A1:LE289"/>
  <sheetViews>
    <sheetView showGridLines="0" tabSelected="1" zoomScale="80" zoomScaleNormal="8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3" sqref="E3"/>
    </sheetView>
  </sheetViews>
  <sheetFormatPr baseColWidth="10" defaultColWidth="10.7109375" defaultRowHeight="12.75" x14ac:dyDescent="0.2"/>
  <cols>
    <col min="1" max="1" width="19" customWidth="1"/>
    <col min="2" max="3" width="17.85546875" customWidth="1"/>
    <col min="4" max="4" width="26.42578125" bestFit="1" customWidth="1"/>
    <col min="5" max="5" width="17.85546875" customWidth="1"/>
    <col min="6" max="6" width="41.5703125" customWidth="1"/>
    <col min="7" max="7" width="21.85546875" customWidth="1"/>
    <col min="8" max="21" width="22.7109375" customWidth="1"/>
    <col min="22" max="22" width="9" customWidth="1"/>
    <col min="23" max="23" width="9" style="68" customWidth="1"/>
    <col min="24" max="24" width="16.28515625" style="68" customWidth="1"/>
    <col min="25" max="26" width="9.7109375" customWidth="1"/>
    <col min="27" max="29" width="11.7109375" style="68" customWidth="1"/>
    <col min="30" max="30" width="20.7109375" customWidth="1"/>
    <col min="31" max="31" width="25.7109375" customWidth="1"/>
    <col min="32" max="34" width="8.7109375" customWidth="1"/>
    <col min="35" max="35" width="8" customWidth="1"/>
    <col min="36" max="36" width="5.7109375" customWidth="1"/>
    <col min="37" max="37" width="10" customWidth="1"/>
    <col min="38" max="38" width="5.28515625" customWidth="1"/>
    <col min="39" max="39" width="5.7109375" customWidth="1"/>
    <col min="40" max="40" width="8.7109375" style="68" customWidth="1"/>
    <col min="41" max="41" width="19" customWidth="1"/>
    <col min="42" max="42" width="12.85546875" customWidth="1"/>
    <col min="43" max="43" width="10.7109375" customWidth="1"/>
    <col min="44" max="48" width="8.7109375" customWidth="1"/>
    <col min="49" max="49" width="38.28515625" customWidth="1"/>
    <col min="50" max="50" width="10.7109375" style="68" customWidth="1"/>
    <col min="51" max="51" width="13.28515625" customWidth="1"/>
    <col min="52" max="53" width="15.140625" customWidth="1"/>
    <col min="54" max="56" width="8.7109375" customWidth="1"/>
    <col min="57" max="57" width="15.7109375" customWidth="1"/>
    <col min="58" max="58" width="12.85546875" style="68" customWidth="1"/>
    <col min="59" max="60" width="8.7109375" customWidth="1"/>
    <col min="61" max="61" width="8.7109375" style="68" customWidth="1"/>
    <col min="62" max="62" width="11.28515625" customWidth="1"/>
    <col min="63" max="63" width="8.7109375" customWidth="1"/>
    <col min="64" max="65" width="8.7109375" style="68" customWidth="1"/>
    <col min="66" max="87" width="8.7109375" customWidth="1"/>
    <col min="88" max="88" width="32" customWidth="1"/>
    <col min="89" max="89" width="110" customWidth="1"/>
    <col min="90" max="90" width="36.5703125" customWidth="1"/>
    <col min="91" max="104" width="8.7109375" customWidth="1"/>
    <col min="105" max="105" width="8.85546875" customWidth="1"/>
    <col min="106" max="110" width="7.7109375" customWidth="1"/>
    <col min="111" max="111" width="8.28515625" customWidth="1"/>
    <col min="112" max="112" width="8.7109375" customWidth="1"/>
    <col min="113" max="113" width="8.7109375" style="68" customWidth="1"/>
    <col min="114" max="114" width="11.5703125" style="68" customWidth="1"/>
    <col min="115" max="115" width="10" style="68" customWidth="1"/>
    <col min="116" max="116" width="12.7109375" style="68" customWidth="1"/>
    <col min="117" max="117" width="11.42578125" style="68" customWidth="1"/>
    <col min="118" max="118" width="11.85546875" customWidth="1"/>
    <col min="119" max="119" width="11.85546875" style="68" customWidth="1"/>
    <col min="120" max="120" width="12.28515625" style="68" customWidth="1"/>
    <col min="121" max="121" width="11.42578125" style="68" customWidth="1"/>
    <col min="122" max="1317" width="6.7109375" customWidth="1"/>
  </cols>
  <sheetData>
    <row r="1" spans="1:317" s="78" customFormat="1" ht="108" customHeight="1" x14ac:dyDescent="0.2">
      <c r="A1" s="134"/>
      <c r="B1" s="134"/>
      <c r="AD1" s="134"/>
      <c r="AE1" s="134"/>
      <c r="AI1" s="134"/>
      <c r="AY1" s="134"/>
      <c r="AZ1" s="134"/>
      <c r="BA1" s="134"/>
      <c r="BB1" s="134"/>
      <c r="BC1" s="134"/>
      <c r="BD1" s="134"/>
      <c r="BE1" s="134"/>
      <c r="BF1" s="134"/>
      <c r="BG1" s="134"/>
      <c r="BH1" s="134"/>
      <c r="BI1" s="134"/>
      <c r="BJ1" s="134"/>
      <c r="BK1" s="134"/>
      <c r="BL1" s="134"/>
      <c r="BM1" s="134"/>
      <c r="BN1" s="134"/>
      <c r="BS1" s="134"/>
      <c r="BT1" s="134"/>
      <c r="BU1" s="134"/>
      <c r="CK1" s="134"/>
      <c r="CL1" s="134"/>
      <c r="CW1" s="134"/>
    </row>
    <row r="2" spans="1:317" s="78" customFormat="1" ht="51" customHeight="1" x14ac:dyDescent="0.2">
      <c r="A2" s="52" t="s">
        <v>63</v>
      </c>
      <c r="B2" s="52" t="s">
        <v>3</v>
      </c>
      <c r="C2" s="53" t="s">
        <v>353</v>
      </c>
      <c r="D2" s="53" t="s">
        <v>351</v>
      </c>
      <c r="E2" s="53" t="s">
        <v>352</v>
      </c>
      <c r="F2" s="53" t="s">
        <v>4</v>
      </c>
      <c r="G2" s="52" t="s">
        <v>23</v>
      </c>
      <c r="H2" s="52" t="s">
        <v>37</v>
      </c>
      <c r="I2" s="52" t="s">
        <v>280</v>
      </c>
      <c r="J2" s="52" t="s">
        <v>282</v>
      </c>
      <c r="K2" s="52" t="s">
        <v>283</v>
      </c>
      <c r="L2" s="52" t="s">
        <v>284</v>
      </c>
      <c r="M2" s="52" t="s">
        <v>22</v>
      </c>
      <c r="N2" s="52" t="s">
        <v>285</v>
      </c>
      <c r="O2" s="52" t="s">
        <v>281</v>
      </c>
      <c r="P2" s="52" t="s">
        <v>291</v>
      </c>
      <c r="Q2" s="52" t="s">
        <v>286</v>
      </c>
      <c r="R2" s="52" t="s">
        <v>287</v>
      </c>
      <c r="S2" s="52" t="s">
        <v>288</v>
      </c>
      <c r="T2" s="52" t="s">
        <v>289</v>
      </c>
      <c r="U2" s="52" t="s">
        <v>290</v>
      </c>
      <c r="V2" s="52" t="s">
        <v>404</v>
      </c>
      <c r="W2" s="52" t="s">
        <v>493</v>
      </c>
      <c r="X2" s="52" t="s">
        <v>494</v>
      </c>
      <c r="Y2" s="52" t="s">
        <v>58</v>
      </c>
      <c r="Z2" s="52" t="s">
        <v>59</v>
      </c>
      <c r="AA2" s="52" t="s">
        <v>495</v>
      </c>
      <c r="AB2" s="52" t="s">
        <v>496</v>
      </c>
      <c r="AC2" s="52" t="s">
        <v>497</v>
      </c>
      <c r="AD2" s="72" t="s">
        <v>48</v>
      </c>
      <c r="AE2" s="72" t="s">
        <v>235</v>
      </c>
      <c r="AF2" s="52" t="s">
        <v>210</v>
      </c>
      <c r="AG2" s="52" t="s">
        <v>211</v>
      </c>
      <c r="AH2" s="52" t="s">
        <v>212</v>
      </c>
      <c r="AI2" s="48" t="s">
        <v>118</v>
      </c>
      <c r="AJ2" s="48" t="s">
        <v>97</v>
      </c>
      <c r="AK2" s="48" t="s">
        <v>489</v>
      </c>
      <c r="AL2" t="s">
        <v>123</v>
      </c>
      <c r="AM2" s="68" t="s">
        <v>124</v>
      </c>
      <c r="AN2" s="49" t="s">
        <v>13</v>
      </c>
      <c r="AO2" s="49" t="s">
        <v>380</v>
      </c>
      <c r="AP2" s="49" t="s">
        <v>257</v>
      </c>
      <c r="AQ2" s="144" t="s">
        <v>256</v>
      </c>
      <c r="AR2" s="85" t="s">
        <v>373</v>
      </c>
      <c r="AS2" s="85" t="s">
        <v>374</v>
      </c>
      <c r="AT2" s="85" t="s">
        <v>378</v>
      </c>
      <c r="AU2" s="85" t="s">
        <v>375</v>
      </c>
      <c r="AV2" s="85" t="s">
        <v>492</v>
      </c>
      <c r="AW2" s="70" t="s">
        <v>52</v>
      </c>
      <c r="AX2" s="144" t="s">
        <v>14</v>
      </c>
      <c r="AY2" s="68" t="s">
        <v>392</v>
      </c>
      <c r="AZ2" s="68" t="s">
        <v>393</v>
      </c>
      <c r="BA2" s="68" t="s">
        <v>394</v>
      </c>
      <c r="BB2" s="72" t="s">
        <v>122</v>
      </c>
      <c r="BC2" s="72" t="s">
        <v>376</v>
      </c>
      <c r="BD2" s="73" t="s">
        <v>131</v>
      </c>
      <c r="BE2" s="73" t="s">
        <v>527</v>
      </c>
      <c r="BF2" s="73" t="s">
        <v>354</v>
      </c>
      <c r="BG2" s="73" t="s">
        <v>264</v>
      </c>
      <c r="BH2" s="73" t="s">
        <v>526</v>
      </c>
      <c r="BI2" s="73" t="s">
        <v>132</v>
      </c>
      <c r="BJ2" s="73" t="s">
        <v>206</v>
      </c>
      <c r="BK2" s="144" t="s">
        <v>9</v>
      </c>
      <c r="BL2" s="145" t="s">
        <v>15</v>
      </c>
      <c r="BM2" s="145" t="s">
        <v>5</v>
      </c>
      <c r="BN2" s="145" t="s">
        <v>77</v>
      </c>
      <c r="BO2" s="145" t="s">
        <v>268</v>
      </c>
      <c r="BP2" s="144" t="s">
        <v>137</v>
      </c>
      <c r="BQ2" s="144" t="s">
        <v>166</v>
      </c>
      <c r="BR2" s="144" t="s">
        <v>165</v>
      </c>
      <c r="BS2" s="39" t="s">
        <v>53</v>
      </c>
      <c r="BT2" s="39" t="s">
        <v>16</v>
      </c>
      <c r="BU2" s="39" t="s">
        <v>17</v>
      </c>
      <c r="BV2" s="39" t="s">
        <v>10</v>
      </c>
      <c r="BW2" s="39" t="s">
        <v>355</v>
      </c>
      <c r="BX2" s="39" t="s">
        <v>356</v>
      </c>
      <c r="BY2" s="39" t="s">
        <v>357</v>
      </c>
      <c r="BZ2" s="39" t="s">
        <v>26</v>
      </c>
      <c r="CA2" s="39" t="s">
        <v>12</v>
      </c>
      <c r="CB2" s="39" t="s">
        <v>11</v>
      </c>
      <c r="CC2" s="39" t="s">
        <v>371</v>
      </c>
      <c r="CD2" s="39" t="s">
        <v>390</v>
      </c>
      <c r="CE2" s="39" t="s">
        <v>391</v>
      </c>
      <c r="CF2" s="142" t="s">
        <v>529</v>
      </c>
      <c r="CG2" s="144" t="s">
        <v>24</v>
      </c>
      <c r="CH2" s="39" t="s">
        <v>106</v>
      </c>
      <c r="CI2" s="72" t="s">
        <v>25</v>
      </c>
      <c r="CJ2" s="72" t="s">
        <v>164</v>
      </c>
      <c r="CK2" s="71" t="s">
        <v>201</v>
      </c>
      <c r="CL2" s="71" t="s">
        <v>200</v>
      </c>
      <c r="CM2" s="74" t="s">
        <v>107</v>
      </c>
      <c r="CN2" s="74" t="s">
        <v>108</v>
      </c>
      <c r="CO2" s="74" t="s">
        <v>35</v>
      </c>
      <c r="CP2" s="74" t="s">
        <v>372</v>
      </c>
      <c r="CQ2" s="74" t="s">
        <v>105</v>
      </c>
      <c r="CR2" s="74" t="s">
        <v>78</v>
      </c>
      <c r="CS2" s="144" t="s">
        <v>88</v>
      </c>
      <c r="CT2" s="68" t="s">
        <v>117</v>
      </c>
      <c r="CU2" s="74" t="s">
        <v>115</v>
      </c>
      <c r="CV2" s="74" t="s">
        <v>116</v>
      </c>
      <c r="CW2" s="74" t="s">
        <v>405</v>
      </c>
      <c r="CX2" s="74" t="s">
        <v>406</v>
      </c>
      <c r="CY2" s="74" t="s">
        <v>121</v>
      </c>
      <c r="CZ2" s="68" t="s">
        <v>265</v>
      </c>
      <c r="DA2" s="40" t="s">
        <v>8</v>
      </c>
      <c r="DB2" s="41" t="s">
        <v>6</v>
      </c>
      <c r="DC2" s="42" t="s">
        <v>0</v>
      </c>
      <c r="DD2" s="43" t="s">
        <v>1</v>
      </c>
      <c r="DE2" s="44" t="s">
        <v>2</v>
      </c>
      <c r="DF2" s="45" t="s">
        <v>7</v>
      </c>
      <c r="DG2" s="150" t="s">
        <v>379</v>
      </c>
      <c r="DH2" s="150" t="s">
        <v>381</v>
      </c>
      <c r="DI2" s="150" t="s">
        <v>564</v>
      </c>
      <c r="DJ2" s="150" t="s">
        <v>545</v>
      </c>
      <c r="DK2" s="150" t="s">
        <v>546</v>
      </c>
      <c r="DL2" s="150" t="s">
        <v>552</v>
      </c>
      <c r="DM2" s="150" t="s">
        <v>553</v>
      </c>
      <c r="DN2" s="150" t="s">
        <v>557</v>
      </c>
      <c r="DO2" s="150" t="s">
        <v>558</v>
      </c>
      <c r="DP2" s="150" t="s">
        <v>549</v>
      </c>
      <c r="DQ2" s="150" t="s">
        <v>551</v>
      </c>
      <c r="DR2" s="84" t="s">
        <v>1406</v>
      </c>
      <c r="DS2" s="84" t="s">
        <v>1407</v>
      </c>
      <c r="DT2" s="84" t="s">
        <v>1408</v>
      </c>
      <c r="DU2" s="84" t="s">
        <v>1409</v>
      </c>
      <c r="DV2" s="84" t="s">
        <v>1410</v>
      </c>
      <c r="DW2" s="84" t="s">
        <v>1411</v>
      </c>
      <c r="DX2" s="84" t="s">
        <v>1412</v>
      </c>
      <c r="DY2" s="84" t="s">
        <v>1413</v>
      </c>
      <c r="DZ2" s="84" t="s">
        <v>1414</v>
      </c>
      <c r="EA2" s="84" t="s">
        <v>1415</v>
      </c>
      <c r="EB2" s="84" t="s">
        <v>1416</v>
      </c>
      <c r="EC2" s="84" t="s">
        <v>1417</v>
      </c>
      <c r="ED2" s="84" t="s">
        <v>1418</v>
      </c>
      <c r="EE2" s="84" t="s">
        <v>623</v>
      </c>
      <c r="EF2" s="84" t="s">
        <v>642</v>
      </c>
      <c r="EG2" s="84" t="s">
        <v>643</v>
      </c>
      <c r="EH2" s="84" t="s">
        <v>624</v>
      </c>
      <c r="EI2" s="84" t="s">
        <v>625</v>
      </c>
      <c r="EJ2" s="84" t="s">
        <v>626</v>
      </c>
      <c r="EK2" s="84" t="s">
        <v>627</v>
      </c>
      <c r="EL2" s="84" t="s">
        <v>628</v>
      </c>
      <c r="EM2" s="84" t="s">
        <v>644</v>
      </c>
      <c r="EN2" s="84" t="s">
        <v>629</v>
      </c>
      <c r="EO2" s="84" t="s">
        <v>630</v>
      </c>
      <c r="EP2" s="84" t="s">
        <v>631</v>
      </c>
      <c r="EQ2" s="84" t="s">
        <v>632</v>
      </c>
      <c r="ER2" s="84" t="s">
        <v>645</v>
      </c>
      <c r="ES2" s="84" t="s">
        <v>646</v>
      </c>
      <c r="ET2" s="84" t="s">
        <v>567</v>
      </c>
      <c r="EU2" s="84" t="s">
        <v>568</v>
      </c>
      <c r="EV2" s="84" t="s">
        <v>569</v>
      </c>
      <c r="EW2" s="84" t="s">
        <v>570</v>
      </c>
      <c r="EX2" s="84" t="s">
        <v>571</v>
      </c>
      <c r="EY2" s="84" t="s">
        <v>612</v>
      </c>
      <c r="EZ2" s="84" t="s">
        <v>633</v>
      </c>
      <c r="FA2" s="84" t="s">
        <v>634</v>
      </c>
      <c r="FB2" s="84" t="s">
        <v>635</v>
      </c>
      <c r="FC2" s="84" t="s">
        <v>636</v>
      </c>
      <c r="FD2" s="84" t="s">
        <v>637</v>
      </c>
      <c r="FE2" s="84" t="s">
        <v>647</v>
      </c>
      <c r="FF2" s="84" t="s">
        <v>638</v>
      </c>
      <c r="FG2" s="84" t="s">
        <v>639</v>
      </c>
      <c r="FH2" s="84" t="s">
        <v>640</v>
      </c>
      <c r="FI2" s="84" t="s">
        <v>648</v>
      </c>
      <c r="FJ2" s="84" t="s">
        <v>649</v>
      </c>
      <c r="FK2" s="84" t="s">
        <v>641</v>
      </c>
      <c r="FL2" s="84" t="s">
        <v>572</v>
      </c>
      <c r="FM2" s="84" t="s">
        <v>573</v>
      </c>
      <c r="FN2" s="84" t="s">
        <v>574</v>
      </c>
      <c r="FO2" s="84" t="s">
        <v>575</v>
      </c>
      <c r="FP2" s="84" t="s">
        <v>819</v>
      </c>
      <c r="FQ2" s="84" t="s">
        <v>820</v>
      </c>
      <c r="FR2" s="84" t="s">
        <v>576</v>
      </c>
      <c r="FS2" s="84" t="s">
        <v>577</v>
      </c>
      <c r="FT2" s="84" t="s">
        <v>578</v>
      </c>
      <c r="FU2" s="84" t="s">
        <v>579</v>
      </c>
      <c r="FV2" s="84" t="s">
        <v>580</v>
      </c>
      <c r="FW2" s="84" t="s">
        <v>821</v>
      </c>
      <c r="FX2" s="84" t="s">
        <v>822</v>
      </c>
      <c r="FY2" s="84" t="s">
        <v>581</v>
      </c>
      <c r="FZ2" s="84" t="s">
        <v>582</v>
      </c>
      <c r="GA2" s="84" t="s">
        <v>583</v>
      </c>
      <c r="GB2" s="84" t="s">
        <v>584</v>
      </c>
      <c r="GC2" s="84" t="s">
        <v>589</v>
      </c>
      <c r="GD2" s="84" t="s">
        <v>823</v>
      </c>
      <c r="GE2" s="84" t="s">
        <v>824</v>
      </c>
      <c r="GF2" s="84" t="s">
        <v>590</v>
      </c>
      <c r="GG2" s="84" t="s">
        <v>591</v>
      </c>
      <c r="GH2" s="84" t="s">
        <v>592</v>
      </c>
      <c r="GI2" s="84" t="s">
        <v>593</v>
      </c>
      <c r="GJ2" s="84" t="s">
        <v>594</v>
      </c>
      <c r="GK2" s="84" t="s">
        <v>825</v>
      </c>
      <c r="GL2" s="84" t="s">
        <v>826</v>
      </c>
      <c r="GM2" s="84" t="s">
        <v>595</v>
      </c>
      <c r="GN2" s="84" t="s">
        <v>596</v>
      </c>
      <c r="GO2" s="84" t="s">
        <v>597</v>
      </c>
      <c r="GP2" s="84" t="s">
        <v>598</v>
      </c>
      <c r="GQ2" s="84" t="s">
        <v>599</v>
      </c>
      <c r="GR2" s="84" t="s">
        <v>827</v>
      </c>
      <c r="GS2" s="84" t="s">
        <v>828</v>
      </c>
      <c r="GT2" s="84" t="s">
        <v>600</v>
      </c>
      <c r="GU2" s="84" t="s">
        <v>650</v>
      </c>
      <c r="GV2" s="84" t="s">
        <v>651</v>
      </c>
      <c r="GW2" s="84" t="s">
        <v>652</v>
      </c>
      <c r="GX2" s="84" t="s">
        <v>653</v>
      </c>
      <c r="GY2" s="84" t="s">
        <v>829</v>
      </c>
      <c r="GZ2" s="84" t="s">
        <v>1419</v>
      </c>
      <c r="HA2" s="84" t="s">
        <v>654</v>
      </c>
      <c r="HB2" s="84" t="s">
        <v>655</v>
      </c>
      <c r="HC2" s="84" t="s">
        <v>656</v>
      </c>
      <c r="HD2" s="84" t="s">
        <v>657</v>
      </c>
      <c r="HE2" s="84" t="s">
        <v>830</v>
      </c>
      <c r="HF2" s="84" t="s">
        <v>1420</v>
      </c>
      <c r="HG2" s="84" t="s">
        <v>658</v>
      </c>
      <c r="HH2" s="84" t="s">
        <v>659</v>
      </c>
      <c r="HI2" s="84" t="s">
        <v>660</v>
      </c>
      <c r="HJ2" s="84" t="s">
        <v>661</v>
      </c>
      <c r="HK2" s="84" t="s">
        <v>1421</v>
      </c>
      <c r="HL2" s="84" t="s">
        <v>831</v>
      </c>
      <c r="HM2" s="84" t="s">
        <v>832</v>
      </c>
      <c r="HN2" s="84" t="s">
        <v>662</v>
      </c>
      <c r="HO2" s="84" t="s">
        <v>663</v>
      </c>
      <c r="HP2" s="84" t="s">
        <v>664</v>
      </c>
      <c r="HQ2" s="84" t="s">
        <v>665</v>
      </c>
      <c r="HR2" s="84" t="s">
        <v>666</v>
      </c>
      <c r="HS2" s="84" t="s">
        <v>818</v>
      </c>
      <c r="HT2" s="84" t="s">
        <v>840</v>
      </c>
      <c r="HU2" s="84" t="s">
        <v>667</v>
      </c>
      <c r="HV2" s="84" t="s">
        <v>668</v>
      </c>
      <c r="HW2" s="84" t="s">
        <v>669</v>
      </c>
      <c r="HX2" s="84" t="s">
        <v>670</v>
      </c>
      <c r="HY2" s="84" t="s">
        <v>671</v>
      </c>
      <c r="HZ2" s="84" t="s">
        <v>672</v>
      </c>
      <c r="IA2" s="84" t="s">
        <v>673</v>
      </c>
      <c r="IB2" s="84" t="s">
        <v>674</v>
      </c>
      <c r="IC2" s="84" t="s">
        <v>675</v>
      </c>
      <c r="ID2" s="84" t="s">
        <v>676</v>
      </c>
      <c r="IE2" s="84" t="s">
        <v>677</v>
      </c>
      <c r="IF2" s="84" t="s">
        <v>678</v>
      </c>
      <c r="IG2" s="84" t="s">
        <v>679</v>
      </c>
      <c r="IH2" s="84" t="s">
        <v>680</v>
      </c>
      <c r="II2" s="84" t="s">
        <v>681</v>
      </c>
      <c r="IJ2" s="84" t="s">
        <v>682</v>
      </c>
      <c r="IK2" s="84" t="s">
        <v>683</v>
      </c>
      <c r="IL2" s="84" t="s">
        <v>684</v>
      </c>
      <c r="IM2" s="84" t="s">
        <v>685</v>
      </c>
      <c r="IN2" s="84" t="s">
        <v>686</v>
      </c>
      <c r="IO2" s="84" t="s">
        <v>687</v>
      </c>
      <c r="IP2" s="84" t="s">
        <v>688</v>
      </c>
      <c r="IQ2" s="84" t="s">
        <v>689</v>
      </c>
      <c r="IR2" s="84" t="s">
        <v>690</v>
      </c>
      <c r="IS2" s="84" t="s">
        <v>691</v>
      </c>
      <c r="IT2" s="84" t="s">
        <v>692</v>
      </c>
      <c r="IU2" s="84" t="s">
        <v>693</v>
      </c>
      <c r="IV2" s="84" t="s">
        <v>694</v>
      </c>
      <c r="IW2" s="84" t="s">
        <v>695</v>
      </c>
      <c r="IX2" s="84" t="s">
        <v>696</v>
      </c>
      <c r="IY2" s="84" t="s">
        <v>697</v>
      </c>
      <c r="IZ2" s="84" t="s">
        <v>698</v>
      </c>
      <c r="JA2" s="84" t="s">
        <v>699</v>
      </c>
      <c r="JB2" s="84" t="s">
        <v>700</v>
      </c>
      <c r="JC2" s="84" t="s">
        <v>701</v>
      </c>
      <c r="JD2" s="84" t="s">
        <v>702</v>
      </c>
      <c r="JE2" s="84" t="s">
        <v>703</v>
      </c>
      <c r="JF2" s="84" t="s">
        <v>704</v>
      </c>
      <c r="JG2" s="84" t="s">
        <v>705</v>
      </c>
      <c r="JH2" s="84" t="s">
        <v>706</v>
      </c>
      <c r="JI2" s="84" t="s">
        <v>707</v>
      </c>
      <c r="JJ2" s="84" t="s">
        <v>708</v>
      </c>
      <c r="JK2" s="84" t="s">
        <v>709</v>
      </c>
      <c r="JL2" s="84" t="s">
        <v>710</v>
      </c>
      <c r="JM2" s="84" t="s">
        <v>711</v>
      </c>
      <c r="JN2" s="84" t="s">
        <v>712</v>
      </c>
      <c r="JO2" s="84" t="s">
        <v>713</v>
      </c>
      <c r="JP2" s="84" t="s">
        <v>714</v>
      </c>
      <c r="JQ2" s="84" t="s">
        <v>715</v>
      </c>
      <c r="JR2" s="84" t="s">
        <v>716</v>
      </c>
      <c r="JS2" s="84" t="s">
        <v>717</v>
      </c>
      <c r="JT2" s="84" t="s">
        <v>718</v>
      </c>
      <c r="JU2" s="84" t="s">
        <v>719</v>
      </c>
      <c r="JV2" s="84" t="s">
        <v>720</v>
      </c>
      <c r="JW2" s="84" t="s">
        <v>721</v>
      </c>
      <c r="JX2" s="84" t="s">
        <v>722</v>
      </c>
      <c r="JY2" s="84" t="s">
        <v>723</v>
      </c>
      <c r="JZ2" s="84" t="s">
        <v>724</v>
      </c>
      <c r="KA2" s="84" t="s">
        <v>725</v>
      </c>
      <c r="KB2" s="84" t="s">
        <v>726</v>
      </c>
      <c r="KC2" s="84" t="s">
        <v>727</v>
      </c>
      <c r="KD2" s="84" t="s">
        <v>728</v>
      </c>
      <c r="KE2" s="84" t="s">
        <v>729</v>
      </c>
      <c r="KF2" s="84" t="s">
        <v>730</v>
      </c>
      <c r="KG2" s="84" t="s">
        <v>731</v>
      </c>
      <c r="KH2" s="84" t="s">
        <v>732</v>
      </c>
      <c r="KI2" s="84" t="s">
        <v>733</v>
      </c>
      <c r="KJ2" s="84" t="s">
        <v>734</v>
      </c>
      <c r="KK2" s="84" t="s">
        <v>735</v>
      </c>
      <c r="KL2" s="84" t="s">
        <v>736</v>
      </c>
      <c r="KM2" s="84" t="s">
        <v>737</v>
      </c>
      <c r="KN2" s="84" t="s">
        <v>738</v>
      </c>
      <c r="KO2" s="84" t="s">
        <v>739</v>
      </c>
      <c r="KP2" s="84" t="s">
        <v>1422</v>
      </c>
      <c r="KQ2" s="84" t="s">
        <v>1423</v>
      </c>
      <c r="KR2" s="84" t="s">
        <v>1424</v>
      </c>
      <c r="KS2" s="84" t="s">
        <v>1425</v>
      </c>
      <c r="KT2" s="84" t="s">
        <v>1426</v>
      </c>
      <c r="KU2" s="84" t="s">
        <v>1427</v>
      </c>
      <c r="KV2" s="84" t="s">
        <v>1428</v>
      </c>
      <c r="KW2" s="84" t="s">
        <v>1429</v>
      </c>
      <c r="KX2" s="84" t="s">
        <v>1430</v>
      </c>
      <c r="KY2" s="84" t="s">
        <v>1431</v>
      </c>
      <c r="KZ2" s="84" t="s">
        <v>1432</v>
      </c>
      <c r="LA2" s="84" t="s">
        <v>1433</v>
      </c>
      <c r="LB2" s="84" t="s">
        <v>1434</v>
      </c>
      <c r="LC2" s="84" t="s">
        <v>1435</v>
      </c>
      <c r="LD2" s="84" t="s">
        <v>1436</v>
      </c>
      <c r="LE2" s="84" t="s">
        <v>1437</v>
      </c>
    </row>
    <row r="3" spans="1:317" x14ac:dyDescent="0.2">
      <c r="A3" s="179" t="s">
        <v>849</v>
      </c>
      <c r="B3" s="180" t="s">
        <v>902</v>
      </c>
      <c r="C3" s="181"/>
      <c r="D3" s="182">
        <v>0</v>
      </c>
      <c r="E3" s="182">
        <v>0</v>
      </c>
      <c r="F3" s="183" t="s">
        <v>1189</v>
      </c>
      <c r="G3" s="183">
        <v>0</v>
      </c>
      <c r="H3" s="183">
        <v>0</v>
      </c>
      <c r="I3" s="183">
        <v>0</v>
      </c>
      <c r="J3" s="183">
        <v>0</v>
      </c>
      <c r="K3" s="183" t="s">
        <v>1356</v>
      </c>
      <c r="L3" s="183">
        <v>0</v>
      </c>
      <c r="M3" s="183">
        <v>0</v>
      </c>
      <c r="N3" s="183" t="s">
        <v>881</v>
      </c>
      <c r="O3" s="183">
        <v>0</v>
      </c>
      <c r="P3" s="183">
        <v>0</v>
      </c>
      <c r="Q3" s="183"/>
      <c r="R3" s="183"/>
      <c r="S3" s="183"/>
      <c r="T3" s="183"/>
      <c r="U3" s="183"/>
      <c r="V3" s="183">
        <v>0</v>
      </c>
      <c r="W3" s="183">
        <v>0</v>
      </c>
      <c r="X3" s="183">
        <v>0</v>
      </c>
      <c r="Y3" s="184">
        <v>2.0499999999999998</v>
      </c>
      <c r="Z3" s="184">
        <v>0</v>
      </c>
      <c r="AA3" s="184">
        <v>0</v>
      </c>
      <c r="AB3" s="185" t="s">
        <v>615</v>
      </c>
      <c r="AC3" s="185" t="s">
        <v>615</v>
      </c>
      <c r="AD3" s="186" t="s">
        <v>881</v>
      </c>
      <c r="AE3" s="186" t="s">
        <v>858</v>
      </c>
      <c r="AF3" s="187">
        <v>7</v>
      </c>
      <c r="AG3" s="187">
        <v>3</v>
      </c>
      <c r="AH3" s="187">
        <v>4</v>
      </c>
      <c r="AI3" s="188">
        <v>1</v>
      </c>
      <c r="AJ3" s="188" t="s">
        <v>615</v>
      </c>
      <c r="AK3" s="187" t="s">
        <v>1733</v>
      </c>
      <c r="AL3" s="87" t="s">
        <v>615</v>
      </c>
      <c r="AM3" s="189"/>
      <c r="AN3" s="187" t="s">
        <v>615</v>
      </c>
      <c r="AO3" s="13" t="s">
        <v>615</v>
      </c>
      <c r="AP3" s="187">
        <v>0</v>
      </c>
      <c r="AQ3" s="187">
        <v>0</v>
      </c>
      <c r="AR3" s="190">
        <v>0</v>
      </c>
      <c r="AS3" s="190">
        <v>0</v>
      </c>
      <c r="AT3" s="190">
        <v>0</v>
      </c>
      <c r="AU3" s="187">
        <v>0</v>
      </c>
      <c r="AV3" s="187">
        <v>0</v>
      </c>
      <c r="AW3" s="191"/>
      <c r="AX3" s="192"/>
      <c r="AY3" s="193">
        <v>42666</v>
      </c>
      <c r="AZ3" s="193"/>
      <c r="BA3" s="193"/>
      <c r="BB3" s="194"/>
      <c r="BC3" s="194"/>
      <c r="BD3" s="195"/>
      <c r="BE3" s="195" t="s">
        <v>532</v>
      </c>
      <c r="BF3" s="195"/>
      <c r="BG3" s="195">
        <v>50</v>
      </c>
      <c r="BH3" s="196" t="s">
        <v>547</v>
      </c>
      <c r="BI3" s="197">
        <v>1</v>
      </c>
      <c r="BJ3" s="198"/>
      <c r="BK3" s="199">
        <v>0</v>
      </c>
      <c r="BL3" s="13">
        <v>0</v>
      </c>
      <c r="BM3" s="13">
        <v>0</v>
      </c>
      <c r="BN3" s="13" t="s">
        <v>616</v>
      </c>
      <c r="BO3" s="13" t="s">
        <v>616</v>
      </c>
      <c r="BP3" s="200">
        <v>1</v>
      </c>
      <c r="BQ3" s="201"/>
      <c r="BR3" s="202"/>
      <c r="BS3" s="187">
        <v>1000000000</v>
      </c>
      <c r="BT3" s="203">
        <v>43</v>
      </c>
      <c r="BU3" s="204">
        <v>0</v>
      </c>
      <c r="BV3" s="203">
        <v>0</v>
      </c>
      <c r="BW3" s="205">
        <v>0</v>
      </c>
      <c r="BX3" s="205">
        <v>0</v>
      </c>
      <c r="BY3" s="205">
        <v>0</v>
      </c>
      <c r="BZ3" s="203">
        <v>0</v>
      </c>
      <c r="CA3" s="203">
        <v>0</v>
      </c>
      <c r="CB3" s="203">
        <v>43</v>
      </c>
      <c r="CC3" s="204">
        <v>0</v>
      </c>
      <c r="CD3" s="203">
        <v>0</v>
      </c>
      <c r="CE3" s="203">
        <v>0</v>
      </c>
      <c r="CF3" s="13">
        <v>0</v>
      </c>
      <c r="CG3" s="206">
        <v>0</v>
      </c>
      <c r="CH3" s="207">
        <v>0</v>
      </c>
      <c r="CI3" s="201"/>
      <c r="CJ3" s="208"/>
      <c r="CK3" s="209" t="s">
        <v>615</v>
      </c>
      <c r="CL3" s="210" t="s">
        <v>615</v>
      </c>
      <c r="CM3" s="207">
        <v>0</v>
      </c>
      <c r="CN3" s="207">
        <v>0</v>
      </c>
      <c r="CO3" s="204">
        <v>0</v>
      </c>
      <c r="CP3" s="204">
        <v>0</v>
      </c>
      <c r="CQ3" s="211"/>
      <c r="CR3" s="204">
        <v>1</v>
      </c>
      <c r="CS3" s="212">
        <v>42592</v>
      </c>
      <c r="CT3" s="212">
        <v>42780</v>
      </c>
      <c r="CU3" s="213">
        <v>42780</v>
      </c>
      <c r="CV3" s="214">
        <v>42829</v>
      </c>
      <c r="CW3" s="214" t="s">
        <v>615</v>
      </c>
      <c r="CX3" s="214" t="s">
        <v>615</v>
      </c>
      <c r="CY3" s="204">
        <v>0</v>
      </c>
      <c r="CZ3" s="204">
        <v>0.97959183673469385</v>
      </c>
      <c r="DA3" s="203">
        <v>0</v>
      </c>
      <c r="DB3" s="204">
        <v>0</v>
      </c>
      <c r="DC3" s="204">
        <v>0</v>
      </c>
      <c r="DD3" s="204">
        <v>0</v>
      </c>
      <c r="DE3" s="204">
        <v>0</v>
      </c>
      <c r="DF3" s="215">
        <v>0.97959183673469385</v>
      </c>
      <c r="DG3" s="13" t="s">
        <v>615</v>
      </c>
      <c r="DH3" s="86">
        <v>1</v>
      </c>
      <c r="DI3" s="86"/>
      <c r="DJ3" s="86">
        <v>278</v>
      </c>
      <c r="DK3" s="86" t="s">
        <v>1518</v>
      </c>
      <c r="DL3" s="86" t="e">
        <v>#N/A</v>
      </c>
      <c r="DM3" s="86">
        <v>165</v>
      </c>
      <c r="DN3" s="86" t="e">
        <v>#N/A</v>
      </c>
      <c r="DO3" s="86">
        <v>453</v>
      </c>
      <c r="DP3" s="86">
        <v>5</v>
      </c>
      <c r="DQ3" s="86">
        <v>49</v>
      </c>
      <c r="DR3" s="146">
        <v>43</v>
      </c>
      <c r="DS3" s="146">
        <v>43</v>
      </c>
      <c r="DT3" s="146">
        <v>43</v>
      </c>
      <c r="DU3" s="146">
        <v>43</v>
      </c>
      <c r="DV3" s="146">
        <v>43</v>
      </c>
      <c r="DW3" s="146">
        <v>43</v>
      </c>
      <c r="DX3" s="146">
        <v>43</v>
      </c>
      <c r="DY3" s="146">
        <v>43</v>
      </c>
      <c r="DZ3" s="146">
        <v>43</v>
      </c>
      <c r="EA3" s="146">
        <v>43</v>
      </c>
      <c r="EB3" s="146">
        <v>43</v>
      </c>
      <c r="EC3" s="146">
        <v>43</v>
      </c>
      <c r="ED3" s="146">
        <v>43</v>
      </c>
      <c r="EE3" s="146">
        <v>43</v>
      </c>
      <c r="EF3" s="146">
        <v>43</v>
      </c>
      <c r="EG3" s="146">
        <v>43</v>
      </c>
      <c r="EH3" s="146">
        <v>43</v>
      </c>
      <c r="EI3" s="146">
        <v>43</v>
      </c>
      <c r="EJ3" s="146">
        <v>43</v>
      </c>
      <c r="EK3" s="146">
        <v>43</v>
      </c>
      <c r="EL3" s="146">
        <v>43</v>
      </c>
      <c r="EM3" s="146">
        <v>43</v>
      </c>
      <c r="EN3" s="146">
        <v>43</v>
      </c>
      <c r="EO3" s="146">
        <v>43</v>
      </c>
      <c r="EP3" s="146">
        <v>43</v>
      </c>
      <c r="EQ3" s="146">
        <v>43</v>
      </c>
      <c r="ER3" s="146">
        <v>43</v>
      </c>
      <c r="ES3" s="146">
        <v>43</v>
      </c>
      <c r="ET3" s="146">
        <v>43</v>
      </c>
      <c r="EU3" s="146">
        <v>43</v>
      </c>
      <c r="EV3" s="146">
        <v>43</v>
      </c>
      <c r="EW3" s="146">
        <v>43</v>
      </c>
      <c r="EX3" s="146">
        <v>43</v>
      </c>
      <c r="EY3" s="146">
        <v>43</v>
      </c>
      <c r="EZ3" s="146">
        <v>43</v>
      </c>
      <c r="FA3" s="146">
        <v>43</v>
      </c>
      <c r="FB3" s="146">
        <v>43</v>
      </c>
      <c r="FC3" s="146">
        <v>43</v>
      </c>
      <c r="FD3" s="146">
        <v>43</v>
      </c>
      <c r="FE3" s="146">
        <v>43</v>
      </c>
      <c r="FF3" s="146">
        <v>43</v>
      </c>
      <c r="FG3" s="146">
        <v>43</v>
      </c>
      <c r="FH3" s="146">
        <v>43</v>
      </c>
      <c r="FI3" s="146">
        <v>43</v>
      </c>
      <c r="FJ3" s="146">
        <v>43</v>
      </c>
      <c r="FK3" s="146">
        <v>43</v>
      </c>
      <c r="FL3" s="146">
        <v>43</v>
      </c>
      <c r="FM3" s="146">
        <v>43</v>
      </c>
      <c r="FN3" s="146">
        <v>43</v>
      </c>
      <c r="FO3" s="146">
        <v>43</v>
      </c>
      <c r="FP3" s="146">
        <v>43</v>
      </c>
      <c r="FQ3" s="146">
        <v>43</v>
      </c>
      <c r="FR3" s="146">
        <v>43</v>
      </c>
      <c r="FS3" s="146">
        <v>43</v>
      </c>
      <c r="FT3" s="146">
        <v>43</v>
      </c>
      <c r="FU3" s="146">
        <v>43</v>
      </c>
      <c r="FV3" s="146">
        <v>43</v>
      </c>
      <c r="FW3" s="146">
        <v>43</v>
      </c>
      <c r="FX3" s="146">
        <v>43</v>
      </c>
      <c r="FY3" s="146">
        <v>43</v>
      </c>
      <c r="FZ3" s="146">
        <v>43</v>
      </c>
      <c r="GA3" s="146">
        <v>43</v>
      </c>
      <c r="GB3" s="146">
        <v>43</v>
      </c>
      <c r="GC3" s="146">
        <v>43</v>
      </c>
      <c r="GD3" s="146">
        <v>43</v>
      </c>
      <c r="GE3" s="146">
        <v>43</v>
      </c>
      <c r="GF3" s="146">
        <v>43</v>
      </c>
      <c r="GG3" s="146">
        <v>43</v>
      </c>
      <c r="GH3" s="146">
        <v>43</v>
      </c>
      <c r="GI3" s="146">
        <v>43</v>
      </c>
      <c r="GJ3" s="146">
        <v>43</v>
      </c>
      <c r="GK3" s="146">
        <v>43</v>
      </c>
      <c r="GL3" s="146">
        <v>43</v>
      </c>
      <c r="GM3" s="146">
        <v>43</v>
      </c>
      <c r="GN3" s="146">
        <v>43</v>
      </c>
      <c r="GO3" s="146">
        <v>43</v>
      </c>
      <c r="GP3" s="146">
        <v>43</v>
      </c>
      <c r="GQ3" s="146">
        <v>43</v>
      </c>
      <c r="GR3" s="146">
        <v>43</v>
      </c>
      <c r="GS3" s="146">
        <v>43</v>
      </c>
      <c r="GT3" s="146">
        <v>43</v>
      </c>
      <c r="GU3" s="146">
        <v>43</v>
      </c>
      <c r="GV3" s="146">
        <v>43</v>
      </c>
      <c r="GW3" s="146">
        <v>43</v>
      </c>
      <c r="GX3" s="146">
        <v>43</v>
      </c>
      <c r="GY3" s="146">
        <v>43</v>
      </c>
      <c r="GZ3" s="146">
        <v>43</v>
      </c>
      <c r="HA3" s="146">
        <v>43</v>
      </c>
      <c r="HB3" s="146">
        <v>43</v>
      </c>
      <c r="HC3" s="146">
        <v>43</v>
      </c>
      <c r="HD3" s="146">
        <v>43</v>
      </c>
      <c r="HE3" s="146">
        <v>43</v>
      </c>
      <c r="HF3" s="146">
        <v>43</v>
      </c>
      <c r="HG3" s="146">
        <v>43</v>
      </c>
      <c r="HH3" s="146">
        <v>43</v>
      </c>
      <c r="HI3" s="146">
        <v>43</v>
      </c>
      <c r="HJ3" s="146">
        <v>43</v>
      </c>
      <c r="HK3" s="146">
        <v>43</v>
      </c>
      <c r="HL3" s="146">
        <v>43</v>
      </c>
      <c r="HM3" s="146">
        <v>43</v>
      </c>
      <c r="HN3" s="146">
        <v>43</v>
      </c>
      <c r="HO3" s="146">
        <v>43</v>
      </c>
      <c r="HP3" s="146">
        <v>43</v>
      </c>
      <c r="HQ3" s="146">
        <v>43</v>
      </c>
      <c r="HR3" s="146">
        <v>43</v>
      </c>
      <c r="HS3" s="146">
        <v>43</v>
      </c>
      <c r="HT3" s="146">
        <v>43</v>
      </c>
      <c r="HU3" s="151"/>
      <c r="HV3" s="146">
        <v>43</v>
      </c>
      <c r="HW3" s="151"/>
      <c r="HX3" s="151"/>
      <c r="HY3" s="151"/>
      <c r="HZ3" s="151"/>
      <c r="IA3" s="151"/>
      <c r="IB3" s="151"/>
      <c r="IC3" s="151"/>
      <c r="ID3" s="151"/>
      <c r="IE3" s="151"/>
      <c r="IF3" s="151"/>
      <c r="IG3" s="151"/>
      <c r="IH3" s="151"/>
      <c r="II3" s="151"/>
      <c r="IJ3" s="151"/>
      <c r="IK3" s="151"/>
      <c r="IL3" s="151"/>
      <c r="IM3" s="151"/>
      <c r="IN3" s="151"/>
      <c r="IO3" s="151"/>
      <c r="IP3" s="151"/>
      <c r="IQ3" s="151"/>
      <c r="IR3" s="151"/>
      <c r="IS3" s="151"/>
      <c r="IT3" s="151"/>
      <c r="IU3" s="151"/>
      <c r="IV3" s="151"/>
      <c r="IW3" s="151"/>
      <c r="IX3" s="151"/>
      <c r="IY3" s="151"/>
      <c r="IZ3" s="151"/>
      <c r="JA3" s="151"/>
      <c r="JB3" s="151"/>
      <c r="JC3" s="151"/>
      <c r="JD3" s="151"/>
      <c r="JE3" s="151"/>
      <c r="JF3" s="151"/>
      <c r="JG3" s="151"/>
      <c r="JH3" s="151"/>
      <c r="JI3" s="151"/>
      <c r="JJ3" s="151"/>
      <c r="JK3" s="151"/>
      <c r="JL3" s="151"/>
      <c r="JM3" s="151"/>
      <c r="JN3" s="151"/>
      <c r="JO3" s="151"/>
      <c r="JP3" s="151"/>
      <c r="JQ3" s="151"/>
      <c r="JR3" s="151"/>
      <c r="JS3" s="151"/>
      <c r="JT3" s="151"/>
      <c r="JU3" s="151"/>
      <c r="JV3" s="151"/>
      <c r="JW3" s="151"/>
      <c r="JX3" s="151"/>
      <c r="JY3" s="151"/>
      <c r="JZ3" s="151"/>
      <c r="KA3" s="151"/>
      <c r="KB3" s="151"/>
      <c r="KC3" s="151"/>
      <c r="KD3" s="151"/>
      <c r="KE3" s="151"/>
      <c r="KF3" s="151"/>
      <c r="KG3" s="151"/>
      <c r="KH3" s="151"/>
      <c r="KI3" s="151"/>
      <c r="KJ3" s="151"/>
      <c r="KK3" s="151"/>
      <c r="KL3" s="151"/>
      <c r="KM3" s="151"/>
      <c r="KN3" s="151"/>
      <c r="KO3" s="151"/>
      <c r="KP3" s="151"/>
      <c r="KQ3" s="151"/>
      <c r="KR3" s="151"/>
      <c r="KS3" s="151"/>
      <c r="KT3" s="151"/>
      <c r="KU3" s="151"/>
      <c r="KV3" s="151"/>
      <c r="KW3" s="151"/>
      <c r="KX3" s="151"/>
      <c r="KY3" s="151"/>
      <c r="KZ3" s="151"/>
      <c r="LA3" s="151"/>
      <c r="LB3" s="151"/>
      <c r="LC3" s="151"/>
      <c r="LD3" s="151"/>
      <c r="LE3" s="151"/>
    </row>
    <row r="4" spans="1:317" x14ac:dyDescent="0.2">
      <c r="A4" s="179" t="s">
        <v>849</v>
      </c>
      <c r="B4" s="180" t="s">
        <v>903</v>
      </c>
      <c r="C4" s="181"/>
      <c r="D4" s="182">
        <v>0</v>
      </c>
      <c r="E4" s="182">
        <v>0</v>
      </c>
      <c r="F4" s="183" t="s">
        <v>1190</v>
      </c>
      <c r="G4" s="183">
        <v>0</v>
      </c>
      <c r="H4" s="183">
        <v>0</v>
      </c>
      <c r="I4" s="183">
        <v>0</v>
      </c>
      <c r="J4" s="183">
        <v>0</v>
      </c>
      <c r="K4" s="183" t="s">
        <v>1356</v>
      </c>
      <c r="L4" s="183">
        <v>0</v>
      </c>
      <c r="M4" s="183">
        <v>0</v>
      </c>
      <c r="N4" s="183" t="s">
        <v>881</v>
      </c>
      <c r="O4" s="183">
        <v>0</v>
      </c>
      <c r="P4" s="183">
        <v>0</v>
      </c>
      <c r="Q4" s="183"/>
      <c r="R4" s="183"/>
      <c r="S4" s="183"/>
      <c r="T4" s="183"/>
      <c r="U4" s="183"/>
      <c r="V4" s="183">
        <v>0</v>
      </c>
      <c r="W4" s="183">
        <v>0</v>
      </c>
      <c r="X4" s="183">
        <v>0</v>
      </c>
      <c r="Y4" s="184">
        <v>0.76</v>
      </c>
      <c r="Z4" s="184">
        <v>0</v>
      </c>
      <c r="AA4" s="184">
        <v>0</v>
      </c>
      <c r="AB4" s="185" t="s">
        <v>615</v>
      </c>
      <c r="AC4" s="185" t="s">
        <v>615</v>
      </c>
      <c r="AD4" s="186" t="s">
        <v>881</v>
      </c>
      <c r="AE4" s="186" t="s">
        <v>858</v>
      </c>
      <c r="AF4" s="187">
        <v>7</v>
      </c>
      <c r="AG4" s="187">
        <v>3</v>
      </c>
      <c r="AH4" s="187">
        <v>4</v>
      </c>
      <c r="AI4" s="188">
        <v>1</v>
      </c>
      <c r="AJ4" s="188" t="s">
        <v>615</v>
      </c>
      <c r="AK4" s="187" t="s">
        <v>1733</v>
      </c>
      <c r="AL4" s="87" t="s">
        <v>615</v>
      </c>
      <c r="AM4" s="189"/>
      <c r="AN4" s="187" t="s">
        <v>615</v>
      </c>
      <c r="AO4" s="13" t="s">
        <v>615</v>
      </c>
      <c r="AP4" s="187">
        <v>0</v>
      </c>
      <c r="AQ4" s="187">
        <v>0</v>
      </c>
      <c r="AR4" s="190">
        <v>0</v>
      </c>
      <c r="AS4" s="190">
        <v>0</v>
      </c>
      <c r="AT4" s="190">
        <v>0</v>
      </c>
      <c r="AU4" s="187">
        <v>0</v>
      </c>
      <c r="AV4" s="187">
        <v>0</v>
      </c>
      <c r="AW4" s="191"/>
      <c r="AX4" s="192"/>
      <c r="AY4" s="193">
        <v>42666</v>
      </c>
      <c r="AZ4" s="193"/>
      <c r="BA4" s="193"/>
      <c r="BB4" s="194"/>
      <c r="BC4" s="194"/>
      <c r="BD4" s="195"/>
      <c r="BE4" s="195" t="s">
        <v>532</v>
      </c>
      <c r="BF4" s="195"/>
      <c r="BG4" s="195">
        <v>250</v>
      </c>
      <c r="BH4" s="196" t="s">
        <v>547</v>
      </c>
      <c r="BI4" s="197">
        <v>1</v>
      </c>
      <c r="BJ4" s="198"/>
      <c r="BK4" s="199">
        <v>0</v>
      </c>
      <c r="BL4" s="13">
        <v>0</v>
      </c>
      <c r="BM4" s="13">
        <v>0</v>
      </c>
      <c r="BN4" s="13" t="s">
        <v>616</v>
      </c>
      <c r="BO4" s="13" t="s">
        <v>616</v>
      </c>
      <c r="BP4" s="200">
        <v>1</v>
      </c>
      <c r="BQ4" s="201"/>
      <c r="BR4" s="202"/>
      <c r="BS4" s="187">
        <v>1000000000</v>
      </c>
      <c r="BT4" s="203">
        <v>199</v>
      </c>
      <c r="BU4" s="204">
        <v>0</v>
      </c>
      <c r="BV4" s="203">
        <v>0</v>
      </c>
      <c r="BW4" s="205">
        <v>0</v>
      </c>
      <c r="BX4" s="205">
        <v>0</v>
      </c>
      <c r="BY4" s="205">
        <v>0</v>
      </c>
      <c r="BZ4" s="203">
        <v>0</v>
      </c>
      <c r="CA4" s="203">
        <v>0</v>
      </c>
      <c r="CB4" s="203">
        <v>199</v>
      </c>
      <c r="CC4" s="204">
        <v>0</v>
      </c>
      <c r="CD4" s="203">
        <v>0</v>
      </c>
      <c r="CE4" s="203">
        <v>0</v>
      </c>
      <c r="CF4" s="13">
        <v>0</v>
      </c>
      <c r="CG4" s="206">
        <v>0</v>
      </c>
      <c r="CH4" s="207">
        <v>0</v>
      </c>
      <c r="CI4" s="201"/>
      <c r="CJ4" s="208"/>
      <c r="CK4" s="209" t="s">
        <v>615</v>
      </c>
      <c r="CL4" s="210" t="s">
        <v>615</v>
      </c>
      <c r="CM4" s="207">
        <v>0</v>
      </c>
      <c r="CN4" s="207">
        <v>0</v>
      </c>
      <c r="CO4" s="204">
        <v>0</v>
      </c>
      <c r="CP4" s="204">
        <v>0</v>
      </c>
      <c r="CQ4" s="211"/>
      <c r="CR4" s="204">
        <v>1</v>
      </c>
      <c r="CS4" s="212">
        <v>42592</v>
      </c>
      <c r="CT4" s="212">
        <v>42780</v>
      </c>
      <c r="CU4" s="213">
        <v>42780</v>
      </c>
      <c r="CV4" s="214">
        <v>42829</v>
      </c>
      <c r="CW4" s="214" t="s">
        <v>615</v>
      </c>
      <c r="CX4" s="214" t="s">
        <v>615</v>
      </c>
      <c r="CY4" s="204">
        <v>4.4313415138600883E-3</v>
      </c>
      <c r="CZ4" s="204">
        <v>0.97959183673469385</v>
      </c>
      <c r="DA4" s="203">
        <v>0</v>
      </c>
      <c r="DB4" s="204">
        <v>0</v>
      </c>
      <c r="DC4" s="204">
        <v>0</v>
      </c>
      <c r="DD4" s="204">
        <v>0</v>
      </c>
      <c r="DE4" s="204">
        <v>0</v>
      </c>
      <c r="DF4" s="215">
        <v>0.97959183673469385</v>
      </c>
      <c r="DG4" s="13" t="s">
        <v>615</v>
      </c>
      <c r="DH4" s="86">
        <v>2</v>
      </c>
      <c r="DI4" s="86"/>
      <c r="DJ4" s="86">
        <v>277</v>
      </c>
      <c r="DK4" s="86" t="s">
        <v>1517</v>
      </c>
      <c r="DL4" s="86" t="e">
        <v>#N/A</v>
      </c>
      <c r="DM4" s="86">
        <v>164</v>
      </c>
      <c r="DN4" s="86" t="e">
        <v>#N/A</v>
      </c>
      <c r="DO4" s="86">
        <v>452</v>
      </c>
      <c r="DP4" s="86">
        <v>5</v>
      </c>
      <c r="DQ4" s="86">
        <v>49</v>
      </c>
      <c r="DR4" s="152">
        <v>199</v>
      </c>
      <c r="DS4" s="152">
        <v>199</v>
      </c>
      <c r="DT4" s="152">
        <v>199</v>
      </c>
      <c r="DU4" s="152">
        <v>199</v>
      </c>
      <c r="DV4" s="152">
        <v>199</v>
      </c>
      <c r="DW4" s="152">
        <v>199</v>
      </c>
      <c r="DX4" s="152">
        <v>199</v>
      </c>
      <c r="DY4" s="152">
        <v>199</v>
      </c>
      <c r="DZ4" s="152">
        <v>199</v>
      </c>
      <c r="EA4" s="152">
        <v>199</v>
      </c>
      <c r="EB4" s="152">
        <v>199</v>
      </c>
      <c r="EC4" s="152">
        <v>199</v>
      </c>
      <c r="ED4" s="152">
        <v>199</v>
      </c>
      <c r="EE4" s="152">
        <v>199</v>
      </c>
      <c r="EF4" s="152">
        <v>199</v>
      </c>
      <c r="EG4" s="152">
        <v>199</v>
      </c>
      <c r="EH4" s="152">
        <v>199</v>
      </c>
      <c r="EI4" s="152">
        <v>199</v>
      </c>
      <c r="EJ4" s="152">
        <v>199</v>
      </c>
      <c r="EK4" s="152">
        <v>199</v>
      </c>
      <c r="EL4" s="152">
        <v>199</v>
      </c>
      <c r="EM4" s="152">
        <v>199</v>
      </c>
      <c r="EN4" s="152">
        <v>199</v>
      </c>
      <c r="EO4" s="152">
        <v>199</v>
      </c>
      <c r="EP4" s="152">
        <v>199</v>
      </c>
      <c r="EQ4" s="152">
        <v>199</v>
      </c>
      <c r="ER4" s="152">
        <v>199</v>
      </c>
      <c r="ES4" s="152">
        <v>199</v>
      </c>
      <c r="ET4" s="152">
        <v>199</v>
      </c>
      <c r="EU4" s="152">
        <v>199</v>
      </c>
      <c r="EV4" s="152">
        <v>199</v>
      </c>
      <c r="EW4" s="152">
        <v>199</v>
      </c>
      <c r="EX4" s="152">
        <v>199</v>
      </c>
      <c r="EY4" s="152">
        <v>199</v>
      </c>
      <c r="EZ4" s="152">
        <v>199</v>
      </c>
      <c r="FA4" s="152">
        <v>199</v>
      </c>
      <c r="FB4" s="152">
        <v>199</v>
      </c>
      <c r="FC4" s="152">
        <v>199</v>
      </c>
      <c r="FD4" s="152">
        <v>199</v>
      </c>
      <c r="FE4" s="152">
        <v>199</v>
      </c>
      <c r="FF4" s="152">
        <v>199</v>
      </c>
      <c r="FG4" s="152">
        <v>199</v>
      </c>
      <c r="FH4" s="152">
        <v>199</v>
      </c>
      <c r="FI4" s="152">
        <v>199</v>
      </c>
      <c r="FJ4" s="152">
        <v>199</v>
      </c>
      <c r="FK4" s="152">
        <v>199</v>
      </c>
      <c r="FL4" s="152">
        <v>199</v>
      </c>
      <c r="FM4" s="152">
        <v>199</v>
      </c>
      <c r="FN4" s="152">
        <v>199</v>
      </c>
      <c r="FO4" s="152">
        <v>199</v>
      </c>
      <c r="FP4" s="152">
        <v>199</v>
      </c>
      <c r="FQ4" s="152">
        <v>199</v>
      </c>
      <c r="FR4" s="152">
        <v>199</v>
      </c>
      <c r="FS4" s="152">
        <v>199</v>
      </c>
      <c r="FT4" s="152">
        <v>199</v>
      </c>
      <c r="FU4" s="152">
        <v>199</v>
      </c>
      <c r="FV4" s="152">
        <v>199</v>
      </c>
      <c r="FW4" s="152">
        <v>199</v>
      </c>
      <c r="FX4" s="152">
        <v>199</v>
      </c>
      <c r="FY4" s="152">
        <v>199</v>
      </c>
      <c r="FZ4" s="152">
        <v>199</v>
      </c>
      <c r="GA4" s="152">
        <v>199</v>
      </c>
      <c r="GB4" s="152">
        <v>199</v>
      </c>
      <c r="GC4" s="152">
        <v>199</v>
      </c>
      <c r="GD4" s="152">
        <v>199</v>
      </c>
      <c r="GE4" s="152">
        <v>199</v>
      </c>
      <c r="GF4" s="152">
        <v>199</v>
      </c>
      <c r="GG4" s="152">
        <v>199</v>
      </c>
      <c r="GH4" s="152">
        <v>199</v>
      </c>
      <c r="GI4" s="152">
        <v>199</v>
      </c>
      <c r="GJ4" s="152">
        <v>197</v>
      </c>
      <c r="GK4" s="152">
        <v>197</v>
      </c>
      <c r="GL4" s="152">
        <v>197</v>
      </c>
      <c r="GM4" s="152">
        <v>197</v>
      </c>
      <c r="GN4" s="152">
        <v>197</v>
      </c>
      <c r="GO4" s="152">
        <v>197</v>
      </c>
      <c r="GP4" s="152">
        <v>197</v>
      </c>
      <c r="GQ4" s="152">
        <v>197</v>
      </c>
      <c r="GR4" s="152">
        <v>197</v>
      </c>
      <c r="GS4" s="152">
        <v>197</v>
      </c>
      <c r="GT4" s="152">
        <v>197</v>
      </c>
      <c r="GU4" s="152">
        <v>197</v>
      </c>
      <c r="GV4" s="152">
        <v>197</v>
      </c>
      <c r="GW4" s="152">
        <v>197</v>
      </c>
      <c r="GX4" s="152">
        <v>197</v>
      </c>
      <c r="GY4" s="152">
        <v>197</v>
      </c>
      <c r="GZ4" s="152">
        <v>197</v>
      </c>
      <c r="HA4" s="152">
        <v>197</v>
      </c>
      <c r="HB4" s="152">
        <v>197</v>
      </c>
      <c r="HC4" s="152">
        <v>197</v>
      </c>
      <c r="HD4" s="152">
        <v>197</v>
      </c>
      <c r="HE4" s="152">
        <v>197</v>
      </c>
      <c r="HF4" s="152">
        <v>197</v>
      </c>
      <c r="HG4" s="152">
        <v>197</v>
      </c>
      <c r="HH4" s="152">
        <v>197</v>
      </c>
      <c r="HI4" s="152">
        <v>197</v>
      </c>
      <c r="HJ4" s="152">
        <v>197</v>
      </c>
      <c r="HK4" s="152">
        <v>197</v>
      </c>
      <c r="HL4" s="152">
        <v>197</v>
      </c>
      <c r="HM4" s="152">
        <v>197</v>
      </c>
      <c r="HN4" s="152">
        <v>197</v>
      </c>
      <c r="HO4" s="152">
        <v>197</v>
      </c>
      <c r="HP4" s="152">
        <v>197</v>
      </c>
      <c r="HQ4" s="152">
        <v>197</v>
      </c>
      <c r="HR4" s="152">
        <v>197</v>
      </c>
      <c r="HS4" s="152">
        <v>197</v>
      </c>
      <c r="HT4" s="152">
        <v>199</v>
      </c>
      <c r="HU4" s="216"/>
      <c r="HV4" s="152">
        <v>199</v>
      </c>
      <c r="HW4" s="216"/>
      <c r="HX4" s="216"/>
      <c r="HY4" s="216"/>
      <c r="HZ4" s="216"/>
      <c r="IA4" s="216"/>
      <c r="IB4" s="216"/>
      <c r="IC4" s="216"/>
      <c r="ID4" s="216"/>
      <c r="IE4" s="216"/>
      <c r="IF4" s="216"/>
      <c r="IG4" s="216"/>
      <c r="IH4" s="216"/>
      <c r="II4" s="216"/>
      <c r="IJ4" s="216"/>
      <c r="IK4" s="216"/>
      <c r="IL4" s="216"/>
      <c r="IM4" s="216"/>
      <c r="IN4" s="216"/>
      <c r="IO4" s="216"/>
      <c r="IP4" s="216"/>
      <c r="IQ4" s="216"/>
      <c r="IR4" s="216"/>
      <c r="IS4" s="216"/>
      <c r="IT4" s="216"/>
      <c r="IU4" s="216"/>
      <c r="IV4" s="216"/>
      <c r="IW4" s="216"/>
      <c r="IX4" s="216"/>
      <c r="IY4" s="216"/>
      <c r="IZ4" s="216"/>
      <c r="JA4" s="216"/>
      <c r="JB4" s="216"/>
      <c r="JC4" s="216"/>
      <c r="JD4" s="216"/>
      <c r="JE4" s="216"/>
      <c r="JF4" s="216"/>
      <c r="JG4" s="216"/>
      <c r="JH4" s="216"/>
      <c r="JI4" s="216"/>
      <c r="JJ4" s="216"/>
      <c r="JK4" s="216"/>
      <c r="JL4" s="216"/>
      <c r="JM4" s="216"/>
      <c r="JN4" s="216"/>
      <c r="JO4" s="216"/>
      <c r="JP4" s="216"/>
      <c r="JQ4" s="216"/>
      <c r="JR4" s="216"/>
      <c r="JS4" s="216"/>
      <c r="JT4" s="216"/>
      <c r="JU4" s="216"/>
      <c r="JV4" s="216"/>
      <c r="JW4" s="216"/>
      <c r="JX4" s="216"/>
      <c r="JY4" s="216"/>
      <c r="JZ4" s="216"/>
      <c r="KA4" s="216"/>
      <c r="KB4" s="216"/>
      <c r="KC4" s="216"/>
      <c r="KD4" s="216"/>
      <c r="KE4" s="216"/>
      <c r="KF4" s="216"/>
      <c r="KG4" s="216"/>
      <c r="KH4" s="216"/>
      <c r="KI4" s="216"/>
      <c r="KJ4" s="216"/>
      <c r="KK4" s="216"/>
      <c r="KL4" s="216"/>
      <c r="KM4" s="216"/>
      <c r="KN4" s="216"/>
      <c r="KO4" s="216"/>
      <c r="KP4" s="216"/>
      <c r="KQ4" s="216"/>
      <c r="KR4" s="216"/>
      <c r="KS4" s="216"/>
      <c r="KT4" s="216"/>
      <c r="KU4" s="216"/>
      <c r="KV4" s="216"/>
      <c r="KW4" s="216"/>
      <c r="KX4" s="216"/>
      <c r="KY4" s="216"/>
      <c r="KZ4" s="216"/>
      <c r="LA4" s="216"/>
      <c r="LB4" s="216"/>
      <c r="LC4" s="216"/>
      <c r="LD4" s="216"/>
      <c r="LE4" s="216"/>
    </row>
    <row r="5" spans="1:317" x14ac:dyDescent="0.2">
      <c r="A5" s="179" t="s">
        <v>849</v>
      </c>
      <c r="B5" s="180" t="s">
        <v>904</v>
      </c>
      <c r="C5" s="181"/>
      <c r="D5" s="182">
        <v>0</v>
      </c>
      <c r="E5" s="182">
        <v>0</v>
      </c>
      <c r="F5" s="183" t="s">
        <v>1191</v>
      </c>
      <c r="G5" s="183">
        <v>0</v>
      </c>
      <c r="H5" s="183">
        <v>0</v>
      </c>
      <c r="I5" s="183">
        <v>0</v>
      </c>
      <c r="J5" s="183">
        <v>0</v>
      </c>
      <c r="K5" s="183" t="s">
        <v>1356</v>
      </c>
      <c r="L5" s="183">
        <v>0</v>
      </c>
      <c r="M5" s="183">
        <v>0</v>
      </c>
      <c r="N5" s="183" t="s">
        <v>881</v>
      </c>
      <c r="O5" s="183">
        <v>0</v>
      </c>
      <c r="P5" s="183">
        <v>0</v>
      </c>
      <c r="Q5" s="183"/>
      <c r="R5" s="183"/>
      <c r="S5" s="183"/>
      <c r="T5" s="183"/>
      <c r="U5" s="183"/>
      <c r="V5" s="183">
        <v>0</v>
      </c>
      <c r="W5" s="183">
        <v>0</v>
      </c>
      <c r="X5" s="183">
        <v>0</v>
      </c>
      <c r="Y5" s="184">
        <v>0.95</v>
      </c>
      <c r="Z5" s="184">
        <v>0</v>
      </c>
      <c r="AA5" s="184">
        <v>0</v>
      </c>
      <c r="AB5" s="185" t="s">
        <v>615</v>
      </c>
      <c r="AC5" s="185" t="s">
        <v>615</v>
      </c>
      <c r="AD5" s="186" t="s">
        <v>881</v>
      </c>
      <c r="AE5" s="186" t="s">
        <v>858</v>
      </c>
      <c r="AF5" s="187">
        <v>7</v>
      </c>
      <c r="AG5" s="187">
        <v>3</v>
      </c>
      <c r="AH5" s="187">
        <v>4</v>
      </c>
      <c r="AI5" s="188">
        <v>1</v>
      </c>
      <c r="AJ5" s="188" t="s">
        <v>615</v>
      </c>
      <c r="AK5" s="187" t="s">
        <v>1733</v>
      </c>
      <c r="AL5" s="87" t="s">
        <v>615</v>
      </c>
      <c r="AM5" s="189"/>
      <c r="AN5" s="187" t="s">
        <v>615</v>
      </c>
      <c r="AO5" s="13" t="s">
        <v>615</v>
      </c>
      <c r="AP5" s="187">
        <v>0</v>
      </c>
      <c r="AQ5" s="187">
        <v>0</v>
      </c>
      <c r="AR5" s="190">
        <v>0</v>
      </c>
      <c r="AS5" s="190">
        <v>0</v>
      </c>
      <c r="AT5" s="190">
        <v>0</v>
      </c>
      <c r="AU5" s="187">
        <v>0</v>
      </c>
      <c r="AV5" s="187">
        <v>0</v>
      </c>
      <c r="AW5" s="191"/>
      <c r="AX5" s="192"/>
      <c r="AY5" s="193">
        <v>42666</v>
      </c>
      <c r="AZ5" s="193"/>
      <c r="BA5" s="193"/>
      <c r="BB5" s="194"/>
      <c r="BC5" s="194"/>
      <c r="BD5" s="195"/>
      <c r="BE5" s="195" t="s">
        <v>532</v>
      </c>
      <c r="BF5" s="195"/>
      <c r="BG5" s="195">
        <v>100</v>
      </c>
      <c r="BH5" s="196" t="s">
        <v>547</v>
      </c>
      <c r="BI5" s="197">
        <v>1</v>
      </c>
      <c r="BJ5" s="198"/>
      <c r="BK5" s="199">
        <v>0</v>
      </c>
      <c r="BL5" s="13">
        <v>0</v>
      </c>
      <c r="BM5" s="13">
        <v>0</v>
      </c>
      <c r="BN5" s="13" t="s">
        <v>616</v>
      </c>
      <c r="BO5" s="13" t="s">
        <v>616</v>
      </c>
      <c r="BP5" s="200">
        <v>1</v>
      </c>
      <c r="BQ5" s="201"/>
      <c r="BR5" s="202"/>
      <c r="BS5" s="187">
        <v>1000000000</v>
      </c>
      <c r="BT5" s="203">
        <v>64</v>
      </c>
      <c r="BU5" s="204">
        <v>0</v>
      </c>
      <c r="BV5" s="203">
        <v>0</v>
      </c>
      <c r="BW5" s="205">
        <v>0</v>
      </c>
      <c r="BX5" s="205">
        <v>0</v>
      </c>
      <c r="BY5" s="205">
        <v>0</v>
      </c>
      <c r="BZ5" s="203">
        <v>0</v>
      </c>
      <c r="CA5" s="203">
        <v>0</v>
      </c>
      <c r="CB5" s="203">
        <v>64</v>
      </c>
      <c r="CC5" s="204">
        <v>0</v>
      </c>
      <c r="CD5" s="203">
        <v>0</v>
      </c>
      <c r="CE5" s="203">
        <v>0</v>
      </c>
      <c r="CF5" s="13">
        <v>0</v>
      </c>
      <c r="CG5" s="206">
        <v>0</v>
      </c>
      <c r="CH5" s="207">
        <v>0</v>
      </c>
      <c r="CI5" s="201"/>
      <c r="CJ5" s="208"/>
      <c r="CK5" s="209" t="s">
        <v>615</v>
      </c>
      <c r="CL5" s="210" t="s">
        <v>615</v>
      </c>
      <c r="CM5" s="207">
        <v>0</v>
      </c>
      <c r="CN5" s="207">
        <v>0</v>
      </c>
      <c r="CO5" s="204">
        <v>0</v>
      </c>
      <c r="CP5" s="204">
        <v>0</v>
      </c>
      <c r="CQ5" s="211"/>
      <c r="CR5" s="204">
        <v>1</v>
      </c>
      <c r="CS5" s="212">
        <v>42592</v>
      </c>
      <c r="CT5" s="212">
        <v>42780</v>
      </c>
      <c r="CU5" s="213">
        <v>42780</v>
      </c>
      <c r="CV5" s="214">
        <v>42829</v>
      </c>
      <c r="CW5" s="214" t="s">
        <v>615</v>
      </c>
      <c r="CX5" s="214" t="s">
        <v>615</v>
      </c>
      <c r="CY5" s="204">
        <v>0</v>
      </c>
      <c r="CZ5" s="204">
        <v>0.97959183673469385</v>
      </c>
      <c r="DA5" s="203">
        <v>0</v>
      </c>
      <c r="DB5" s="204">
        <v>0</v>
      </c>
      <c r="DC5" s="204">
        <v>0</v>
      </c>
      <c r="DD5" s="204">
        <v>0</v>
      </c>
      <c r="DE5" s="204">
        <v>0</v>
      </c>
      <c r="DF5" s="215">
        <v>0.97959183673469385</v>
      </c>
      <c r="DG5" s="13" t="s">
        <v>615</v>
      </c>
      <c r="DH5" s="86">
        <v>3</v>
      </c>
      <c r="DI5" s="86"/>
      <c r="DJ5" s="86">
        <v>276</v>
      </c>
      <c r="DK5" s="86" t="s">
        <v>1516</v>
      </c>
      <c r="DL5" s="86" t="e">
        <v>#N/A</v>
      </c>
      <c r="DM5" s="86">
        <v>163</v>
      </c>
      <c r="DN5" s="86" t="e">
        <v>#N/A</v>
      </c>
      <c r="DO5" s="86">
        <v>451</v>
      </c>
      <c r="DP5" s="86">
        <v>5</v>
      </c>
      <c r="DQ5" s="86">
        <v>49</v>
      </c>
      <c r="DR5" s="146">
        <v>64</v>
      </c>
      <c r="DS5" s="146">
        <v>64</v>
      </c>
      <c r="DT5" s="146">
        <v>64</v>
      </c>
      <c r="DU5" s="146">
        <v>64</v>
      </c>
      <c r="DV5" s="146">
        <v>64</v>
      </c>
      <c r="DW5" s="146">
        <v>64</v>
      </c>
      <c r="DX5" s="146">
        <v>64</v>
      </c>
      <c r="DY5" s="146">
        <v>64</v>
      </c>
      <c r="DZ5" s="146">
        <v>64</v>
      </c>
      <c r="EA5" s="146">
        <v>64</v>
      </c>
      <c r="EB5" s="146">
        <v>64</v>
      </c>
      <c r="EC5" s="146">
        <v>64</v>
      </c>
      <c r="ED5" s="146">
        <v>64</v>
      </c>
      <c r="EE5" s="146">
        <v>64</v>
      </c>
      <c r="EF5" s="146">
        <v>64</v>
      </c>
      <c r="EG5" s="146">
        <v>64</v>
      </c>
      <c r="EH5" s="146">
        <v>64</v>
      </c>
      <c r="EI5" s="146">
        <v>64</v>
      </c>
      <c r="EJ5" s="146">
        <v>64</v>
      </c>
      <c r="EK5" s="146">
        <v>64</v>
      </c>
      <c r="EL5" s="146">
        <v>64</v>
      </c>
      <c r="EM5" s="146">
        <v>64</v>
      </c>
      <c r="EN5" s="146">
        <v>64</v>
      </c>
      <c r="EO5" s="146">
        <v>64</v>
      </c>
      <c r="EP5" s="146">
        <v>64</v>
      </c>
      <c r="EQ5" s="146">
        <v>64</v>
      </c>
      <c r="ER5" s="146">
        <v>64</v>
      </c>
      <c r="ES5" s="146">
        <v>64</v>
      </c>
      <c r="ET5" s="146">
        <v>64</v>
      </c>
      <c r="EU5" s="146">
        <v>64</v>
      </c>
      <c r="EV5" s="146">
        <v>64</v>
      </c>
      <c r="EW5" s="146">
        <v>64</v>
      </c>
      <c r="EX5" s="146">
        <v>64</v>
      </c>
      <c r="EY5" s="146">
        <v>64</v>
      </c>
      <c r="EZ5" s="146">
        <v>64</v>
      </c>
      <c r="FA5" s="146">
        <v>64</v>
      </c>
      <c r="FB5" s="146">
        <v>64</v>
      </c>
      <c r="FC5" s="146">
        <v>64</v>
      </c>
      <c r="FD5" s="146">
        <v>64</v>
      </c>
      <c r="FE5" s="146">
        <v>64</v>
      </c>
      <c r="FF5" s="146">
        <v>64</v>
      </c>
      <c r="FG5" s="146">
        <v>64</v>
      </c>
      <c r="FH5" s="146">
        <v>64</v>
      </c>
      <c r="FI5" s="146">
        <v>64</v>
      </c>
      <c r="FJ5" s="146">
        <v>64</v>
      </c>
      <c r="FK5" s="146">
        <v>64</v>
      </c>
      <c r="FL5" s="146">
        <v>64</v>
      </c>
      <c r="FM5" s="146">
        <v>64</v>
      </c>
      <c r="FN5" s="146">
        <v>64</v>
      </c>
      <c r="FO5" s="146">
        <v>64</v>
      </c>
      <c r="FP5" s="146">
        <v>64</v>
      </c>
      <c r="FQ5" s="146">
        <v>64</v>
      </c>
      <c r="FR5" s="146">
        <v>64</v>
      </c>
      <c r="FS5" s="146">
        <v>64</v>
      </c>
      <c r="FT5" s="146">
        <v>64</v>
      </c>
      <c r="FU5" s="146">
        <v>64</v>
      </c>
      <c r="FV5" s="146">
        <v>64</v>
      </c>
      <c r="FW5" s="146">
        <v>64</v>
      </c>
      <c r="FX5" s="146">
        <v>64</v>
      </c>
      <c r="FY5" s="146">
        <v>64</v>
      </c>
      <c r="FZ5" s="146">
        <v>64</v>
      </c>
      <c r="GA5" s="146">
        <v>64</v>
      </c>
      <c r="GB5" s="146">
        <v>64</v>
      </c>
      <c r="GC5" s="146">
        <v>64</v>
      </c>
      <c r="GD5" s="146">
        <v>64</v>
      </c>
      <c r="GE5" s="146">
        <v>64</v>
      </c>
      <c r="GF5" s="146">
        <v>64</v>
      </c>
      <c r="GG5" s="146">
        <v>64</v>
      </c>
      <c r="GH5" s="146">
        <v>64</v>
      </c>
      <c r="GI5" s="146">
        <v>64</v>
      </c>
      <c r="GJ5" s="146">
        <v>64</v>
      </c>
      <c r="GK5" s="146">
        <v>64</v>
      </c>
      <c r="GL5" s="146">
        <v>64</v>
      </c>
      <c r="GM5" s="146">
        <v>64</v>
      </c>
      <c r="GN5" s="146">
        <v>64</v>
      </c>
      <c r="GO5" s="146">
        <v>64</v>
      </c>
      <c r="GP5" s="146">
        <v>64</v>
      </c>
      <c r="GQ5" s="146">
        <v>64</v>
      </c>
      <c r="GR5" s="146">
        <v>64</v>
      </c>
      <c r="GS5" s="146">
        <v>64</v>
      </c>
      <c r="GT5" s="146">
        <v>64</v>
      </c>
      <c r="GU5" s="146">
        <v>64</v>
      </c>
      <c r="GV5" s="146">
        <v>64</v>
      </c>
      <c r="GW5" s="146">
        <v>64</v>
      </c>
      <c r="GX5" s="146">
        <v>64</v>
      </c>
      <c r="GY5" s="146">
        <v>64</v>
      </c>
      <c r="GZ5" s="146">
        <v>64</v>
      </c>
      <c r="HA5" s="146">
        <v>64</v>
      </c>
      <c r="HB5" s="146">
        <v>64</v>
      </c>
      <c r="HC5" s="146">
        <v>64</v>
      </c>
      <c r="HD5" s="146">
        <v>64</v>
      </c>
      <c r="HE5" s="146">
        <v>64</v>
      </c>
      <c r="HF5" s="146">
        <v>64</v>
      </c>
      <c r="HG5" s="146">
        <v>64</v>
      </c>
      <c r="HH5" s="146">
        <v>64</v>
      </c>
      <c r="HI5" s="146">
        <v>64</v>
      </c>
      <c r="HJ5" s="146">
        <v>64</v>
      </c>
      <c r="HK5" s="146">
        <v>64</v>
      </c>
      <c r="HL5" s="146">
        <v>64</v>
      </c>
      <c r="HM5" s="146">
        <v>64</v>
      </c>
      <c r="HN5" s="146">
        <v>64</v>
      </c>
      <c r="HO5" s="146">
        <v>64</v>
      </c>
      <c r="HP5" s="146">
        <v>64</v>
      </c>
      <c r="HQ5" s="146">
        <v>64</v>
      </c>
      <c r="HR5" s="146">
        <v>64</v>
      </c>
      <c r="HS5" s="146">
        <v>64</v>
      </c>
      <c r="HT5" s="146">
        <v>64</v>
      </c>
      <c r="HU5" s="151"/>
      <c r="HV5" s="146">
        <v>64</v>
      </c>
      <c r="HW5" s="151"/>
      <c r="HX5" s="151"/>
      <c r="HY5" s="151"/>
      <c r="HZ5" s="151"/>
      <c r="IA5" s="151"/>
      <c r="IB5" s="151"/>
      <c r="IC5" s="151"/>
      <c r="ID5" s="151"/>
      <c r="IE5" s="151"/>
      <c r="IF5" s="151"/>
      <c r="IG5" s="151"/>
      <c r="IH5" s="151"/>
      <c r="II5" s="151"/>
      <c r="IJ5" s="151"/>
      <c r="IK5" s="151"/>
      <c r="IL5" s="151"/>
      <c r="IM5" s="151"/>
      <c r="IN5" s="151"/>
      <c r="IO5" s="151"/>
      <c r="IP5" s="151"/>
      <c r="IQ5" s="151"/>
      <c r="IR5" s="151"/>
      <c r="IS5" s="151"/>
      <c r="IT5" s="151"/>
      <c r="IU5" s="151"/>
      <c r="IV5" s="151"/>
      <c r="IW5" s="151"/>
      <c r="IX5" s="151"/>
      <c r="IY5" s="151"/>
      <c r="IZ5" s="151"/>
      <c r="JA5" s="151"/>
      <c r="JB5" s="151"/>
      <c r="JC5" s="151"/>
      <c r="JD5" s="151"/>
      <c r="JE5" s="151"/>
      <c r="JF5" s="151"/>
      <c r="JG5" s="151"/>
      <c r="JH5" s="151"/>
      <c r="JI5" s="151"/>
      <c r="JJ5" s="151"/>
      <c r="JK5" s="151"/>
      <c r="JL5" s="151"/>
      <c r="JM5" s="151"/>
      <c r="JN5" s="151"/>
      <c r="JO5" s="151"/>
      <c r="JP5" s="151"/>
      <c r="JQ5" s="151"/>
      <c r="JR5" s="151"/>
      <c r="JS5" s="151"/>
      <c r="JT5" s="151"/>
      <c r="JU5" s="151"/>
      <c r="JV5" s="151"/>
      <c r="JW5" s="151"/>
      <c r="JX5" s="151"/>
      <c r="JY5" s="151"/>
      <c r="JZ5" s="151"/>
      <c r="KA5" s="151"/>
      <c r="KB5" s="151"/>
      <c r="KC5" s="151"/>
      <c r="KD5" s="151"/>
      <c r="KE5" s="151"/>
      <c r="KF5" s="151"/>
      <c r="KG5" s="151"/>
      <c r="KH5" s="151"/>
      <c r="KI5" s="151"/>
      <c r="KJ5" s="151"/>
      <c r="KK5" s="151"/>
      <c r="KL5" s="151"/>
      <c r="KM5" s="151"/>
      <c r="KN5" s="151"/>
      <c r="KO5" s="151"/>
      <c r="KP5" s="151"/>
      <c r="KQ5" s="151"/>
      <c r="KR5" s="151"/>
      <c r="KS5" s="151"/>
      <c r="KT5" s="151"/>
      <c r="KU5" s="151"/>
      <c r="KV5" s="151"/>
      <c r="KW5" s="151"/>
      <c r="KX5" s="151"/>
      <c r="KY5" s="151"/>
      <c r="KZ5" s="151"/>
      <c r="LA5" s="151"/>
      <c r="LB5" s="151"/>
      <c r="LC5" s="151"/>
      <c r="LD5" s="151"/>
      <c r="LE5" s="151"/>
    </row>
    <row r="6" spans="1:317" x14ac:dyDescent="0.2">
      <c r="A6" s="179" t="s">
        <v>849</v>
      </c>
      <c r="B6" s="180" t="s">
        <v>905</v>
      </c>
      <c r="C6" s="181"/>
      <c r="D6" s="182">
        <v>0</v>
      </c>
      <c r="E6" s="182">
        <v>0</v>
      </c>
      <c r="F6" s="183" t="s">
        <v>1192</v>
      </c>
      <c r="G6" s="183">
        <v>0</v>
      </c>
      <c r="H6" s="183">
        <v>0</v>
      </c>
      <c r="I6" s="183">
        <v>0</v>
      </c>
      <c r="J6" s="183">
        <v>0</v>
      </c>
      <c r="K6" s="183" t="s">
        <v>1357</v>
      </c>
      <c r="L6" s="183">
        <v>0</v>
      </c>
      <c r="M6" s="183">
        <v>0</v>
      </c>
      <c r="N6" s="183" t="s">
        <v>899</v>
      </c>
      <c r="O6" s="183">
        <v>0</v>
      </c>
      <c r="P6" s="183">
        <v>0</v>
      </c>
      <c r="Q6" s="183"/>
      <c r="R6" s="183"/>
      <c r="S6" s="183"/>
      <c r="T6" s="183"/>
      <c r="U6" s="183"/>
      <c r="V6" s="183">
        <v>0</v>
      </c>
      <c r="W6" s="183">
        <v>0</v>
      </c>
      <c r="X6" s="183">
        <v>0</v>
      </c>
      <c r="Y6" s="184">
        <v>335.61</v>
      </c>
      <c r="Z6" s="184">
        <v>0</v>
      </c>
      <c r="AA6" s="184">
        <v>0</v>
      </c>
      <c r="AB6" s="185" t="s">
        <v>615</v>
      </c>
      <c r="AC6" s="185" t="s">
        <v>615</v>
      </c>
      <c r="AD6" s="186" t="s">
        <v>899</v>
      </c>
      <c r="AE6" s="186" t="s">
        <v>862</v>
      </c>
      <c r="AF6" s="187">
        <v>13</v>
      </c>
      <c r="AG6" s="187">
        <v>5</v>
      </c>
      <c r="AH6" s="187">
        <v>8</v>
      </c>
      <c r="AI6" s="188">
        <v>1</v>
      </c>
      <c r="AJ6" s="188" t="s">
        <v>615</v>
      </c>
      <c r="AK6" s="187" t="s">
        <v>1734</v>
      </c>
      <c r="AL6" s="87" t="s">
        <v>615</v>
      </c>
      <c r="AM6" s="189"/>
      <c r="AN6" s="187" t="s">
        <v>615</v>
      </c>
      <c r="AO6" s="13" t="s">
        <v>615</v>
      </c>
      <c r="AP6" s="187">
        <v>0</v>
      </c>
      <c r="AQ6" s="187">
        <v>0</v>
      </c>
      <c r="AR6" s="190">
        <v>0</v>
      </c>
      <c r="AS6" s="190">
        <v>0</v>
      </c>
      <c r="AT6" s="190">
        <v>0</v>
      </c>
      <c r="AU6" s="187">
        <v>0</v>
      </c>
      <c r="AV6" s="187">
        <v>0</v>
      </c>
      <c r="AW6" s="191"/>
      <c r="AX6" s="192"/>
      <c r="AY6" s="193">
        <v>42666</v>
      </c>
      <c r="AZ6" s="193"/>
      <c r="BA6" s="193"/>
      <c r="BB6" s="194"/>
      <c r="BC6" s="194"/>
      <c r="BD6" s="195"/>
      <c r="BE6" s="195" t="s">
        <v>532</v>
      </c>
      <c r="BF6" s="195"/>
      <c r="BG6" s="195">
        <v>1</v>
      </c>
      <c r="BH6" s="196" t="s">
        <v>547</v>
      </c>
      <c r="BI6" s="197">
        <v>1</v>
      </c>
      <c r="BJ6" s="198"/>
      <c r="BK6" s="199">
        <v>0</v>
      </c>
      <c r="BL6" s="13">
        <v>0</v>
      </c>
      <c r="BM6" s="13">
        <v>0</v>
      </c>
      <c r="BN6" s="13" t="s">
        <v>616</v>
      </c>
      <c r="BO6" s="13" t="s">
        <v>616</v>
      </c>
      <c r="BP6" s="200">
        <v>0</v>
      </c>
      <c r="BQ6" s="201"/>
      <c r="BR6" s="202"/>
      <c r="BS6" s="187">
        <v>1000000000</v>
      </c>
      <c r="BT6" s="203">
        <v>1</v>
      </c>
      <c r="BU6" s="204">
        <v>0</v>
      </c>
      <c r="BV6" s="203">
        <v>0</v>
      </c>
      <c r="BW6" s="205">
        <v>0</v>
      </c>
      <c r="BX6" s="205">
        <v>0</v>
      </c>
      <c r="BY6" s="205">
        <v>0</v>
      </c>
      <c r="BZ6" s="203">
        <v>0</v>
      </c>
      <c r="CA6" s="203">
        <v>0</v>
      </c>
      <c r="CB6" s="203">
        <v>1</v>
      </c>
      <c r="CC6" s="204">
        <v>0</v>
      </c>
      <c r="CD6" s="203">
        <v>0</v>
      </c>
      <c r="CE6" s="203">
        <v>0</v>
      </c>
      <c r="CF6" s="13">
        <v>0</v>
      </c>
      <c r="CG6" s="206">
        <v>0</v>
      </c>
      <c r="CH6" s="207">
        <v>0</v>
      </c>
      <c r="CI6" s="201"/>
      <c r="CJ6" s="208"/>
      <c r="CK6" s="209" t="s">
        <v>615</v>
      </c>
      <c r="CL6" s="210" t="s">
        <v>615</v>
      </c>
      <c r="CM6" s="207">
        <v>0</v>
      </c>
      <c r="CN6" s="207">
        <v>0</v>
      </c>
      <c r="CO6" s="204">
        <v>0</v>
      </c>
      <c r="CP6" s="204">
        <v>0</v>
      </c>
      <c r="CQ6" s="211"/>
      <c r="CR6" s="204">
        <v>1</v>
      </c>
      <c r="CS6" s="212">
        <v>42531</v>
      </c>
      <c r="CT6" s="212">
        <v>42738</v>
      </c>
      <c r="CU6" s="213">
        <v>42738</v>
      </c>
      <c r="CV6" s="214">
        <v>42829</v>
      </c>
      <c r="CW6" s="214" t="s">
        <v>615</v>
      </c>
      <c r="CX6" s="214" t="s">
        <v>615</v>
      </c>
      <c r="CY6" s="204">
        <v>0</v>
      </c>
      <c r="CZ6" s="204">
        <v>0.9885057471264368</v>
      </c>
      <c r="DA6" s="203">
        <v>0</v>
      </c>
      <c r="DB6" s="204">
        <v>0</v>
      </c>
      <c r="DC6" s="204">
        <v>0</v>
      </c>
      <c r="DD6" s="204">
        <v>0</v>
      </c>
      <c r="DE6" s="204">
        <v>0</v>
      </c>
      <c r="DF6" s="215">
        <v>0.9885057471264368</v>
      </c>
      <c r="DG6" s="13" t="s">
        <v>615</v>
      </c>
      <c r="DH6" s="86">
        <v>4</v>
      </c>
      <c r="DI6" s="86"/>
      <c r="DJ6" s="86">
        <v>275</v>
      </c>
      <c r="DK6" s="86" t="s">
        <v>1515</v>
      </c>
      <c r="DL6" s="86" t="e">
        <v>#N/A</v>
      </c>
      <c r="DM6" s="86">
        <v>162</v>
      </c>
      <c r="DN6" s="86" t="e">
        <v>#N/A</v>
      </c>
      <c r="DO6" s="86">
        <v>448</v>
      </c>
      <c r="DP6" s="86">
        <v>7</v>
      </c>
      <c r="DQ6" s="86">
        <v>87</v>
      </c>
      <c r="DR6" s="152">
        <v>1</v>
      </c>
      <c r="DS6" s="152">
        <v>1</v>
      </c>
      <c r="DT6" s="152">
        <v>1</v>
      </c>
      <c r="DU6" s="152">
        <v>1</v>
      </c>
      <c r="DV6" s="152">
        <v>1</v>
      </c>
      <c r="DW6" s="152">
        <v>1</v>
      </c>
      <c r="DX6" s="152">
        <v>1</v>
      </c>
      <c r="DY6" s="152">
        <v>1</v>
      </c>
      <c r="DZ6" s="152">
        <v>1</v>
      </c>
      <c r="EA6" s="152">
        <v>1</v>
      </c>
      <c r="EB6" s="152">
        <v>1</v>
      </c>
      <c r="EC6" s="152">
        <v>1</v>
      </c>
      <c r="ED6" s="152">
        <v>1</v>
      </c>
      <c r="EE6" s="152">
        <v>1</v>
      </c>
      <c r="EF6" s="152">
        <v>1</v>
      </c>
      <c r="EG6" s="152">
        <v>1</v>
      </c>
      <c r="EH6" s="152">
        <v>1</v>
      </c>
      <c r="EI6" s="152">
        <v>1</v>
      </c>
      <c r="EJ6" s="152">
        <v>1</v>
      </c>
      <c r="EK6" s="152">
        <v>1</v>
      </c>
      <c r="EL6" s="152">
        <v>1</v>
      </c>
      <c r="EM6" s="152">
        <v>1</v>
      </c>
      <c r="EN6" s="152">
        <v>1</v>
      </c>
      <c r="EO6" s="152">
        <v>1</v>
      </c>
      <c r="EP6" s="152">
        <v>1</v>
      </c>
      <c r="EQ6" s="152">
        <v>1</v>
      </c>
      <c r="ER6" s="152">
        <v>1</v>
      </c>
      <c r="ES6" s="152">
        <v>1</v>
      </c>
      <c r="ET6" s="152">
        <v>1</v>
      </c>
      <c r="EU6" s="152">
        <v>1</v>
      </c>
      <c r="EV6" s="152">
        <v>1</v>
      </c>
      <c r="EW6" s="152">
        <v>1</v>
      </c>
      <c r="EX6" s="152">
        <v>1</v>
      </c>
      <c r="EY6" s="152">
        <v>1</v>
      </c>
      <c r="EZ6" s="152">
        <v>1</v>
      </c>
      <c r="FA6" s="152">
        <v>1</v>
      </c>
      <c r="FB6" s="152">
        <v>1</v>
      </c>
      <c r="FC6" s="152">
        <v>1</v>
      </c>
      <c r="FD6" s="152">
        <v>1</v>
      </c>
      <c r="FE6" s="152">
        <v>1</v>
      </c>
      <c r="FF6" s="152">
        <v>1</v>
      </c>
      <c r="FG6" s="152">
        <v>1</v>
      </c>
      <c r="FH6" s="152">
        <v>1</v>
      </c>
      <c r="FI6" s="152">
        <v>1</v>
      </c>
      <c r="FJ6" s="152">
        <v>1</v>
      </c>
      <c r="FK6" s="152">
        <v>1</v>
      </c>
      <c r="FL6" s="152">
        <v>1</v>
      </c>
      <c r="FM6" s="152">
        <v>1</v>
      </c>
      <c r="FN6" s="152">
        <v>1</v>
      </c>
      <c r="FO6" s="152">
        <v>1</v>
      </c>
      <c r="FP6" s="152">
        <v>1</v>
      </c>
      <c r="FQ6" s="152">
        <v>1</v>
      </c>
      <c r="FR6" s="152">
        <v>1</v>
      </c>
      <c r="FS6" s="152">
        <v>1</v>
      </c>
      <c r="FT6" s="152">
        <v>1</v>
      </c>
      <c r="FU6" s="152">
        <v>1</v>
      </c>
      <c r="FV6" s="152">
        <v>1</v>
      </c>
      <c r="FW6" s="152">
        <v>1</v>
      </c>
      <c r="FX6" s="152">
        <v>1</v>
      </c>
      <c r="FY6" s="152">
        <v>1</v>
      </c>
      <c r="FZ6" s="152">
        <v>1</v>
      </c>
      <c r="GA6" s="152">
        <v>1</v>
      </c>
      <c r="GB6" s="152">
        <v>1</v>
      </c>
      <c r="GC6" s="152">
        <v>1</v>
      </c>
      <c r="GD6" s="152">
        <v>1</v>
      </c>
      <c r="GE6" s="152">
        <v>1</v>
      </c>
      <c r="GF6" s="152">
        <v>1</v>
      </c>
      <c r="GG6" s="152">
        <v>1</v>
      </c>
      <c r="GH6" s="152">
        <v>1</v>
      </c>
      <c r="GI6" s="152">
        <v>1</v>
      </c>
      <c r="GJ6" s="152">
        <v>1</v>
      </c>
      <c r="GK6" s="152">
        <v>1</v>
      </c>
      <c r="GL6" s="152">
        <v>1</v>
      </c>
      <c r="GM6" s="152">
        <v>1</v>
      </c>
      <c r="GN6" s="152">
        <v>1</v>
      </c>
      <c r="GO6" s="152">
        <v>1</v>
      </c>
      <c r="GP6" s="152">
        <v>1</v>
      </c>
      <c r="GQ6" s="152">
        <v>1</v>
      </c>
      <c r="GR6" s="152">
        <v>1</v>
      </c>
      <c r="GS6" s="152">
        <v>1</v>
      </c>
      <c r="GT6" s="152">
        <v>1</v>
      </c>
      <c r="GU6" s="152">
        <v>1</v>
      </c>
      <c r="GV6" s="152">
        <v>1</v>
      </c>
      <c r="GW6" s="152">
        <v>1</v>
      </c>
      <c r="GX6" s="152">
        <v>1</v>
      </c>
      <c r="GY6" s="152">
        <v>1</v>
      </c>
      <c r="GZ6" s="152">
        <v>1</v>
      </c>
      <c r="HA6" s="152">
        <v>1</v>
      </c>
      <c r="HB6" s="152">
        <v>1</v>
      </c>
      <c r="HC6" s="152">
        <v>1</v>
      </c>
      <c r="HD6" s="152">
        <v>1</v>
      </c>
      <c r="HE6" s="152">
        <v>1</v>
      </c>
      <c r="HF6" s="152">
        <v>1</v>
      </c>
      <c r="HG6" s="152">
        <v>1</v>
      </c>
      <c r="HH6" s="152">
        <v>1</v>
      </c>
      <c r="HI6" s="152">
        <v>1</v>
      </c>
      <c r="HJ6" s="152">
        <v>1</v>
      </c>
      <c r="HK6" s="152">
        <v>1</v>
      </c>
      <c r="HL6" s="152">
        <v>1</v>
      </c>
      <c r="HM6" s="152">
        <v>1</v>
      </c>
      <c r="HN6" s="152">
        <v>1</v>
      </c>
      <c r="HO6" s="152">
        <v>1</v>
      </c>
      <c r="HP6" s="152">
        <v>1</v>
      </c>
      <c r="HQ6" s="152">
        <v>1</v>
      </c>
      <c r="HR6" s="152">
        <v>1</v>
      </c>
      <c r="HS6" s="152">
        <v>1</v>
      </c>
      <c r="HT6" s="152">
        <v>1</v>
      </c>
      <c r="HU6" s="216"/>
      <c r="HV6" s="152">
        <v>1</v>
      </c>
      <c r="HW6" s="216"/>
      <c r="HX6" s="216"/>
      <c r="HY6" s="216"/>
      <c r="HZ6" s="216"/>
      <c r="IA6" s="216"/>
      <c r="IB6" s="216"/>
      <c r="IC6" s="216"/>
      <c r="ID6" s="216"/>
      <c r="IE6" s="216"/>
      <c r="IF6" s="216"/>
      <c r="IG6" s="216"/>
      <c r="IH6" s="216"/>
      <c r="II6" s="216"/>
      <c r="IJ6" s="216"/>
      <c r="IK6" s="216"/>
      <c r="IL6" s="216"/>
      <c r="IM6" s="216"/>
      <c r="IN6" s="216"/>
      <c r="IO6" s="216"/>
      <c r="IP6" s="216"/>
      <c r="IQ6" s="216"/>
      <c r="IR6" s="216"/>
      <c r="IS6" s="216"/>
      <c r="IT6" s="216"/>
      <c r="IU6" s="216"/>
      <c r="IV6" s="216"/>
      <c r="IW6" s="216"/>
      <c r="IX6" s="216"/>
      <c r="IY6" s="216"/>
      <c r="IZ6" s="216"/>
      <c r="JA6" s="216"/>
      <c r="JB6" s="216"/>
      <c r="JC6" s="216"/>
      <c r="JD6" s="216"/>
      <c r="JE6" s="216"/>
      <c r="JF6" s="216"/>
      <c r="JG6" s="216"/>
      <c r="JH6" s="216"/>
      <c r="JI6" s="216"/>
      <c r="JJ6" s="216"/>
      <c r="JK6" s="216"/>
      <c r="JL6" s="216"/>
      <c r="JM6" s="216"/>
      <c r="JN6" s="216"/>
      <c r="JO6" s="216"/>
      <c r="JP6" s="216"/>
      <c r="JQ6" s="216"/>
      <c r="JR6" s="216"/>
      <c r="JS6" s="216"/>
      <c r="JT6" s="216"/>
      <c r="JU6" s="216"/>
      <c r="JV6" s="216"/>
      <c r="JW6" s="216"/>
      <c r="JX6" s="216"/>
      <c r="JY6" s="216"/>
      <c r="JZ6" s="216"/>
      <c r="KA6" s="216"/>
      <c r="KB6" s="216"/>
      <c r="KC6" s="216"/>
      <c r="KD6" s="216"/>
      <c r="KE6" s="216"/>
      <c r="KF6" s="216"/>
      <c r="KG6" s="216"/>
      <c r="KH6" s="216"/>
      <c r="KI6" s="216"/>
      <c r="KJ6" s="216"/>
      <c r="KK6" s="216"/>
      <c r="KL6" s="216"/>
      <c r="KM6" s="216"/>
      <c r="KN6" s="216"/>
      <c r="KO6" s="216"/>
      <c r="KP6" s="216"/>
      <c r="KQ6" s="216"/>
      <c r="KR6" s="216"/>
      <c r="KS6" s="216"/>
      <c r="KT6" s="216"/>
      <c r="KU6" s="216"/>
      <c r="KV6" s="216"/>
      <c r="KW6" s="216"/>
      <c r="KX6" s="216"/>
      <c r="KY6" s="216"/>
      <c r="KZ6" s="216"/>
      <c r="LA6" s="216"/>
      <c r="LB6" s="216"/>
      <c r="LC6" s="216"/>
      <c r="LD6" s="216"/>
      <c r="LE6" s="216"/>
    </row>
    <row r="7" spans="1:317" x14ac:dyDescent="0.2">
      <c r="A7" s="179" t="s">
        <v>849</v>
      </c>
      <c r="B7" s="180" t="s">
        <v>906</v>
      </c>
      <c r="C7" s="181"/>
      <c r="D7" s="182">
        <v>0</v>
      </c>
      <c r="E7" s="182">
        <v>0</v>
      </c>
      <c r="F7" s="183" t="s">
        <v>1193</v>
      </c>
      <c r="G7" s="183">
        <v>0</v>
      </c>
      <c r="H7" s="183">
        <v>0</v>
      </c>
      <c r="I7" s="183">
        <v>0</v>
      </c>
      <c r="J7" s="183">
        <v>0</v>
      </c>
      <c r="K7" s="183" t="s">
        <v>1357</v>
      </c>
      <c r="L7" s="183">
        <v>0</v>
      </c>
      <c r="M7" s="183">
        <v>0</v>
      </c>
      <c r="N7" s="183" t="s">
        <v>899</v>
      </c>
      <c r="O7" s="183">
        <v>0</v>
      </c>
      <c r="P7" s="183">
        <v>0</v>
      </c>
      <c r="Q7" s="183"/>
      <c r="R7" s="183"/>
      <c r="S7" s="183"/>
      <c r="T7" s="183"/>
      <c r="U7" s="183"/>
      <c r="V7" s="183">
        <v>0</v>
      </c>
      <c r="W7" s="183">
        <v>0</v>
      </c>
      <c r="X7" s="183">
        <v>0</v>
      </c>
      <c r="Y7" s="184">
        <v>388.7</v>
      </c>
      <c r="Z7" s="184">
        <v>0</v>
      </c>
      <c r="AA7" s="184">
        <v>0</v>
      </c>
      <c r="AB7" s="185" t="s">
        <v>615</v>
      </c>
      <c r="AC7" s="185" t="s">
        <v>615</v>
      </c>
      <c r="AD7" s="186" t="s">
        <v>899</v>
      </c>
      <c r="AE7" s="186" t="s">
        <v>862</v>
      </c>
      <c r="AF7" s="187">
        <v>13</v>
      </c>
      <c r="AG7" s="187">
        <v>5</v>
      </c>
      <c r="AH7" s="187">
        <v>8</v>
      </c>
      <c r="AI7" s="188">
        <v>1</v>
      </c>
      <c r="AJ7" s="188" t="s">
        <v>615</v>
      </c>
      <c r="AK7" s="187" t="s">
        <v>1734</v>
      </c>
      <c r="AL7" s="87" t="s">
        <v>615</v>
      </c>
      <c r="AM7" s="189"/>
      <c r="AN7" s="187" t="s">
        <v>615</v>
      </c>
      <c r="AO7" s="13" t="s">
        <v>615</v>
      </c>
      <c r="AP7" s="187">
        <v>0</v>
      </c>
      <c r="AQ7" s="187">
        <v>0</v>
      </c>
      <c r="AR7" s="190">
        <v>0</v>
      </c>
      <c r="AS7" s="190">
        <v>0</v>
      </c>
      <c r="AT7" s="190">
        <v>0</v>
      </c>
      <c r="AU7" s="187">
        <v>0</v>
      </c>
      <c r="AV7" s="187">
        <v>0</v>
      </c>
      <c r="AW7" s="191"/>
      <c r="AX7" s="192"/>
      <c r="AY7" s="193">
        <v>42666</v>
      </c>
      <c r="AZ7" s="193"/>
      <c r="BA7" s="193"/>
      <c r="BB7" s="194"/>
      <c r="BC7" s="194"/>
      <c r="BD7" s="195"/>
      <c r="BE7" s="195" t="s">
        <v>532</v>
      </c>
      <c r="BF7" s="195"/>
      <c r="BG7" s="195">
        <v>1</v>
      </c>
      <c r="BH7" s="196" t="s">
        <v>547</v>
      </c>
      <c r="BI7" s="197">
        <v>1</v>
      </c>
      <c r="BJ7" s="198"/>
      <c r="BK7" s="199">
        <v>0</v>
      </c>
      <c r="BL7" s="13">
        <v>0</v>
      </c>
      <c r="BM7" s="13">
        <v>0</v>
      </c>
      <c r="BN7" s="13" t="s">
        <v>616</v>
      </c>
      <c r="BO7" s="13" t="s">
        <v>616</v>
      </c>
      <c r="BP7" s="200">
        <v>0</v>
      </c>
      <c r="BQ7" s="201"/>
      <c r="BR7" s="202"/>
      <c r="BS7" s="187">
        <v>1000000000</v>
      </c>
      <c r="BT7" s="203">
        <v>1</v>
      </c>
      <c r="BU7" s="204">
        <v>0</v>
      </c>
      <c r="BV7" s="203">
        <v>0</v>
      </c>
      <c r="BW7" s="205">
        <v>0</v>
      </c>
      <c r="BX7" s="205">
        <v>0</v>
      </c>
      <c r="BY7" s="205">
        <v>0</v>
      </c>
      <c r="BZ7" s="203">
        <v>0</v>
      </c>
      <c r="CA7" s="203">
        <v>0</v>
      </c>
      <c r="CB7" s="203">
        <v>1</v>
      </c>
      <c r="CC7" s="204">
        <v>0</v>
      </c>
      <c r="CD7" s="203">
        <v>0</v>
      </c>
      <c r="CE7" s="203">
        <v>0</v>
      </c>
      <c r="CF7" s="13">
        <v>0</v>
      </c>
      <c r="CG7" s="206">
        <v>0</v>
      </c>
      <c r="CH7" s="207">
        <v>0</v>
      </c>
      <c r="CI7" s="201"/>
      <c r="CJ7" s="208"/>
      <c r="CK7" s="209" t="s">
        <v>615</v>
      </c>
      <c r="CL7" s="210" t="s">
        <v>615</v>
      </c>
      <c r="CM7" s="207">
        <v>0</v>
      </c>
      <c r="CN7" s="207">
        <v>0</v>
      </c>
      <c r="CO7" s="204">
        <v>0</v>
      </c>
      <c r="CP7" s="204">
        <v>0</v>
      </c>
      <c r="CQ7" s="211"/>
      <c r="CR7" s="204">
        <v>1</v>
      </c>
      <c r="CS7" s="212">
        <v>42531</v>
      </c>
      <c r="CT7" s="212">
        <v>42738</v>
      </c>
      <c r="CU7" s="213">
        <v>42738</v>
      </c>
      <c r="CV7" s="214">
        <v>42829</v>
      </c>
      <c r="CW7" s="214" t="s">
        <v>615</v>
      </c>
      <c r="CX7" s="214" t="s">
        <v>615</v>
      </c>
      <c r="CY7" s="204">
        <v>0</v>
      </c>
      <c r="CZ7" s="204">
        <v>0.9885057471264368</v>
      </c>
      <c r="DA7" s="203">
        <v>0</v>
      </c>
      <c r="DB7" s="204">
        <v>0</v>
      </c>
      <c r="DC7" s="204">
        <v>0</v>
      </c>
      <c r="DD7" s="204">
        <v>0</v>
      </c>
      <c r="DE7" s="204">
        <v>0</v>
      </c>
      <c r="DF7" s="215">
        <v>0.9885057471264368</v>
      </c>
      <c r="DG7" s="13" t="s">
        <v>615</v>
      </c>
      <c r="DH7" s="86">
        <v>5</v>
      </c>
      <c r="DI7" s="86"/>
      <c r="DJ7" s="86">
        <v>274</v>
      </c>
      <c r="DK7" s="86" t="s">
        <v>1514</v>
      </c>
      <c r="DL7" s="86" t="e">
        <v>#N/A</v>
      </c>
      <c r="DM7" s="86">
        <v>161</v>
      </c>
      <c r="DN7" s="86" t="e">
        <v>#N/A</v>
      </c>
      <c r="DO7" s="86">
        <v>447</v>
      </c>
      <c r="DP7" s="86">
        <v>7</v>
      </c>
      <c r="DQ7" s="86">
        <v>87</v>
      </c>
      <c r="DR7" s="146">
        <v>1</v>
      </c>
      <c r="DS7" s="146">
        <v>1</v>
      </c>
      <c r="DT7" s="146">
        <v>1</v>
      </c>
      <c r="DU7" s="146">
        <v>1</v>
      </c>
      <c r="DV7" s="146">
        <v>1</v>
      </c>
      <c r="DW7" s="146">
        <v>1</v>
      </c>
      <c r="DX7" s="146">
        <v>1</v>
      </c>
      <c r="DY7" s="146">
        <v>1</v>
      </c>
      <c r="DZ7" s="146">
        <v>1</v>
      </c>
      <c r="EA7" s="146">
        <v>1</v>
      </c>
      <c r="EB7" s="146">
        <v>1</v>
      </c>
      <c r="EC7" s="146">
        <v>1</v>
      </c>
      <c r="ED7" s="146">
        <v>1</v>
      </c>
      <c r="EE7" s="146">
        <v>1</v>
      </c>
      <c r="EF7" s="146">
        <v>1</v>
      </c>
      <c r="EG7" s="146">
        <v>1</v>
      </c>
      <c r="EH7" s="146">
        <v>1</v>
      </c>
      <c r="EI7" s="146">
        <v>1</v>
      </c>
      <c r="EJ7" s="146">
        <v>1</v>
      </c>
      <c r="EK7" s="146">
        <v>1</v>
      </c>
      <c r="EL7" s="146">
        <v>1</v>
      </c>
      <c r="EM7" s="146">
        <v>1</v>
      </c>
      <c r="EN7" s="146">
        <v>1</v>
      </c>
      <c r="EO7" s="146">
        <v>1</v>
      </c>
      <c r="EP7" s="146">
        <v>1</v>
      </c>
      <c r="EQ7" s="146">
        <v>1</v>
      </c>
      <c r="ER7" s="146">
        <v>1</v>
      </c>
      <c r="ES7" s="146">
        <v>1</v>
      </c>
      <c r="ET7" s="146">
        <v>1</v>
      </c>
      <c r="EU7" s="146">
        <v>1</v>
      </c>
      <c r="EV7" s="146">
        <v>1</v>
      </c>
      <c r="EW7" s="146">
        <v>1</v>
      </c>
      <c r="EX7" s="146">
        <v>1</v>
      </c>
      <c r="EY7" s="146">
        <v>1</v>
      </c>
      <c r="EZ7" s="146">
        <v>1</v>
      </c>
      <c r="FA7" s="146">
        <v>1</v>
      </c>
      <c r="FB7" s="146">
        <v>1</v>
      </c>
      <c r="FC7" s="146">
        <v>1</v>
      </c>
      <c r="FD7" s="146">
        <v>1</v>
      </c>
      <c r="FE7" s="146">
        <v>1</v>
      </c>
      <c r="FF7" s="146">
        <v>1</v>
      </c>
      <c r="FG7" s="146">
        <v>1</v>
      </c>
      <c r="FH7" s="146">
        <v>1</v>
      </c>
      <c r="FI7" s="146">
        <v>1</v>
      </c>
      <c r="FJ7" s="146">
        <v>1</v>
      </c>
      <c r="FK7" s="146">
        <v>1</v>
      </c>
      <c r="FL7" s="146">
        <v>1</v>
      </c>
      <c r="FM7" s="146">
        <v>1</v>
      </c>
      <c r="FN7" s="146">
        <v>1</v>
      </c>
      <c r="FO7" s="146">
        <v>1</v>
      </c>
      <c r="FP7" s="146">
        <v>1</v>
      </c>
      <c r="FQ7" s="146">
        <v>1</v>
      </c>
      <c r="FR7" s="146">
        <v>1</v>
      </c>
      <c r="FS7" s="146">
        <v>1</v>
      </c>
      <c r="FT7" s="146">
        <v>1</v>
      </c>
      <c r="FU7" s="146">
        <v>1</v>
      </c>
      <c r="FV7" s="146">
        <v>1</v>
      </c>
      <c r="FW7" s="146">
        <v>1</v>
      </c>
      <c r="FX7" s="146">
        <v>1</v>
      </c>
      <c r="FY7" s="146">
        <v>1</v>
      </c>
      <c r="FZ7" s="146">
        <v>1</v>
      </c>
      <c r="GA7" s="146">
        <v>1</v>
      </c>
      <c r="GB7" s="146">
        <v>1</v>
      </c>
      <c r="GC7" s="146">
        <v>1</v>
      </c>
      <c r="GD7" s="146">
        <v>1</v>
      </c>
      <c r="GE7" s="146">
        <v>1</v>
      </c>
      <c r="GF7" s="146">
        <v>1</v>
      </c>
      <c r="GG7" s="146">
        <v>1</v>
      </c>
      <c r="GH7" s="146">
        <v>1</v>
      </c>
      <c r="GI7" s="146">
        <v>1</v>
      </c>
      <c r="GJ7" s="146">
        <v>1</v>
      </c>
      <c r="GK7" s="146">
        <v>1</v>
      </c>
      <c r="GL7" s="146">
        <v>1</v>
      </c>
      <c r="GM7" s="146">
        <v>1</v>
      </c>
      <c r="GN7" s="146">
        <v>1</v>
      </c>
      <c r="GO7" s="146">
        <v>1</v>
      </c>
      <c r="GP7" s="146">
        <v>1</v>
      </c>
      <c r="GQ7" s="146">
        <v>1</v>
      </c>
      <c r="GR7" s="146">
        <v>1</v>
      </c>
      <c r="GS7" s="146">
        <v>1</v>
      </c>
      <c r="GT7" s="146">
        <v>1</v>
      </c>
      <c r="GU7" s="146">
        <v>1</v>
      </c>
      <c r="GV7" s="146">
        <v>1</v>
      </c>
      <c r="GW7" s="146">
        <v>1</v>
      </c>
      <c r="GX7" s="146">
        <v>1</v>
      </c>
      <c r="GY7" s="146">
        <v>1</v>
      </c>
      <c r="GZ7" s="146">
        <v>1</v>
      </c>
      <c r="HA7" s="146">
        <v>1</v>
      </c>
      <c r="HB7" s="146">
        <v>1</v>
      </c>
      <c r="HC7" s="146">
        <v>1</v>
      </c>
      <c r="HD7" s="146">
        <v>1</v>
      </c>
      <c r="HE7" s="146">
        <v>1</v>
      </c>
      <c r="HF7" s="146">
        <v>1</v>
      </c>
      <c r="HG7" s="146">
        <v>1</v>
      </c>
      <c r="HH7" s="146">
        <v>1</v>
      </c>
      <c r="HI7" s="146">
        <v>1</v>
      </c>
      <c r="HJ7" s="146">
        <v>1</v>
      </c>
      <c r="HK7" s="146">
        <v>1</v>
      </c>
      <c r="HL7" s="146">
        <v>1</v>
      </c>
      <c r="HM7" s="146">
        <v>1</v>
      </c>
      <c r="HN7" s="146">
        <v>1</v>
      </c>
      <c r="HO7" s="146">
        <v>1</v>
      </c>
      <c r="HP7" s="146">
        <v>1</v>
      </c>
      <c r="HQ7" s="146">
        <v>1</v>
      </c>
      <c r="HR7" s="146">
        <v>1</v>
      </c>
      <c r="HS7" s="146">
        <v>1</v>
      </c>
      <c r="HT7" s="146">
        <v>1</v>
      </c>
      <c r="HU7" s="151"/>
      <c r="HV7" s="146">
        <v>1</v>
      </c>
      <c r="HW7" s="151"/>
      <c r="HX7" s="151"/>
      <c r="HY7" s="151"/>
      <c r="HZ7" s="151"/>
      <c r="IA7" s="151"/>
      <c r="IB7" s="151"/>
      <c r="IC7" s="151"/>
      <c r="ID7" s="151"/>
      <c r="IE7" s="151"/>
      <c r="IF7" s="151"/>
      <c r="IG7" s="151"/>
      <c r="IH7" s="151"/>
      <c r="II7" s="151"/>
      <c r="IJ7" s="151"/>
      <c r="IK7" s="151"/>
      <c r="IL7" s="151"/>
      <c r="IM7" s="151"/>
      <c r="IN7" s="151"/>
      <c r="IO7" s="151"/>
      <c r="IP7" s="151"/>
      <c r="IQ7" s="151"/>
      <c r="IR7" s="151"/>
      <c r="IS7" s="151"/>
      <c r="IT7" s="151"/>
      <c r="IU7" s="151"/>
      <c r="IV7" s="151"/>
      <c r="IW7" s="151"/>
      <c r="IX7" s="151"/>
      <c r="IY7" s="151"/>
      <c r="IZ7" s="151"/>
      <c r="JA7" s="151"/>
      <c r="JB7" s="151"/>
      <c r="JC7" s="151"/>
      <c r="JD7" s="151"/>
      <c r="JE7" s="151"/>
      <c r="JF7" s="151"/>
      <c r="JG7" s="151"/>
      <c r="JH7" s="151"/>
      <c r="JI7" s="151"/>
      <c r="JJ7" s="151"/>
      <c r="JK7" s="151"/>
      <c r="JL7" s="151"/>
      <c r="JM7" s="151"/>
      <c r="JN7" s="151"/>
      <c r="JO7" s="151"/>
      <c r="JP7" s="151"/>
      <c r="JQ7" s="151"/>
      <c r="JR7" s="151"/>
      <c r="JS7" s="151"/>
      <c r="JT7" s="151"/>
      <c r="JU7" s="151"/>
      <c r="JV7" s="151"/>
      <c r="JW7" s="151"/>
      <c r="JX7" s="151"/>
      <c r="JY7" s="151"/>
      <c r="JZ7" s="151"/>
      <c r="KA7" s="151"/>
      <c r="KB7" s="151"/>
      <c r="KC7" s="151"/>
      <c r="KD7" s="151"/>
      <c r="KE7" s="151"/>
      <c r="KF7" s="151"/>
      <c r="KG7" s="151"/>
      <c r="KH7" s="151"/>
      <c r="KI7" s="151"/>
      <c r="KJ7" s="151"/>
      <c r="KK7" s="151"/>
      <c r="KL7" s="151"/>
      <c r="KM7" s="151"/>
      <c r="KN7" s="151"/>
      <c r="KO7" s="151"/>
      <c r="KP7" s="151"/>
      <c r="KQ7" s="151"/>
      <c r="KR7" s="151"/>
      <c r="KS7" s="151"/>
      <c r="KT7" s="151"/>
      <c r="KU7" s="151"/>
      <c r="KV7" s="151"/>
      <c r="KW7" s="151"/>
      <c r="KX7" s="151"/>
      <c r="KY7" s="151"/>
      <c r="KZ7" s="151"/>
      <c r="LA7" s="151"/>
      <c r="LB7" s="151"/>
      <c r="LC7" s="151"/>
      <c r="LD7" s="151"/>
      <c r="LE7" s="151"/>
    </row>
    <row r="8" spans="1:317" x14ac:dyDescent="0.2">
      <c r="A8" s="179" t="s">
        <v>849</v>
      </c>
      <c r="B8" s="180" t="s">
        <v>907</v>
      </c>
      <c r="C8" s="181"/>
      <c r="D8" s="182">
        <v>0</v>
      </c>
      <c r="E8" s="182">
        <v>0</v>
      </c>
      <c r="F8" s="183" t="s">
        <v>1194</v>
      </c>
      <c r="G8" s="183">
        <v>0</v>
      </c>
      <c r="H8" s="183">
        <v>0</v>
      </c>
      <c r="I8" s="183">
        <v>0</v>
      </c>
      <c r="J8" s="183">
        <v>0</v>
      </c>
      <c r="K8" s="183" t="s">
        <v>1357</v>
      </c>
      <c r="L8" s="183">
        <v>0</v>
      </c>
      <c r="M8" s="183">
        <v>0</v>
      </c>
      <c r="N8" s="183" t="s">
        <v>899</v>
      </c>
      <c r="O8" s="183">
        <v>0</v>
      </c>
      <c r="P8" s="183">
        <v>0</v>
      </c>
      <c r="Q8" s="183"/>
      <c r="R8" s="183"/>
      <c r="S8" s="183"/>
      <c r="T8" s="183"/>
      <c r="U8" s="183"/>
      <c r="V8" s="183">
        <v>0</v>
      </c>
      <c r="W8" s="183">
        <v>0</v>
      </c>
      <c r="X8" s="183">
        <v>0</v>
      </c>
      <c r="Y8" s="184">
        <v>39.78</v>
      </c>
      <c r="Z8" s="184">
        <v>136.6</v>
      </c>
      <c r="AA8" s="184">
        <v>0</v>
      </c>
      <c r="AB8" s="185" t="s">
        <v>615</v>
      </c>
      <c r="AC8" s="185" t="s">
        <v>615</v>
      </c>
      <c r="AD8" s="186" t="s">
        <v>899</v>
      </c>
      <c r="AE8" s="186" t="s">
        <v>862</v>
      </c>
      <c r="AF8" s="187">
        <v>13</v>
      </c>
      <c r="AG8" s="187">
        <v>5</v>
      </c>
      <c r="AH8" s="187">
        <v>8</v>
      </c>
      <c r="AI8" s="188">
        <v>1</v>
      </c>
      <c r="AJ8" s="188" t="s">
        <v>617</v>
      </c>
      <c r="AK8" s="187" t="s">
        <v>1735</v>
      </c>
      <c r="AL8" s="87">
        <v>160</v>
      </c>
      <c r="AM8" s="189"/>
      <c r="AN8" s="187">
        <v>160</v>
      </c>
      <c r="AO8" s="13" t="s">
        <v>615</v>
      </c>
      <c r="AP8" s="187">
        <v>9.5</v>
      </c>
      <c r="AQ8" s="187">
        <v>186</v>
      </c>
      <c r="AR8" s="190">
        <v>3.1578947368421053</v>
      </c>
      <c r="AS8" s="190">
        <v>1.9473684210526316</v>
      </c>
      <c r="AT8" s="190">
        <v>0</v>
      </c>
      <c r="AU8" s="187">
        <v>0</v>
      </c>
      <c r="AV8" s="187">
        <v>0</v>
      </c>
      <c r="AW8" s="191"/>
      <c r="AX8" s="192"/>
      <c r="AY8" s="193">
        <v>42840</v>
      </c>
      <c r="AZ8" s="193"/>
      <c r="BA8" s="193"/>
      <c r="BB8" s="194"/>
      <c r="BC8" s="194"/>
      <c r="BD8" s="195"/>
      <c r="BE8" s="195" t="s">
        <v>532</v>
      </c>
      <c r="BF8" s="195"/>
      <c r="BG8" s="195">
        <v>5</v>
      </c>
      <c r="BH8" s="196" t="s">
        <v>547</v>
      </c>
      <c r="BI8" s="197">
        <v>1</v>
      </c>
      <c r="BJ8" s="198"/>
      <c r="BK8" s="199">
        <v>120</v>
      </c>
      <c r="BL8" s="13">
        <v>80</v>
      </c>
      <c r="BM8" s="13">
        <v>40</v>
      </c>
      <c r="BN8" s="13" t="s">
        <v>619</v>
      </c>
      <c r="BO8" s="13" t="s">
        <v>619</v>
      </c>
      <c r="BP8" s="200">
        <v>200</v>
      </c>
      <c r="BQ8" s="201"/>
      <c r="BR8" s="202"/>
      <c r="BS8" s="187">
        <v>1000000000</v>
      </c>
      <c r="BT8" s="203">
        <v>74</v>
      </c>
      <c r="BU8" s="204">
        <v>0.38</v>
      </c>
      <c r="BV8" s="203">
        <v>0</v>
      </c>
      <c r="BW8" s="205">
        <v>0</v>
      </c>
      <c r="BX8" s="205">
        <v>0</v>
      </c>
      <c r="BY8" s="205">
        <v>0</v>
      </c>
      <c r="BZ8" s="203">
        <v>0</v>
      </c>
      <c r="CA8" s="203">
        <v>0</v>
      </c>
      <c r="CB8" s="203">
        <v>74</v>
      </c>
      <c r="CC8" s="204">
        <v>0.38</v>
      </c>
      <c r="CD8" s="203">
        <v>0</v>
      </c>
      <c r="CE8" s="203">
        <v>0</v>
      </c>
      <c r="CF8" s="13">
        <v>46</v>
      </c>
      <c r="CG8" s="206">
        <v>45</v>
      </c>
      <c r="CH8" s="207">
        <v>74</v>
      </c>
      <c r="CI8" s="201"/>
      <c r="CJ8" s="208"/>
      <c r="CK8" s="209" t="s">
        <v>615</v>
      </c>
      <c r="CL8" s="210" t="s">
        <v>615</v>
      </c>
      <c r="CM8" s="207">
        <v>0</v>
      </c>
      <c r="CN8" s="207">
        <v>0</v>
      </c>
      <c r="CO8" s="204">
        <v>0</v>
      </c>
      <c r="CP8" s="204">
        <v>8.9866573848474278</v>
      </c>
      <c r="CQ8" s="211"/>
      <c r="CR8" s="204">
        <v>1</v>
      </c>
      <c r="CS8" s="212">
        <v>42709</v>
      </c>
      <c r="CT8" s="212">
        <v>42738</v>
      </c>
      <c r="CU8" s="213">
        <v>42738</v>
      </c>
      <c r="CV8" s="214">
        <v>42829</v>
      </c>
      <c r="CW8" s="214" t="s">
        <v>615</v>
      </c>
      <c r="CX8" s="214" t="s">
        <v>615</v>
      </c>
      <c r="CY8" s="204">
        <v>0.32941618511609672</v>
      </c>
      <c r="CZ8" s="204">
        <v>0.9885057471264368</v>
      </c>
      <c r="DA8" s="203">
        <v>260</v>
      </c>
      <c r="DB8" s="204">
        <v>0</v>
      </c>
      <c r="DC8" s="204">
        <v>9.1954022988505746E-2</v>
      </c>
      <c r="DD8" s="204">
        <v>0.89655172413793105</v>
      </c>
      <c r="DE8" s="204">
        <v>0</v>
      </c>
      <c r="DF8" s="215">
        <v>0</v>
      </c>
      <c r="DG8" s="13" t="s">
        <v>615</v>
      </c>
      <c r="DH8" s="86">
        <v>6</v>
      </c>
      <c r="DI8" s="86"/>
      <c r="DJ8" s="86">
        <v>273</v>
      </c>
      <c r="DK8" s="86" t="s">
        <v>1464</v>
      </c>
      <c r="DL8" s="86">
        <v>76</v>
      </c>
      <c r="DM8" s="86">
        <v>160</v>
      </c>
      <c r="DN8" s="86" t="e">
        <v>#N/A</v>
      </c>
      <c r="DO8" s="86">
        <v>446</v>
      </c>
      <c r="DP8" s="86">
        <v>7</v>
      </c>
      <c r="DQ8" s="86">
        <v>87</v>
      </c>
      <c r="DR8" s="168">
        <v>88</v>
      </c>
      <c r="DS8" s="168">
        <v>88</v>
      </c>
      <c r="DT8" s="168">
        <v>88</v>
      </c>
      <c r="DU8" s="168">
        <v>88</v>
      </c>
      <c r="DV8" s="165">
        <v>63</v>
      </c>
      <c r="DW8" s="165">
        <v>63</v>
      </c>
      <c r="DX8" s="165">
        <v>61</v>
      </c>
      <c r="DY8" s="165">
        <v>61</v>
      </c>
      <c r="DZ8" s="165">
        <v>61</v>
      </c>
      <c r="EA8" s="168">
        <v>61</v>
      </c>
      <c r="EB8" s="165">
        <v>16</v>
      </c>
      <c r="EC8" s="165">
        <v>16</v>
      </c>
      <c r="ED8" s="165">
        <v>16</v>
      </c>
      <c r="EE8" s="165">
        <v>10</v>
      </c>
      <c r="EF8" s="165">
        <v>9</v>
      </c>
      <c r="EG8" s="165">
        <v>9</v>
      </c>
      <c r="EH8" s="165">
        <v>9</v>
      </c>
      <c r="EI8" s="165">
        <v>10</v>
      </c>
      <c r="EJ8" s="165">
        <v>10</v>
      </c>
      <c r="EK8" s="165">
        <v>10</v>
      </c>
      <c r="EL8" s="165">
        <v>10</v>
      </c>
      <c r="EM8" s="165">
        <v>10</v>
      </c>
      <c r="EN8" s="165">
        <v>10</v>
      </c>
      <c r="EO8" s="165">
        <v>10</v>
      </c>
      <c r="EP8" s="165">
        <v>10</v>
      </c>
      <c r="EQ8" s="165">
        <v>6</v>
      </c>
      <c r="ER8" s="165">
        <v>6</v>
      </c>
      <c r="ES8" s="165">
        <v>6</v>
      </c>
      <c r="ET8" s="165">
        <v>6</v>
      </c>
      <c r="EU8" s="165">
        <v>6</v>
      </c>
      <c r="EV8" s="168">
        <v>71</v>
      </c>
      <c r="EW8" s="168">
        <v>71</v>
      </c>
      <c r="EX8" s="168">
        <v>69</v>
      </c>
      <c r="EY8" s="168">
        <v>69</v>
      </c>
      <c r="EZ8" s="168">
        <v>79</v>
      </c>
      <c r="FA8" s="168">
        <v>79</v>
      </c>
      <c r="FB8" s="168">
        <v>79</v>
      </c>
      <c r="FC8" s="168">
        <v>79</v>
      </c>
      <c r="FD8" s="168">
        <v>74</v>
      </c>
      <c r="FE8" s="168">
        <v>74</v>
      </c>
      <c r="FF8" s="168">
        <v>74</v>
      </c>
      <c r="FG8" s="168">
        <v>74</v>
      </c>
      <c r="FH8" s="168">
        <v>74</v>
      </c>
      <c r="FI8" s="168">
        <v>74</v>
      </c>
      <c r="FJ8" s="168">
        <v>74</v>
      </c>
      <c r="FK8" s="168">
        <v>74</v>
      </c>
      <c r="FL8" s="168">
        <v>74</v>
      </c>
      <c r="FM8" s="168">
        <v>74</v>
      </c>
      <c r="FN8" s="168">
        <v>72</v>
      </c>
      <c r="FO8" s="168">
        <v>72</v>
      </c>
      <c r="FP8" s="168">
        <v>72</v>
      </c>
      <c r="FQ8" s="168">
        <v>72</v>
      </c>
      <c r="FR8" s="168">
        <v>72</v>
      </c>
      <c r="FS8" s="168">
        <v>72</v>
      </c>
      <c r="FT8" s="168">
        <v>72</v>
      </c>
      <c r="FU8" s="168">
        <v>72</v>
      </c>
      <c r="FV8" s="168">
        <v>72</v>
      </c>
      <c r="FW8" s="168">
        <v>66</v>
      </c>
      <c r="FX8" s="168">
        <v>66</v>
      </c>
      <c r="FY8" s="168">
        <v>66</v>
      </c>
      <c r="FZ8" s="168">
        <v>66</v>
      </c>
      <c r="GA8" s="168">
        <v>66</v>
      </c>
      <c r="GB8" s="168">
        <v>66</v>
      </c>
      <c r="GC8" s="168">
        <v>66</v>
      </c>
      <c r="GD8" s="168">
        <v>72</v>
      </c>
      <c r="GE8" s="168">
        <v>72</v>
      </c>
      <c r="GF8" s="168">
        <v>72</v>
      </c>
      <c r="GG8" s="168">
        <v>66</v>
      </c>
      <c r="GH8" s="168">
        <v>66</v>
      </c>
      <c r="GI8" s="168">
        <v>66</v>
      </c>
      <c r="GJ8" s="168">
        <v>66</v>
      </c>
      <c r="GK8" s="168">
        <v>66</v>
      </c>
      <c r="GL8" s="168">
        <v>66</v>
      </c>
      <c r="GM8" s="168">
        <v>66</v>
      </c>
      <c r="GN8" s="168">
        <v>66</v>
      </c>
      <c r="GO8" s="168">
        <v>66</v>
      </c>
      <c r="GP8" s="168">
        <v>66</v>
      </c>
      <c r="GQ8" s="168">
        <v>66</v>
      </c>
      <c r="GR8" s="168">
        <v>66</v>
      </c>
      <c r="GS8" s="168">
        <v>66</v>
      </c>
      <c r="GT8" s="168">
        <v>66</v>
      </c>
      <c r="GU8" s="168">
        <v>66</v>
      </c>
      <c r="GV8" s="168">
        <v>66</v>
      </c>
      <c r="GW8" s="168">
        <v>66</v>
      </c>
      <c r="GX8" s="168">
        <v>56</v>
      </c>
      <c r="GY8" s="165">
        <v>50</v>
      </c>
      <c r="GZ8" s="165">
        <v>50</v>
      </c>
      <c r="HA8" s="165">
        <v>50</v>
      </c>
      <c r="HB8" s="165">
        <v>50</v>
      </c>
      <c r="HC8" s="168">
        <v>48</v>
      </c>
      <c r="HD8" s="168">
        <v>48</v>
      </c>
      <c r="HE8" s="168">
        <v>48</v>
      </c>
      <c r="HF8" s="168">
        <v>48</v>
      </c>
      <c r="HG8" s="168">
        <v>48</v>
      </c>
      <c r="HH8" s="168">
        <v>48</v>
      </c>
      <c r="HI8" s="168">
        <v>48</v>
      </c>
      <c r="HJ8" s="168">
        <v>47</v>
      </c>
      <c r="HK8" s="168">
        <v>47</v>
      </c>
      <c r="HL8" s="168">
        <v>47</v>
      </c>
      <c r="HM8" s="168">
        <v>47</v>
      </c>
      <c r="HN8" s="168">
        <v>47</v>
      </c>
      <c r="HO8" s="168">
        <v>47</v>
      </c>
      <c r="HP8" s="168">
        <v>47</v>
      </c>
      <c r="HQ8" s="168">
        <v>47</v>
      </c>
      <c r="HR8" s="168">
        <v>47</v>
      </c>
      <c r="HS8" s="168">
        <v>47</v>
      </c>
      <c r="HT8" s="168">
        <v>74</v>
      </c>
      <c r="HU8" s="216"/>
      <c r="HV8" s="168">
        <v>74</v>
      </c>
      <c r="HW8" s="216"/>
      <c r="HX8" s="216"/>
      <c r="HY8" s="216"/>
      <c r="HZ8" s="216"/>
      <c r="IA8" s="216"/>
      <c r="IB8" s="216"/>
      <c r="IC8" s="216"/>
      <c r="ID8" s="216"/>
      <c r="IE8" s="216"/>
      <c r="IF8" s="216"/>
      <c r="IG8" s="216"/>
      <c r="IH8" s="216"/>
      <c r="II8" s="216"/>
      <c r="IJ8" s="216"/>
      <c r="IK8" s="216"/>
      <c r="IL8" s="216"/>
      <c r="IM8" s="216"/>
      <c r="IN8" s="216"/>
      <c r="IO8" s="216"/>
      <c r="IP8" s="216"/>
      <c r="IQ8" s="216"/>
      <c r="IR8" s="216"/>
      <c r="IS8" s="216"/>
      <c r="IT8" s="216"/>
      <c r="IU8" s="216"/>
      <c r="IV8" s="216"/>
      <c r="IW8" s="216"/>
      <c r="IX8" s="216"/>
      <c r="IY8" s="216"/>
      <c r="IZ8" s="216"/>
      <c r="JA8" s="216"/>
      <c r="JB8" s="216"/>
      <c r="JC8" s="216"/>
      <c r="JD8" s="216"/>
      <c r="JE8" s="216"/>
      <c r="JF8" s="216"/>
      <c r="JG8" s="216"/>
      <c r="JH8" s="216"/>
      <c r="JI8" s="216"/>
      <c r="JJ8" s="216"/>
      <c r="JK8" s="216"/>
      <c r="JL8" s="216"/>
      <c r="JM8" s="216"/>
      <c r="JN8" s="216"/>
      <c r="JO8" s="216"/>
      <c r="JP8" s="216"/>
      <c r="JQ8" s="216"/>
      <c r="JR8" s="216"/>
      <c r="JS8" s="216"/>
      <c r="JT8" s="216"/>
      <c r="JU8" s="216"/>
      <c r="JV8" s="216"/>
      <c r="JW8" s="216"/>
      <c r="JX8" s="216"/>
      <c r="JY8" s="216"/>
      <c r="JZ8" s="216"/>
      <c r="KA8" s="216"/>
      <c r="KB8" s="216"/>
      <c r="KC8" s="216"/>
      <c r="KD8" s="216"/>
      <c r="KE8" s="216"/>
      <c r="KF8" s="216"/>
      <c r="KG8" s="216"/>
      <c r="KH8" s="216"/>
      <c r="KI8" s="216"/>
      <c r="KJ8" s="216"/>
      <c r="KK8" s="216"/>
      <c r="KL8" s="216"/>
      <c r="KM8" s="216"/>
      <c r="KN8" s="216"/>
      <c r="KO8" s="216"/>
      <c r="KP8" s="216"/>
      <c r="KQ8" s="216"/>
      <c r="KR8" s="216"/>
      <c r="KS8" s="216"/>
      <c r="KT8" s="216"/>
      <c r="KU8" s="216"/>
      <c r="KV8" s="216"/>
      <c r="KW8" s="216"/>
      <c r="KX8" s="216"/>
      <c r="KY8" s="216"/>
      <c r="KZ8" s="216"/>
      <c r="LA8" s="216"/>
      <c r="LB8" s="216"/>
      <c r="LC8" s="216"/>
      <c r="LD8" s="216"/>
      <c r="LE8" s="216"/>
    </row>
    <row r="9" spans="1:317" x14ac:dyDescent="0.2">
      <c r="A9" s="179" t="s">
        <v>849</v>
      </c>
      <c r="B9" s="180" t="s">
        <v>908</v>
      </c>
      <c r="C9" s="181"/>
      <c r="D9" s="182">
        <v>0</v>
      </c>
      <c r="E9" s="182">
        <v>0</v>
      </c>
      <c r="F9" s="183" t="s">
        <v>1195</v>
      </c>
      <c r="G9" s="183">
        <v>0</v>
      </c>
      <c r="H9" s="183">
        <v>0</v>
      </c>
      <c r="I9" s="183">
        <v>0</v>
      </c>
      <c r="J9" s="183">
        <v>0</v>
      </c>
      <c r="K9" s="183" t="s">
        <v>1357</v>
      </c>
      <c r="L9" s="183">
        <v>0</v>
      </c>
      <c r="M9" s="183">
        <v>0</v>
      </c>
      <c r="N9" s="183" t="s">
        <v>899</v>
      </c>
      <c r="O9" s="183">
        <v>0</v>
      </c>
      <c r="P9" s="183">
        <v>0</v>
      </c>
      <c r="Q9" s="183"/>
      <c r="R9" s="183"/>
      <c r="S9" s="183"/>
      <c r="T9" s="183"/>
      <c r="U9" s="183"/>
      <c r="V9" s="183">
        <v>0</v>
      </c>
      <c r="W9" s="183">
        <v>0</v>
      </c>
      <c r="X9" s="183">
        <v>0</v>
      </c>
      <c r="Y9" s="184">
        <v>31.53</v>
      </c>
      <c r="Z9" s="184">
        <v>89.39</v>
      </c>
      <c r="AA9" s="184">
        <v>0</v>
      </c>
      <c r="AB9" s="185" t="s">
        <v>615</v>
      </c>
      <c r="AC9" s="185" t="s">
        <v>615</v>
      </c>
      <c r="AD9" s="186" t="s">
        <v>899</v>
      </c>
      <c r="AE9" s="186" t="s">
        <v>862</v>
      </c>
      <c r="AF9" s="187">
        <v>13</v>
      </c>
      <c r="AG9" s="187">
        <v>5</v>
      </c>
      <c r="AH9" s="187">
        <v>8</v>
      </c>
      <c r="AI9" s="188">
        <v>1</v>
      </c>
      <c r="AJ9" s="188" t="s">
        <v>617</v>
      </c>
      <c r="AK9" s="187" t="s">
        <v>1735</v>
      </c>
      <c r="AL9" s="87">
        <v>27</v>
      </c>
      <c r="AM9" s="189"/>
      <c r="AN9" s="187">
        <v>27</v>
      </c>
      <c r="AO9" s="13" t="s">
        <v>615</v>
      </c>
      <c r="AP9" s="187">
        <v>4.55</v>
      </c>
      <c r="AQ9" s="187">
        <v>89</v>
      </c>
      <c r="AR9" s="190">
        <v>1.098901098901099</v>
      </c>
      <c r="AS9" s="190">
        <v>1.043956043956044</v>
      </c>
      <c r="AT9" s="190">
        <v>0</v>
      </c>
      <c r="AU9" s="187">
        <v>0</v>
      </c>
      <c r="AV9" s="187">
        <v>0</v>
      </c>
      <c r="AW9" s="191"/>
      <c r="AX9" s="192"/>
      <c r="AY9" s="193">
        <v>42840</v>
      </c>
      <c r="AZ9" s="193"/>
      <c r="BA9" s="193"/>
      <c r="BB9" s="194"/>
      <c r="BC9" s="194"/>
      <c r="BD9" s="195"/>
      <c r="BE9" s="195" t="s">
        <v>532</v>
      </c>
      <c r="BF9" s="195"/>
      <c r="BG9" s="195">
        <v>5</v>
      </c>
      <c r="BH9" s="196" t="s">
        <v>547</v>
      </c>
      <c r="BI9" s="197">
        <v>1</v>
      </c>
      <c r="BJ9" s="198"/>
      <c r="BK9" s="199">
        <v>20</v>
      </c>
      <c r="BL9" s="13">
        <v>13</v>
      </c>
      <c r="BM9" s="13">
        <v>7</v>
      </c>
      <c r="BN9" s="13" t="s">
        <v>618</v>
      </c>
      <c r="BO9" s="13" t="s">
        <v>618</v>
      </c>
      <c r="BP9" s="200">
        <v>40</v>
      </c>
      <c r="BQ9" s="201"/>
      <c r="BR9" s="202"/>
      <c r="BS9" s="187">
        <v>1000000000</v>
      </c>
      <c r="BT9" s="203">
        <v>19</v>
      </c>
      <c r="BU9" s="204">
        <v>0.05</v>
      </c>
      <c r="BV9" s="203">
        <v>0</v>
      </c>
      <c r="BW9" s="205">
        <v>0</v>
      </c>
      <c r="BX9" s="205">
        <v>0</v>
      </c>
      <c r="BY9" s="205">
        <v>0</v>
      </c>
      <c r="BZ9" s="203">
        <v>0</v>
      </c>
      <c r="CA9" s="203">
        <v>0</v>
      </c>
      <c r="CB9" s="203">
        <v>19</v>
      </c>
      <c r="CC9" s="204">
        <v>0.05</v>
      </c>
      <c r="CD9" s="203">
        <v>0</v>
      </c>
      <c r="CE9" s="203">
        <v>0</v>
      </c>
      <c r="CF9" s="13">
        <v>1</v>
      </c>
      <c r="CG9" s="206">
        <v>0</v>
      </c>
      <c r="CH9" s="207">
        <v>12</v>
      </c>
      <c r="CI9" s="201"/>
      <c r="CJ9" s="208"/>
      <c r="CK9" s="209" t="s">
        <v>615</v>
      </c>
      <c r="CL9" s="210" t="s">
        <v>615</v>
      </c>
      <c r="CM9" s="207">
        <v>0</v>
      </c>
      <c r="CN9" s="207">
        <v>0</v>
      </c>
      <c r="CO9" s="204">
        <v>0</v>
      </c>
      <c r="CP9" s="204">
        <v>6.7756715216277534</v>
      </c>
      <c r="CQ9" s="211"/>
      <c r="CR9" s="204">
        <v>1</v>
      </c>
      <c r="CS9" s="212">
        <v>42709</v>
      </c>
      <c r="CT9" s="212">
        <v>42738</v>
      </c>
      <c r="CU9" s="213">
        <v>42738</v>
      </c>
      <c r="CV9" s="214">
        <v>42829</v>
      </c>
      <c r="CW9" s="214" t="s">
        <v>615</v>
      </c>
      <c r="CX9" s="214" t="s">
        <v>615</v>
      </c>
      <c r="CY9" s="204">
        <v>0.32326878331771447</v>
      </c>
      <c r="CZ9" s="204">
        <v>0.9885057471264368</v>
      </c>
      <c r="DA9" s="203">
        <v>56</v>
      </c>
      <c r="DB9" s="204">
        <v>9.1954022988505746E-2</v>
      </c>
      <c r="DC9" s="204">
        <v>0</v>
      </c>
      <c r="DD9" s="204">
        <v>0</v>
      </c>
      <c r="DE9" s="204">
        <v>0.89655172413793105</v>
      </c>
      <c r="DF9" s="215">
        <v>0</v>
      </c>
      <c r="DG9" s="13" t="s">
        <v>615</v>
      </c>
      <c r="DH9" s="86">
        <v>7</v>
      </c>
      <c r="DI9" s="86"/>
      <c r="DJ9" s="86">
        <v>272</v>
      </c>
      <c r="DK9" s="86" t="s">
        <v>1463</v>
      </c>
      <c r="DL9" s="86">
        <v>75</v>
      </c>
      <c r="DM9" s="86">
        <v>159</v>
      </c>
      <c r="DN9" s="86" t="e">
        <v>#N/A</v>
      </c>
      <c r="DO9" s="86">
        <v>445</v>
      </c>
      <c r="DP9" s="86">
        <v>7</v>
      </c>
      <c r="DQ9" s="86">
        <v>87</v>
      </c>
      <c r="DR9" s="161">
        <v>59</v>
      </c>
      <c r="DS9" s="161">
        <v>59</v>
      </c>
      <c r="DT9" s="161">
        <v>59</v>
      </c>
      <c r="DU9" s="161">
        <v>59</v>
      </c>
      <c r="DV9" s="162">
        <v>34</v>
      </c>
      <c r="DW9" s="162">
        <v>34</v>
      </c>
      <c r="DX9" s="162">
        <v>34</v>
      </c>
      <c r="DY9" s="162">
        <v>34</v>
      </c>
      <c r="DZ9" s="162">
        <v>34</v>
      </c>
      <c r="EA9" s="161">
        <v>34</v>
      </c>
      <c r="EB9" s="140">
        <v>4</v>
      </c>
      <c r="EC9" s="140">
        <v>4</v>
      </c>
      <c r="ED9" s="140">
        <v>4</v>
      </c>
      <c r="EE9" s="160">
        <v>0</v>
      </c>
      <c r="EF9" s="160">
        <v>0</v>
      </c>
      <c r="EG9" s="160">
        <v>0</v>
      </c>
      <c r="EH9" s="160">
        <v>0</v>
      </c>
      <c r="EI9" s="160">
        <v>0</v>
      </c>
      <c r="EJ9" s="160">
        <v>0</v>
      </c>
      <c r="EK9" s="160">
        <v>0</v>
      </c>
      <c r="EL9" s="160">
        <v>0</v>
      </c>
      <c r="EM9" s="160">
        <v>0</v>
      </c>
      <c r="EN9" s="160">
        <v>0</v>
      </c>
      <c r="EO9" s="160">
        <v>0</v>
      </c>
      <c r="EP9" s="160">
        <v>0</v>
      </c>
      <c r="EQ9" s="160">
        <v>0</v>
      </c>
      <c r="ER9" s="160">
        <v>0</v>
      </c>
      <c r="ES9" s="160">
        <v>0</v>
      </c>
      <c r="ET9" s="160">
        <v>0</v>
      </c>
      <c r="EU9" s="160">
        <v>0</v>
      </c>
      <c r="EV9" s="163">
        <v>19</v>
      </c>
      <c r="EW9" s="163">
        <v>19</v>
      </c>
      <c r="EX9" s="163">
        <v>19</v>
      </c>
      <c r="EY9" s="163">
        <v>19</v>
      </c>
      <c r="EZ9" s="163">
        <v>19</v>
      </c>
      <c r="FA9" s="163">
        <v>19</v>
      </c>
      <c r="FB9" s="163">
        <v>19</v>
      </c>
      <c r="FC9" s="163">
        <v>19</v>
      </c>
      <c r="FD9" s="163">
        <v>19</v>
      </c>
      <c r="FE9" s="163">
        <v>19</v>
      </c>
      <c r="FF9" s="163">
        <v>19</v>
      </c>
      <c r="FG9" s="163">
        <v>19</v>
      </c>
      <c r="FH9" s="163">
        <v>19</v>
      </c>
      <c r="FI9" s="163">
        <v>19</v>
      </c>
      <c r="FJ9" s="163">
        <v>19</v>
      </c>
      <c r="FK9" s="163">
        <v>19</v>
      </c>
      <c r="FL9" s="163">
        <v>19</v>
      </c>
      <c r="FM9" s="163">
        <v>19</v>
      </c>
      <c r="FN9" s="163">
        <v>19</v>
      </c>
      <c r="FO9" s="163">
        <v>19</v>
      </c>
      <c r="FP9" s="163">
        <v>19</v>
      </c>
      <c r="FQ9" s="163">
        <v>19</v>
      </c>
      <c r="FR9" s="163">
        <v>19</v>
      </c>
      <c r="FS9" s="163">
        <v>19</v>
      </c>
      <c r="FT9" s="163">
        <v>19</v>
      </c>
      <c r="FU9" s="163">
        <v>19</v>
      </c>
      <c r="FV9" s="163">
        <v>19</v>
      </c>
      <c r="FW9" s="163">
        <v>19</v>
      </c>
      <c r="FX9" s="163">
        <v>19</v>
      </c>
      <c r="FY9" s="163">
        <v>19</v>
      </c>
      <c r="FZ9" s="163">
        <v>19</v>
      </c>
      <c r="GA9" s="163">
        <v>19</v>
      </c>
      <c r="GB9" s="163">
        <v>19</v>
      </c>
      <c r="GC9" s="163">
        <v>19</v>
      </c>
      <c r="GD9" s="163">
        <v>19</v>
      </c>
      <c r="GE9" s="163">
        <v>19</v>
      </c>
      <c r="GF9" s="163">
        <v>19</v>
      </c>
      <c r="GG9" s="163">
        <v>19</v>
      </c>
      <c r="GH9" s="163">
        <v>19</v>
      </c>
      <c r="GI9" s="163">
        <v>19</v>
      </c>
      <c r="GJ9" s="163">
        <v>20</v>
      </c>
      <c r="GK9" s="163">
        <v>20</v>
      </c>
      <c r="GL9" s="163">
        <v>20</v>
      </c>
      <c r="GM9" s="163">
        <v>20</v>
      </c>
      <c r="GN9" s="163">
        <v>20</v>
      </c>
      <c r="GO9" s="163">
        <v>20</v>
      </c>
      <c r="GP9" s="163">
        <v>20</v>
      </c>
      <c r="GQ9" s="163">
        <v>20</v>
      </c>
      <c r="GR9" s="163">
        <v>20</v>
      </c>
      <c r="GS9" s="163">
        <v>20</v>
      </c>
      <c r="GT9" s="163">
        <v>20</v>
      </c>
      <c r="GU9" s="163">
        <v>20</v>
      </c>
      <c r="GV9" s="163">
        <v>20</v>
      </c>
      <c r="GW9" s="163">
        <v>20</v>
      </c>
      <c r="GX9" s="163">
        <v>20</v>
      </c>
      <c r="GY9" s="163">
        <v>20</v>
      </c>
      <c r="GZ9" s="163">
        <v>20</v>
      </c>
      <c r="HA9" s="163">
        <v>20</v>
      </c>
      <c r="HB9" s="163">
        <v>20</v>
      </c>
      <c r="HC9" s="162">
        <v>20</v>
      </c>
      <c r="HD9" s="162">
        <v>20</v>
      </c>
      <c r="HE9" s="162">
        <v>20</v>
      </c>
      <c r="HF9" s="162">
        <v>20</v>
      </c>
      <c r="HG9" s="162">
        <v>20</v>
      </c>
      <c r="HH9" s="162">
        <v>20</v>
      </c>
      <c r="HI9" s="162">
        <v>20</v>
      </c>
      <c r="HJ9" s="162">
        <v>20</v>
      </c>
      <c r="HK9" s="162">
        <v>20</v>
      </c>
      <c r="HL9" s="162">
        <v>20</v>
      </c>
      <c r="HM9" s="162">
        <v>20</v>
      </c>
      <c r="HN9" s="162">
        <v>20</v>
      </c>
      <c r="HO9" s="162">
        <v>20</v>
      </c>
      <c r="HP9" s="162">
        <v>20</v>
      </c>
      <c r="HQ9" s="162">
        <v>20</v>
      </c>
      <c r="HR9" s="162">
        <v>20</v>
      </c>
      <c r="HS9" s="162">
        <v>20</v>
      </c>
      <c r="HT9" s="162">
        <v>19</v>
      </c>
      <c r="HU9" s="151"/>
      <c r="HV9" s="162">
        <v>19</v>
      </c>
      <c r="HW9" s="151"/>
      <c r="HX9" s="151"/>
      <c r="HY9" s="151"/>
      <c r="HZ9" s="151"/>
      <c r="IA9" s="151"/>
      <c r="IB9" s="151"/>
      <c r="IC9" s="151"/>
      <c r="ID9" s="151"/>
      <c r="IE9" s="151"/>
      <c r="IF9" s="151"/>
      <c r="IG9" s="151"/>
      <c r="IH9" s="151"/>
      <c r="II9" s="151"/>
      <c r="IJ9" s="151"/>
      <c r="IK9" s="151"/>
      <c r="IL9" s="151"/>
      <c r="IM9" s="151"/>
      <c r="IN9" s="151"/>
      <c r="IO9" s="151"/>
      <c r="IP9" s="151"/>
      <c r="IQ9" s="151"/>
      <c r="IR9" s="151"/>
      <c r="IS9" s="151"/>
      <c r="IT9" s="151"/>
      <c r="IU9" s="151"/>
      <c r="IV9" s="151"/>
      <c r="IW9" s="151"/>
      <c r="IX9" s="151"/>
      <c r="IY9" s="151"/>
      <c r="IZ9" s="151"/>
      <c r="JA9" s="151"/>
      <c r="JB9" s="151"/>
      <c r="JC9" s="151"/>
      <c r="JD9" s="151"/>
      <c r="JE9" s="151"/>
      <c r="JF9" s="151"/>
      <c r="JG9" s="151"/>
      <c r="JH9" s="151"/>
      <c r="JI9" s="151"/>
      <c r="JJ9" s="151"/>
      <c r="JK9" s="151"/>
      <c r="JL9" s="151"/>
      <c r="JM9" s="151"/>
      <c r="JN9" s="151"/>
      <c r="JO9" s="151"/>
      <c r="JP9" s="151"/>
      <c r="JQ9" s="151"/>
      <c r="JR9" s="151"/>
      <c r="JS9" s="151"/>
      <c r="JT9" s="151"/>
      <c r="JU9" s="151"/>
      <c r="JV9" s="151"/>
      <c r="JW9" s="151"/>
      <c r="JX9" s="151"/>
      <c r="JY9" s="151"/>
      <c r="JZ9" s="151"/>
      <c r="KA9" s="151"/>
      <c r="KB9" s="151"/>
      <c r="KC9" s="151"/>
      <c r="KD9" s="151"/>
      <c r="KE9" s="151"/>
      <c r="KF9" s="151"/>
      <c r="KG9" s="151"/>
      <c r="KH9" s="151"/>
      <c r="KI9" s="151"/>
      <c r="KJ9" s="151"/>
      <c r="KK9" s="151"/>
      <c r="KL9" s="151"/>
      <c r="KM9" s="151"/>
      <c r="KN9" s="151"/>
      <c r="KO9" s="151"/>
      <c r="KP9" s="151"/>
      <c r="KQ9" s="151"/>
      <c r="KR9" s="151"/>
      <c r="KS9" s="151"/>
      <c r="KT9" s="151"/>
      <c r="KU9" s="151"/>
      <c r="KV9" s="151"/>
      <c r="KW9" s="151"/>
      <c r="KX9" s="151"/>
      <c r="KY9" s="151"/>
      <c r="KZ9" s="151"/>
      <c r="LA9" s="151"/>
      <c r="LB9" s="151"/>
      <c r="LC9" s="151"/>
      <c r="LD9" s="151"/>
      <c r="LE9" s="151"/>
    </row>
    <row r="10" spans="1:317" x14ac:dyDescent="0.2">
      <c r="A10" s="179" t="s">
        <v>849</v>
      </c>
      <c r="B10" s="180" t="s">
        <v>909</v>
      </c>
      <c r="C10" s="181"/>
      <c r="D10" s="182">
        <v>0</v>
      </c>
      <c r="E10" s="182">
        <v>0</v>
      </c>
      <c r="F10" s="183" t="s">
        <v>1195</v>
      </c>
      <c r="G10" s="183">
        <v>0</v>
      </c>
      <c r="H10" s="183">
        <v>0</v>
      </c>
      <c r="I10" s="183">
        <v>0</v>
      </c>
      <c r="J10" s="183">
        <v>0</v>
      </c>
      <c r="K10" s="183" t="s">
        <v>1357</v>
      </c>
      <c r="L10" s="183">
        <v>0</v>
      </c>
      <c r="M10" s="183">
        <v>0</v>
      </c>
      <c r="N10" s="183" t="s">
        <v>899</v>
      </c>
      <c r="O10" s="183">
        <v>0</v>
      </c>
      <c r="P10" s="183">
        <v>0</v>
      </c>
      <c r="Q10" s="183"/>
      <c r="R10" s="183"/>
      <c r="S10" s="183"/>
      <c r="T10" s="183"/>
      <c r="U10" s="183"/>
      <c r="V10" s="183">
        <v>0</v>
      </c>
      <c r="W10" s="183">
        <v>0</v>
      </c>
      <c r="X10" s="183">
        <v>0</v>
      </c>
      <c r="Y10" s="184">
        <v>28.17</v>
      </c>
      <c r="Z10" s="184">
        <v>79.13</v>
      </c>
      <c r="AA10" s="184">
        <v>0</v>
      </c>
      <c r="AB10" s="185" t="s">
        <v>615</v>
      </c>
      <c r="AC10" s="185" t="s">
        <v>615</v>
      </c>
      <c r="AD10" s="186" t="s">
        <v>899</v>
      </c>
      <c r="AE10" s="186" t="s">
        <v>862</v>
      </c>
      <c r="AF10" s="187">
        <v>13</v>
      </c>
      <c r="AG10" s="187">
        <v>5</v>
      </c>
      <c r="AH10" s="187">
        <v>8</v>
      </c>
      <c r="AI10" s="188">
        <v>1</v>
      </c>
      <c r="AJ10" s="188" t="s">
        <v>617</v>
      </c>
      <c r="AK10" s="187" t="s">
        <v>1735</v>
      </c>
      <c r="AL10" s="87">
        <v>27</v>
      </c>
      <c r="AM10" s="189"/>
      <c r="AN10" s="187">
        <v>27</v>
      </c>
      <c r="AO10" s="13" t="s">
        <v>615</v>
      </c>
      <c r="AP10" s="187">
        <v>0.45</v>
      </c>
      <c r="AQ10" s="187">
        <v>9</v>
      </c>
      <c r="AR10" s="190">
        <v>11.111111111111111</v>
      </c>
      <c r="AS10" s="190">
        <v>2.2222222222222223</v>
      </c>
      <c r="AT10" s="190">
        <v>0</v>
      </c>
      <c r="AU10" s="187">
        <v>0</v>
      </c>
      <c r="AV10" s="187">
        <v>0</v>
      </c>
      <c r="AW10" s="191"/>
      <c r="AX10" s="192"/>
      <c r="AY10" s="193">
        <v>42666</v>
      </c>
      <c r="AZ10" s="193"/>
      <c r="BA10" s="193"/>
      <c r="BB10" s="194"/>
      <c r="BC10" s="194"/>
      <c r="BD10" s="195"/>
      <c r="BE10" s="195" t="s">
        <v>532</v>
      </c>
      <c r="BF10" s="195"/>
      <c r="BG10" s="195">
        <v>10</v>
      </c>
      <c r="BH10" s="196" t="s">
        <v>547</v>
      </c>
      <c r="BI10" s="197">
        <v>1</v>
      </c>
      <c r="BJ10" s="198"/>
      <c r="BK10" s="199">
        <v>20</v>
      </c>
      <c r="BL10" s="13">
        <v>13</v>
      </c>
      <c r="BM10" s="13">
        <v>7</v>
      </c>
      <c r="BN10" s="13" t="s">
        <v>622</v>
      </c>
      <c r="BO10" s="13" t="s">
        <v>622</v>
      </c>
      <c r="BP10" s="200">
        <v>30</v>
      </c>
      <c r="BQ10" s="201"/>
      <c r="BR10" s="202"/>
      <c r="BS10" s="187">
        <v>1000000000</v>
      </c>
      <c r="BT10" s="203">
        <v>4</v>
      </c>
      <c r="BU10" s="204">
        <v>0.8</v>
      </c>
      <c r="BV10" s="203">
        <v>0</v>
      </c>
      <c r="BW10" s="205">
        <v>0</v>
      </c>
      <c r="BX10" s="205">
        <v>0</v>
      </c>
      <c r="BY10" s="205">
        <v>0</v>
      </c>
      <c r="BZ10" s="203">
        <v>0</v>
      </c>
      <c r="CA10" s="203">
        <v>0</v>
      </c>
      <c r="CB10" s="203">
        <v>4</v>
      </c>
      <c r="CC10" s="204">
        <v>0.8</v>
      </c>
      <c r="CD10" s="203">
        <v>0</v>
      </c>
      <c r="CE10" s="203">
        <v>0</v>
      </c>
      <c r="CF10" s="13">
        <v>16</v>
      </c>
      <c r="CG10" s="206">
        <v>20</v>
      </c>
      <c r="CH10" s="207">
        <v>12</v>
      </c>
      <c r="CI10" s="201"/>
      <c r="CJ10" s="208"/>
      <c r="CK10" s="209" t="s">
        <v>615</v>
      </c>
      <c r="CL10" s="210" t="s">
        <v>615</v>
      </c>
      <c r="CM10" s="207">
        <v>152.88</v>
      </c>
      <c r="CN10" s="207">
        <v>0</v>
      </c>
      <c r="CO10" s="204">
        <v>0</v>
      </c>
      <c r="CP10" s="204">
        <v>6.6794462193823199</v>
      </c>
      <c r="CQ10" s="211"/>
      <c r="CR10" s="204">
        <v>1</v>
      </c>
      <c r="CS10" s="212">
        <v>42709</v>
      </c>
      <c r="CT10" s="212">
        <v>42738</v>
      </c>
      <c r="CU10" s="213">
        <v>42738</v>
      </c>
      <c r="CV10" s="214">
        <v>42829</v>
      </c>
      <c r="CW10" s="214" t="s">
        <v>615</v>
      </c>
      <c r="CX10" s="214" t="s">
        <v>615</v>
      </c>
      <c r="CY10" s="204">
        <v>0.89494548807830709</v>
      </c>
      <c r="CZ10" s="204">
        <v>0.98850574712643668</v>
      </c>
      <c r="DA10" s="203">
        <v>309</v>
      </c>
      <c r="DB10" s="204">
        <v>0</v>
      </c>
      <c r="DC10" s="204">
        <v>0.86206896551724133</v>
      </c>
      <c r="DD10" s="204">
        <v>0</v>
      </c>
      <c r="DE10" s="204">
        <v>0.12643678160919541</v>
      </c>
      <c r="DF10" s="215">
        <v>0</v>
      </c>
      <c r="DG10" s="13" t="s">
        <v>615</v>
      </c>
      <c r="DH10" s="86">
        <v>8</v>
      </c>
      <c r="DI10" s="86"/>
      <c r="DJ10" s="86">
        <v>271</v>
      </c>
      <c r="DK10" s="86" t="s">
        <v>1462</v>
      </c>
      <c r="DL10" s="86">
        <v>74</v>
      </c>
      <c r="DM10" s="86">
        <v>158</v>
      </c>
      <c r="DN10" s="86" t="e">
        <v>#N/A</v>
      </c>
      <c r="DO10" s="86">
        <v>444</v>
      </c>
      <c r="DP10" s="86">
        <v>7</v>
      </c>
      <c r="DQ10" s="86">
        <v>87</v>
      </c>
      <c r="DR10" s="168">
        <v>14</v>
      </c>
      <c r="DS10" s="168">
        <v>14</v>
      </c>
      <c r="DT10" s="168">
        <v>14</v>
      </c>
      <c r="DU10" s="168">
        <v>14</v>
      </c>
      <c r="DV10" s="168">
        <v>14</v>
      </c>
      <c r="DW10" s="168">
        <v>14</v>
      </c>
      <c r="DX10" s="168">
        <v>14</v>
      </c>
      <c r="DY10" s="168">
        <v>14</v>
      </c>
      <c r="DZ10" s="168">
        <v>14</v>
      </c>
      <c r="EA10" s="164">
        <v>14</v>
      </c>
      <c r="EB10" s="164">
        <v>14</v>
      </c>
      <c r="EC10" s="164">
        <v>14</v>
      </c>
      <c r="ED10" s="164">
        <v>14</v>
      </c>
      <c r="EE10" s="164">
        <v>14</v>
      </c>
      <c r="EF10" s="164">
        <v>14</v>
      </c>
      <c r="EG10" s="164">
        <v>14</v>
      </c>
      <c r="EH10" s="164">
        <v>14</v>
      </c>
      <c r="EI10" s="164">
        <v>14</v>
      </c>
      <c r="EJ10" s="164">
        <v>14</v>
      </c>
      <c r="EK10" s="164">
        <v>14</v>
      </c>
      <c r="EL10" s="164">
        <v>14</v>
      </c>
      <c r="EM10" s="164">
        <v>14</v>
      </c>
      <c r="EN10" s="164">
        <v>14</v>
      </c>
      <c r="EO10" s="164">
        <v>14</v>
      </c>
      <c r="EP10" s="164">
        <v>14</v>
      </c>
      <c r="EQ10" s="164">
        <v>14</v>
      </c>
      <c r="ER10" s="164">
        <v>14</v>
      </c>
      <c r="ES10" s="164">
        <v>14</v>
      </c>
      <c r="ET10" s="164">
        <v>14</v>
      </c>
      <c r="EU10" s="164">
        <v>14</v>
      </c>
      <c r="EV10" s="164">
        <v>14</v>
      </c>
      <c r="EW10" s="164">
        <v>14</v>
      </c>
      <c r="EX10" s="164">
        <v>14</v>
      </c>
      <c r="EY10" s="165">
        <v>4</v>
      </c>
      <c r="EZ10" s="165">
        <v>4</v>
      </c>
      <c r="FA10" s="165">
        <v>4</v>
      </c>
      <c r="FB10" s="165">
        <v>4</v>
      </c>
      <c r="FC10" s="165">
        <v>4</v>
      </c>
      <c r="FD10" s="165">
        <v>4</v>
      </c>
      <c r="FE10" s="165">
        <v>4</v>
      </c>
      <c r="FF10" s="165">
        <v>4</v>
      </c>
      <c r="FG10" s="165">
        <v>4</v>
      </c>
      <c r="FH10" s="165">
        <v>4</v>
      </c>
      <c r="FI10" s="165">
        <v>4</v>
      </c>
      <c r="FJ10" s="165">
        <v>4</v>
      </c>
      <c r="FK10" s="165">
        <v>4</v>
      </c>
      <c r="FL10" s="165">
        <v>4</v>
      </c>
      <c r="FM10" s="165">
        <v>4</v>
      </c>
      <c r="FN10" s="165">
        <v>4</v>
      </c>
      <c r="FO10" s="165">
        <v>4</v>
      </c>
      <c r="FP10" s="165">
        <v>4</v>
      </c>
      <c r="FQ10" s="165">
        <v>4</v>
      </c>
      <c r="FR10" s="165">
        <v>4</v>
      </c>
      <c r="FS10" s="165">
        <v>4</v>
      </c>
      <c r="FT10" s="165">
        <v>4</v>
      </c>
      <c r="FU10" s="165">
        <v>4</v>
      </c>
      <c r="FV10" s="165">
        <v>4</v>
      </c>
      <c r="FW10" s="165">
        <v>4</v>
      </c>
      <c r="FX10" s="165">
        <v>4</v>
      </c>
      <c r="FY10" s="165">
        <v>4</v>
      </c>
      <c r="FZ10" s="165">
        <v>4</v>
      </c>
      <c r="GA10" s="165">
        <v>4</v>
      </c>
      <c r="GB10" s="165">
        <v>4</v>
      </c>
      <c r="GC10" s="165">
        <v>4</v>
      </c>
      <c r="GD10" s="165">
        <v>2</v>
      </c>
      <c r="GE10" s="165">
        <v>2</v>
      </c>
      <c r="GF10" s="165">
        <v>2</v>
      </c>
      <c r="GG10" s="165">
        <v>2</v>
      </c>
      <c r="GH10" s="165">
        <v>2</v>
      </c>
      <c r="GI10" s="165">
        <v>2</v>
      </c>
      <c r="GJ10" s="165">
        <v>2</v>
      </c>
      <c r="GK10" s="165">
        <v>2</v>
      </c>
      <c r="GL10" s="165">
        <v>2</v>
      </c>
      <c r="GM10" s="165">
        <v>2</v>
      </c>
      <c r="GN10" s="165">
        <v>2</v>
      </c>
      <c r="GO10" s="165">
        <v>2</v>
      </c>
      <c r="GP10" s="165">
        <v>2</v>
      </c>
      <c r="GQ10" s="165">
        <v>2</v>
      </c>
      <c r="GR10" s="165">
        <v>2</v>
      </c>
      <c r="GS10" s="165">
        <v>2</v>
      </c>
      <c r="GT10" s="165">
        <v>2</v>
      </c>
      <c r="GU10" s="165">
        <v>2</v>
      </c>
      <c r="GV10" s="165">
        <v>2</v>
      </c>
      <c r="GW10" s="165">
        <v>2</v>
      </c>
      <c r="GX10" s="165">
        <v>2</v>
      </c>
      <c r="GY10" s="165">
        <v>2</v>
      </c>
      <c r="GZ10" s="165">
        <v>2</v>
      </c>
      <c r="HA10" s="165">
        <v>2</v>
      </c>
      <c r="HB10" s="165">
        <v>2</v>
      </c>
      <c r="HC10" s="165">
        <v>2</v>
      </c>
      <c r="HD10" s="165">
        <v>2</v>
      </c>
      <c r="HE10" s="165">
        <v>2</v>
      </c>
      <c r="HF10" s="165">
        <v>2</v>
      </c>
      <c r="HG10" s="165">
        <v>2</v>
      </c>
      <c r="HH10" s="165">
        <v>2</v>
      </c>
      <c r="HI10" s="165">
        <v>2</v>
      </c>
      <c r="HJ10" s="165">
        <v>2</v>
      </c>
      <c r="HK10" s="165">
        <v>2</v>
      </c>
      <c r="HL10" s="165">
        <v>2</v>
      </c>
      <c r="HM10" s="165">
        <v>2</v>
      </c>
      <c r="HN10" s="165">
        <v>2</v>
      </c>
      <c r="HO10" s="165">
        <v>2</v>
      </c>
      <c r="HP10" s="165">
        <v>2</v>
      </c>
      <c r="HQ10" s="165">
        <v>2</v>
      </c>
      <c r="HR10" s="165">
        <v>2</v>
      </c>
      <c r="HS10" s="165">
        <v>2</v>
      </c>
      <c r="HT10" s="165">
        <v>4</v>
      </c>
      <c r="HU10" s="216"/>
      <c r="HV10" s="165">
        <v>4</v>
      </c>
      <c r="HW10" s="216"/>
      <c r="HX10" s="216"/>
      <c r="HY10" s="216"/>
      <c r="HZ10" s="216"/>
      <c r="IA10" s="216"/>
      <c r="IB10" s="216"/>
      <c r="IC10" s="216"/>
      <c r="ID10" s="216"/>
      <c r="IE10" s="216"/>
      <c r="IF10" s="216"/>
      <c r="IG10" s="216"/>
      <c r="IH10" s="216"/>
      <c r="II10" s="216"/>
      <c r="IJ10" s="216"/>
      <c r="IK10" s="216"/>
      <c r="IL10" s="216"/>
      <c r="IM10" s="216"/>
      <c r="IN10" s="216"/>
      <c r="IO10" s="216"/>
      <c r="IP10" s="216"/>
      <c r="IQ10" s="216"/>
      <c r="IR10" s="216"/>
      <c r="IS10" s="216"/>
      <c r="IT10" s="216"/>
      <c r="IU10" s="216"/>
      <c r="IV10" s="216"/>
      <c r="IW10" s="216"/>
      <c r="IX10" s="216"/>
      <c r="IY10" s="216"/>
      <c r="IZ10" s="216"/>
      <c r="JA10" s="216"/>
      <c r="JB10" s="216"/>
      <c r="JC10" s="216"/>
      <c r="JD10" s="216"/>
      <c r="JE10" s="216"/>
      <c r="JF10" s="216"/>
      <c r="JG10" s="216"/>
      <c r="JH10" s="216"/>
      <c r="JI10" s="216"/>
      <c r="JJ10" s="216"/>
      <c r="JK10" s="216"/>
      <c r="JL10" s="216"/>
      <c r="JM10" s="216"/>
      <c r="JN10" s="216"/>
      <c r="JO10" s="216"/>
      <c r="JP10" s="216"/>
      <c r="JQ10" s="216"/>
      <c r="JR10" s="216"/>
      <c r="JS10" s="216"/>
      <c r="JT10" s="216"/>
      <c r="JU10" s="216"/>
      <c r="JV10" s="216"/>
      <c r="JW10" s="216"/>
      <c r="JX10" s="216"/>
      <c r="JY10" s="216"/>
      <c r="JZ10" s="216"/>
      <c r="KA10" s="216"/>
      <c r="KB10" s="216"/>
      <c r="KC10" s="216"/>
      <c r="KD10" s="216"/>
      <c r="KE10" s="216"/>
      <c r="KF10" s="216"/>
      <c r="KG10" s="216"/>
      <c r="KH10" s="216"/>
      <c r="KI10" s="216"/>
      <c r="KJ10" s="216"/>
      <c r="KK10" s="216"/>
      <c r="KL10" s="216"/>
      <c r="KM10" s="216"/>
      <c r="KN10" s="216"/>
      <c r="KO10" s="216"/>
      <c r="KP10" s="216"/>
      <c r="KQ10" s="216"/>
      <c r="KR10" s="216"/>
      <c r="KS10" s="216"/>
      <c r="KT10" s="216"/>
      <c r="KU10" s="216"/>
      <c r="KV10" s="216"/>
      <c r="KW10" s="216"/>
      <c r="KX10" s="216"/>
      <c r="KY10" s="216"/>
      <c r="KZ10" s="216"/>
      <c r="LA10" s="216"/>
      <c r="LB10" s="216"/>
      <c r="LC10" s="216"/>
      <c r="LD10" s="216"/>
      <c r="LE10" s="216"/>
    </row>
    <row r="11" spans="1:317" x14ac:dyDescent="0.2">
      <c r="A11" s="179" t="s">
        <v>849</v>
      </c>
      <c r="B11" s="180" t="s">
        <v>910</v>
      </c>
      <c r="C11" s="181"/>
      <c r="D11" s="182">
        <v>0</v>
      </c>
      <c r="E11" s="182">
        <v>0</v>
      </c>
      <c r="F11" s="183" t="s">
        <v>1196</v>
      </c>
      <c r="G11" s="183">
        <v>0</v>
      </c>
      <c r="H11" s="183">
        <v>0</v>
      </c>
      <c r="I11" s="183">
        <v>0</v>
      </c>
      <c r="J11" s="183">
        <v>0</v>
      </c>
      <c r="K11" s="183" t="s">
        <v>1358</v>
      </c>
      <c r="L11" s="183">
        <v>0</v>
      </c>
      <c r="M11" s="183">
        <v>0</v>
      </c>
      <c r="N11" s="183" t="s">
        <v>881</v>
      </c>
      <c r="O11" s="183">
        <v>0</v>
      </c>
      <c r="P11" s="183">
        <v>0</v>
      </c>
      <c r="Q11" s="183"/>
      <c r="R11" s="183"/>
      <c r="S11" s="183"/>
      <c r="T11" s="183"/>
      <c r="U11" s="183"/>
      <c r="V11" s="183">
        <v>0</v>
      </c>
      <c r="W11" s="183">
        <v>0</v>
      </c>
      <c r="X11" s="183">
        <v>0</v>
      </c>
      <c r="Y11" s="184">
        <v>0</v>
      </c>
      <c r="Z11" s="184">
        <v>0</v>
      </c>
      <c r="AA11" s="184">
        <v>0</v>
      </c>
      <c r="AB11" s="185" t="s">
        <v>615</v>
      </c>
      <c r="AC11" s="185" t="s">
        <v>615</v>
      </c>
      <c r="AD11" s="186" t="s">
        <v>881</v>
      </c>
      <c r="AE11" s="186" t="s">
        <v>858</v>
      </c>
      <c r="AF11" s="187">
        <v>7</v>
      </c>
      <c r="AG11" s="187">
        <v>3</v>
      </c>
      <c r="AH11" s="187">
        <v>4</v>
      </c>
      <c r="AI11" s="188">
        <v>1</v>
      </c>
      <c r="AJ11" s="188" t="s">
        <v>615</v>
      </c>
      <c r="AK11" s="187" t="s">
        <v>1736</v>
      </c>
      <c r="AL11" s="87" t="s">
        <v>615</v>
      </c>
      <c r="AM11" s="189"/>
      <c r="AN11" s="187" t="s">
        <v>615</v>
      </c>
      <c r="AO11" s="13" t="s">
        <v>615</v>
      </c>
      <c r="AP11" s="187">
        <v>0</v>
      </c>
      <c r="AQ11" s="187">
        <v>0</v>
      </c>
      <c r="AR11" s="190">
        <v>0</v>
      </c>
      <c r="AS11" s="190">
        <v>0</v>
      </c>
      <c r="AT11" s="190">
        <v>0</v>
      </c>
      <c r="AU11" s="187">
        <v>0</v>
      </c>
      <c r="AV11" s="187">
        <v>0</v>
      </c>
      <c r="AW11" s="191"/>
      <c r="AX11" s="192"/>
      <c r="AY11" s="193">
        <v>42666</v>
      </c>
      <c r="AZ11" s="193"/>
      <c r="BA11" s="193"/>
      <c r="BB11" s="194"/>
      <c r="BC11" s="194"/>
      <c r="BD11" s="195"/>
      <c r="BE11" s="195" t="s">
        <v>532</v>
      </c>
      <c r="BF11" s="195"/>
      <c r="BG11" s="195">
        <v>40</v>
      </c>
      <c r="BH11" s="196" t="s">
        <v>547</v>
      </c>
      <c r="BI11" s="197">
        <v>1</v>
      </c>
      <c r="BJ11" s="198"/>
      <c r="BK11" s="199">
        <v>0</v>
      </c>
      <c r="BL11" s="13">
        <v>0</v>
      </c>
      <c r="BM11" s="13">
        <v>0</v>
      </c>
      <c r="BN11" s="13" t="s">
        <v>616</v>
      </c>
      <c r="BO11" s="13" t="s">
        <v>616</v>
      </c>
      <c r="BP11" s="200">
        <v>0</v>
      </c>
      <c r="BQ11" s="201"/>
      <c r="BR11" s="202"/>
      <c r="BS11" s="187">
        <v>1000000000</v>
      </c>
      <c r="BT11" s="203">
        <v>1</v>
      </c>
      <c r="BU11" s="204">
        <v>0</v>
      </c>
      <c r="BV11" s="203">
        <v>0</v>
      </c>
      <c r="BW11" s="205">
        <v>0</v>
      </c>
      <c r="BX11" s="205">
        <v>0</v>
      </c>
      <c r="BY11" s="205">
        <v>0</v>
      </c>
      <c r="BZ11" s="203">
        <v>0</v>
      </c>
      <c r="CA11" s="203">
        <v>0</v>
      </c>
      <c r="CB11" s="203">
        <v>1</v>
      </c>
      <c r="CC11" s="204">
        <v>0</v>
      </c>
      <c r="CD11" s="203">
        <v>0</v>
      </c>
      <c r="CE11" s="203">
        <v>0</v>
      </c>
      <c r="CF11" s="13">
        <v>0</v>
      </c>
      <c r="CG11" s="206">
        <v>0</v>
      </c>
      <c r="CH11" s="207">
        <v>0</v>
      </c>
      <c r="CI11" s="201"/>
      <c r="CJ11" s="208"/>
      <c r="CK11" s="209" t="s">
        <v>615</v>
      </c>
      <c r="CL11" s="210" t="s">
        <v>615</v>
      </c>
      <c r="CM11" s="207">
        <v>0</v>
      </c>
      <c r="CN11" s="207">
        <v>0</v>
      </c>
      <c r="CO11" s="204">
        <v>0</v>
      </c>
      <c r="CP11" s="204">
        <v>0</v>
      </c>
      <c r="CQ11" s="211"/>
      <c r="CR11" s="204">
        <v>1</v>
      </c>
      <c r="CS11" s="212">
        <v>42531</v>
      </c>
      <c r="CT11" s="212">
        <v>42780</v>
      </c>
      <c r="CU11" s="213">
        <v>42780</v>
      </c>
      <c r="CV11" s="214">
        <v>42829</v>
      </c>
      <c r="CW11" s="214" t="s">
        <v>615</v>
      </c>
      <c r="CX11" s="214" t="s">
        <v>615</v>
      </c>
      <c r="CY11" s="204">
        <v>0</v>
      </c>
      <c r="CZ11" s="204">
        <v>0.97959183673469385</v>
      </c>
      <c r="DA11" s="203">
        <v>0</v>
      </c>
      <c r="DB11" s="204">
        <v>0</v>
      </c>
      <c r="DC11" s="204">
        <v>0</v>
      </c>
      <c r="DD11" s="204">
        <v>0</v>
      </c>
      <c r="DE11" s="204">
        <v>0</v>
      </c>
      <c r="DF11" s="215">
        <v>0.97959183673469385</v>
      </c>
      <c r="DG11" s="13" t="s">
        <v>615</v>
      </c>
      <c r="DH11" s="86">
        <v>9</v>
      </c>
      <c r="DI11" s="86"/>
      <c r="DJ11" s="86">
        <v>270</v>
      </c>
      <c r="DK11" s="86" t="s">
        <v>1513</v>
      </c>
      <c r="DL11" s="86" t="e">
        <v>#N/A</v>
      </c>
      <c r="DM11" s="86">
        <v>157</v>
      </c>
      <c r="DN11" s="86" t="e">
        <v>#N/A</v>
      </c>
      <c r="DO11" s="86">
        <v>442</v>
      </c>
      <c r="DP11" s="86">
        <v>5</v>
      </c>
      <c r="DQ11" s="86">
        <v>49</v>
      </c>
      <c r="DR11" s="146">
        <v>1</v>
      </c>
      <c r="DS11" s="146">
        <v>1</v>
      </c>
      <c r="DT11" s="146">
        <v>1</v>
      </c>
      <c r="DU11" s="146">
        <v>1</v>
      </c>
      <c r="DV11" s="146">
        <v>1</v>
      </c>
      <c r="DW11" s="146">
        <v>1</v>
      </c>
      <c r="DX11" s="146">
        <v>1</v>
      </c>
      <c r="DY11" s="146">
        <v>1</v>
      </c>
      <c r="DZ11" s="146">
        <v>1</v>
      </c>
      <c r="EA11" s="146">
        <v>1</v>
      </c>
      <c r="EB11" s="146">
        <v>1</v>
      </c>
      <c r="EC11" s="146">
        <v>1</v>
      </c>
      <c r="ED11" s="146">
        <v>1</v>
      </c>
      <c r="EE11" s="146">
        <v>1</v>
      </c>
      <c r="EF11" s="146">
        <v>1</v>
      </c>
      <c r="EG11" s="146">
        <v>1</v>
      </c>
      <c r="EH11" s="146">
        <v>1</v>
      </c>
      <c r="EI11" s="146">
        <v>1</v>
      </c>
      <c r="EJ11" s="146">
        <v>1</v>
      </c>
      <c r="EK11" s="146">
        <v>1</v>
      </c>
      <c r="EL11" s="146">
        <v>1</v>
      </c>
      <c r="EM11" s="146">
        <v>1</v>
      </c>
      <c r="EN11" s="146">
        <v>1</v>
      </c>
      <c r="EO11" s="146">
        <v>1</v>
      </c>
      <c r="EP11" s="146">
        <v>1</v>
      </c>
      <c r="EQ11" s="146">
        <v>1</v>
      </c>
      <c r="ER11" s="146">
        <v>1</v>
      </c>
      <c r="ES11" s="146">
        <v>1</v>
      </c>
      <c r="ET11" s="146">
        <v>1</v>
      </c>
      <c r="EU11" s="146">
        <v>1</v>
      </c>
      <c r="EV11" s="146">
        <v>1</v>
      </c>
      <c r="EW11" s="146">
        <v>1</v>
      </c>
      <c r="EX11" s="146">
        <v>1</v>
      </c>
      <c r="EY11" s="146">
        <v>1</v>
      </c>
      <c r="EZ11" s="146">
        <v>1</v>
      </c>
      <c r="FA11" s="146">
        <v>1</v>
      </c>
      <c r="FB11" s="146">
        <v>1</v>
      </c>
      <c r="FC11" s="146">
        <v>1</v>
      </c>
      <c r="FD11" s="146">
        <v>1</v>
      </c>
      <c r="FE11" s="146">
        <v>1</v>
      </c>
      <c r="FF11" s="146">
        <v>1</v>
      </c>
      <c r="FG11" s="146">
        <v>1</v>
      </c>
      <c r="FH11" s="146">
        <v>1</v>
      </c>
      <c r="FI11" s="146">
        <v>1</v>
      </c>
      <c r="FJ11" s="146">
        <v>1</v>
      </c>
      <c r="FK11" s="146">
        <v>1</v>
      </c>
      <c r="FL11" s="146">
        <v>1</v>
      </c>
      <c r="FM11" s="146">
        <v>1</v>
      </c>
      <c r="FN11" s="146">
        <v>1</v>
      </c>
      <c r="FO11" s="146">
        <v>1</v>
      </c>
      <c r="FP11" s="146">
        <v>1</v>
      </c>
      <c r="FQ11" s="146">
        <v>1</v>
      </c>
      <c r="FR11" s="146">
        <v>1</v>
      </c>
      <c r="FS11" s="146">
        <v>1</v>
      </c>
      <c r="FT11" s="146">
        <v>1</v>
      </c>
      <c r="FU11" s="146">
        <v>1</v>
      </c>
      <c r="FV11" s="146">
        <v>1</v>
      </c>
      <c r="FW11" s="146">
        <v>1</v>
      </c>
      <c r="FX11" s="146">
        <v>1</v>
      </c>
      <c r="FY11" s="146">
        <v>1</v>
      </c>
      <c r="FZ11" s="146">
        <v>1</v>
      </c>
      <c r="GA11" s="146">
        <v>1</v>
      </c>
      <c r="GB11" s="146">
        <v>1</v>
      </c>
      <c r="GC11" s="146">
        <v>1</v>
      </c>
      <c r="GD11" s="146">
        <v>1</v>
      </c>
      <c r="GE11" s="146">
        <v>1</v>
      </c>
      <c r="GF11" s="146">
        <v>1</v>
      </c>
      <c r="GG11" s="146">
        <v>1</v>
      </c>
      <c r="GH11" s="146">
        <v>1</v>
      </c>
      <c r="GI11" s="146">
        <v>1</v>
      </c>
      <c r="GJ11" s="146">
        <v>1</v>
      </c>
      <c r="GK11" s="146">
        <v>1</v>
      </c>
      <c r="GL11" s="146">
        <v>1</v>
      </c>
      <c r="GM11" s="146">
        <v>1</v>
      </c>
      <c r="GN11" s="146">
        <v>1</v>
      </c>
      <c r="GO11" s="146">
        <v>1</v>
      </c>
      <c r="GP11" s="146">
        <v>1</v>
      </c>
      <c r="GQ11" s="146">
        <v>1</v>
      </c>
      <c r="GR11" s="146">
        <v>1</v>
      </c>
      <c r="GS11" s="146">
        <v>1</v>
      </c>
      <c r="GT11" s="146">
        <v>1</v>
      </c>
      <c r="GU11" s="146">
        <v>1</v>
      </c>
      <c r="GV11" s="146">
        <v>1</v>
      </c>
      <c r="GW11" s="146">
        <v>1</v>
      </c>
      <c r="GX11" s="146">
        <v>1</v>
      </c>
      <c r="GY11" s="146">
        <v>1</v>
      </c>
      <c r="GZ11" s="146">
        <v>1</v>
      </c>
      <c r="HA11" s="146">
        <v>1</v>
      </c>
      <c r="HB11" s="146">
        <v>1</v>
      </c>
      <c r="HC11" s="146">
        <v>1</v>
      </c>
      <c r="HD11" s="146">
        <v>1</v>
      </c>
      <c r="HE11" s="146">
        <v>1</v>
      </c>
      <c r="HF11" s="146">
        <v>1</v>
      </c>
      <c r="HG11" s="146">
        <v>1</v>
      </c>
      <c r="HH11" s="146">
        <v>1</v>
      </c>
      <c r="HI11" s="146">
        <v>1</v>
      </c>
      <c r="HJ11" s="146">
        <v>1</v>
      </c>
      <c r="HK11" s="146">
        <v>1</v>
      </c>
      <c r="HL11" s="146">
        <v>1</v>
      </c>
      <c r="HM11" s="146">
        <v>1</v>
      </c>
      <c r="HN11" s="146">
        <v>1</v>
      </c>
      <c r="HO11" s="146">
        <v>1</v>
      </c>
      <c r="HP11" s="146">
        <v>1</v>
      </c>
      <c r="HQ11" s="146">
        <v>1</v>
      </c>
      <c r="HR11" s="146">
        <v>1</v>
      </c>
      <c r="HS11" s="146">
        <v>1</v>
      </c>
      <c r="HT11" s="146">
        <v>1</v>
      </c>
      <c r="HU11" s="151"/>
      <c r="HV11" s="146">
        <v>1</v>
      </c>
      <c r="HW11" s="151"/>
      <c r="HX11" s="151"/>
      <c r="HY11" s="151"/>
      <c r="HZ11" s="151"/>
      <c r="IA11" s="151"/>
      <c r="IB11" s="151"/>
      <c r="IC11" s="151"/>
      <c r="ID11" s="151"/>
      <c r="IE11" s="151"/>
      <c r="IF11" s="151"/>
      <c r="IG11" s="151"/>
      <c r="IH11" s="151"/>
      <c r="II11" s="151"/>
      <c r="IJ11" s="151"/>
      <c r="IK11" s="151"/>
      <c r="IL11" s="151"/>
      <c r="IM11" s="151"/>
      <c r="IN11" s="151"/>
      <c r="IO11" s="151"/>
      <c r="IP11" s="151"/>
      <c r="IQ11" s="151"/>
      <c r="IR11" s="151"/>
      <c r="IS11" s="151"/>
      <c r="IT11" s="151"/>
      <c r="IU11" s="151"/>
      <c r="IV11" s="151"/>
      <c r="IW11" s="151"/>
      <c r="IX11" s="151"/>
      <c r="IY11" s="151"/>
      <c r="IZ11" s="151"/>
      <c r="JA11" s="151"/>
      <c r="JB11" s="151"/>
      <c r="JC11" s="151"/>
      <c r="JD11" s="151"/>
      <c r="JE11" s="151"/>
      <c r="JF11" s="151"/>
      <c r="JG11" s="151"/>
      <c r="JH11" s="151"/>
      <c r="JI11" s="151"/>
      <c r="JJ11" s="151"/>
      <c r="JK11" s="151"/>
      <c r="JL11" s="151"/>
      <c r="JM11" s="151"/>
      <c r="JN11" s="151"/>
      <c r="JO11" s="151"/>
      <c r="JP11" s="151"/>
      <c r="JQ11" s="151"/>
      <c r="JR11" s="151"/>
      <c r="JS11" s="151"/>
      <c r="JT11" s="151"/>
      <c r="JU11" s="151"/>
      <c r="JV11" s="151"/>
      <c r="JW11" s="151"/>
      <c r="JX11" s="151"/>
      <c r="JY11" s="151"/>
      <c r="JZ11" s="151"/>
      <c r="KA11" s="151"/>
      <c r="KB11" s="151"/>
      <c r="KC11" s="151"/>
      <c r="KD11" s="151"/>
      <c r="KE11" s="151"/>
      <c r="KF11" s="151"/>
      <c r="KG11" s="151"/>
      <c r="KH11" s="151"/>
      <c r="KI11" s="151"/>
      <c r="KJ11" s="151"/>
      <c r="KK11" s="151"/>
      <c r="KL11" s="151"/>
      <c r="KM11" s="151"/>
      <c r="KN11" s="151"/>
      <c r="KO11" s="151"/>
      <c r="KP11" s="151"/>
      <c r="KQ11" s="151"/>
      <c r="KR11" s="151"/>
      <c r="KS11" s="151"/>
      <c r="KT11" s="151"/>
      <c r="KU11" s="151"/>
      <c r="KV11" s="151"/>
      <c r="KW11" s="151"/>
      <c r="KX11" s="151"/>
      <c r="KY11" s="151"/>
      <c r="KZ11" s="151"/>
      <c r="LA11" s="151"/>
      <c r="LB11" s="151"/>
      <c r="LC11" s="151"/>
      <c r="LD11" s="151"/>
      <c r="LE11" s="151"/>
    </row>
    <row r="12" spans="1:317" x14ac:dyDescent="0.2">
      <c r="A12" s="179" t="s">
        <v>849</v>
      </c>
      <c r="B12" s="180" t="s">
        <v>911</v>
      </c>
      <c r="C12" s="181"/>
      <c r="D12" s="182">
        <v>0</v>
      </c>
      <c r="E12" s="182">
        <v>0</v>
      </c>
      <c r="F12" s="183" t="s">
        <v>1197</v>
      </c>
      <c r="G12" s="183">
        <v>0</v>
      </c>
      <c r="H12" s="183">
        <v>0</v>
      </c>
      <c r="I12" s="183">
        <v>0</v>
      </c>
      <c r="J12" s="183">
        <v>0</v>
      </c>
      <c r="K12" s="183" t="s">
        <v>1359</v>
      </c>
      <c r="L12" s="183">
        <v>0</v>
      </c>
      <c r="M12" s="183">
        <v>0</v>
      </c>
      <c r="N12" s="183" t="s">
        <v>881</v>
      </c>
      <c r="O12" s="183">
        <v>0</v>
      </c>
      <c r="P12" s="183">
        <v>0</v>
      </c>
      <c r="Q12" s="183"/>
      <c r="R12" s="183"/>
      <c r="S12" s="183"/>
      <c r="T12" s="183"/>
      <c r="U12" s="183"/>
      <c r="V12" s="183">
        <v>0</v>
      </c>
      <c r="W12" s="183">
        <v>0</v>
      </c>
      <c r="X12" s="183">
        <v>0</v>
      </c>
      <c r="Y12" s="184">
        <v>3.86</v>
      </c>
      <c r="Z12" s="184">
        <v>18.940000000000001</v>
      </c>
      <c r="AA12" s="184">
        <v>0</v>
      </c>
      <c r="AB12" s="185" t="s">
        <v>615</v>
      </c>
      <c r="AC12" s="185" t="s">
        <v>615</v>
      </c>
      <c r="AD12" s="186" t="s">
        <v>881</v>
      </c>
      <c r="AE12" s="186" t="s">
        <v>858</v>
      </c>
      <c r="AF12" s="187">
        <v>7</v>
      </c>
      <c r="AG12" s="187">
        <v>3</v>
      </c>
      <c r="AH12" s="187">
        <v>4</v>
      </c>
      <c r="AI12" s="188">
        <v>1</v>
      </c>
      <c r="AJ12" s="188" t="s">
        <v>617</v>
      </c>
      <c r="AK12" s="187" t="s">
        <v>1737</v>
      </c>
      <c r="AL12" s="87">
        <v>160</v>
      </c>
      <c r="AM12" s="189"/>
      <c r="AN12" s="187">
        <v>160</v>
      </c>
      <c r="AO12" s="13" t="s">
        <v>615</v>
      </c>
      <c r="AP12" s="187">
        <v>0</v>
      </c>
      <c r="AQ12" s="187">
        <v>0</v>
      </c>
      <c r="AR12" s="190">
        <v>0</v>
      </c>
      <c r="AS12" s="190">
        <v>0</v>
      </c>
      <c r="AT12" s="190">
        <v>0</v>
      </c>
      <c r="AU12" s="187">
        <v>2</v>
      </c>
      <c r="AV12" s="187">
        <v>0</v>
      </c>
      <c r="AW12" s="191"/>
      <c r="AX12" s="192"/>
      <c r="AY12" s="193">
        <v>42853</v>
      </c>
      <c r="AZ12" s="193"/>
      <c r="BA12" s="193"/>
      <c r="BB12" s="194"/>
      <c r="BC12" s="194"/>
      <c r="BD12" s="195"/>
      <c r="BE12" s="195" t="s">
        <v>532</v>
      </c>
      <c r="BF12" s="195"/>
      <c r="BG12" s="195">
        <v>32</v>
      </c>
      <c r="BH12" s="196" t="s">
        <v>547</v>
      </c>
      <c r="BI12" s="197">
        <v>1</v>
      </c>
      <c r="BJ12" s="198"/>
      <c r="BK12" s="199">
        <v>120</v>
      </c>
      <c r="BL12" s="13">
        <v>80</v>
      </c>
      <c r="BM12" s="13">
        <v>40</v>
      </c>
      <c r="BN12" s="13" t="s">
        <v>621</v>
      </c>
      <c r="BO12" s="13" t="s">
        <v>621</v>
      </c>
      <c r="BP12" s="200">
        <v>200</v>
      </c>
      <c r="BQ12" s="201"/>
      <c r="BR12" s="202"/>
      <c r="BS12" s="187">
        <v>1000000000</v>
      </c>
      <c r="BT12" s="203">
        <v>0</v>
      </c>
      <c r="BU12" s="204">
        <v>1</v>
      </c>
      <c r="BV12" s="203">
        <v>0</v>
      </c>
      <c r="BW12" s="205">
        <v>0</v>
      </c>
      <c r="BX12" s="205">
        <v>0</v>
      </c>
      <c r="BY12" s="205">
        <v>0</v>
      </c>
      <c r="BZ12" s="203">
        <v>0</v>
      </c>
      <c r="CA12" s="203">
        <v>0</v>
      </c>
      <c r="CB12" s="203">
        <v>0</v>
      </c>
      <c r="CC12" s="204">
        <v>1</v>
      </c>
      <c r="CD12" s="203">
        <v>0</v>
      </c>
      <c r="CE12" s="203">
        <v>0</v>
      </c>
      <c r="CF12" s="13">
        <v>120</v>
      </c>
      <c r="CG12" s="206">
        <v>128</v>
      </c>
      <c r="CH12" s="207">
        <v>69</v>
      </c>
      <c r="CI12" s="201"/>
      <c r="CJ12" s="208"/>
      <c r="CK12" s="209" t="s">
        <v>615</v>
      </c>
      <c r="CL12" s="210" t="s">
        <v>615</v>
      </c>
      <c r="CM12" s="207">
        <v>603.20000000000005</v>
      </c>
      <c r="CN12" s="207">
        <v>0</v>
      </c>
      <c r="CO12" s="204">
        <v>0</v>
      </c>
      <c r="CP12" s="204">
        <v>26.789045151739455</v>
      </c>
      <c r="CQ12" s="211"/>
      <c r="CR12" s="204">
        <v>1</v>
      </c>
      <c r="CS12" s="212">
        <v>42709</v>
      </c>
      <c r="CT12" s="212">
        <v>42780</v>
      </c>
      <c r="CU12" s="213">
        <v>42780</v>
      </c>
      <c r="CV12" s="214">
        <v>42829</v>
      </c>
      <c r="CW12" s="214" t="s">
        <v>615</v>
      </c>
      <c r="CX12" s="214" t="s">
        <v>615</v>
      </c>
      <c r="CY12" s="204">
        <v>0.72085745325971129</v>
      </c>
      <c r="CZ12" s="204">
        <v>0.97959183673469385</v>
      </c>
      <c r="DA12" s="203">
        <v>685</v>
      </c>
      <c r="DB12" s="204">
        <v>4.0816326530612242E-2</v>
      </c>
      <c r="DC12" s="204">
        <v>0.42857142857142855</v>
      </c>
      <c r="DD12" s="204">
        <v>0.51020408163265307</v>
      </c>
      <c r="DE12" s="204">
        <v>0</v>
      </c>
      <c r="DF12" s="215">
        <v>0</v>
      </c>
      <c r="DG12" s="13" t="s">
        <v>615</v>
      </c>
      <c r="DH12" s="86">
        <v>10</v>
      </c>
      <c r="DI12" s="86"/>
      <c r="DJ12" s="86">
        <v>269</v>
      </c>
      <c r="DK12" s="86" t="s">
        <v>1722</v>
      </c>
      <c r="DL12" s="86" t="e">
        <v>#N/A</v>
      </c>
      <c r="DM12" s="86" t="e">
        <v>#N/A</v>
      </c>
      <c r="DN12" s="86" t="e">
        <v>#N/A</v>
      </c>
      <c r="DO12" s="86">
        <v>440</v>
      </c>
      <c r="DP12" s="86">
        <v>5</v>
      </c>
      <c r="DQ12" s="86">
        <v>49</v>
      </c>
      <c r="DR12" s="166">
        <v>0</v>
      </c>
      <c r="DS12" s="166">
        <v>0</v>
      </c>
      <c r="DT12" s="166">
        <v>0</v>
      </c>
      <c r="DU12" s="166">
        <v>0</v>
      </c>
      <c r="DV12" s="166">
        <v>0</v>
      </c>
      <c r="DW12" s="166">
        <v>0</v>
      </c>
      <c r="DX12" s="166">
        <v>0</v>
      </c>
      <c r="DY12" s="166">
        <v>0</v>
      </c>
      <c r="DZ12" s="166">
        <v>0</v>
      </c>
      <c r="EA12" s="166">
        <v>0</v>
      </c>
      <c r="EB12" s="166">
        <v>0</v>
      </c>
      <c r="EC12" s="166">
        <v>0</v>
      </c>
      <c r="ED12" s="166">
        <v>0</v>
      </c>
      <c r="EE12" s="166">
        <v>0</v>
      </c>
      <c r="EF12" s="166">
        <v>0</v>
      </c>
      <c r="EG12" s="166">
        <v>0</v>
      </c>
      <c r="EH12" s="166">
        <v>0</v>
      </c>
      <c r="EI12" s="166">
        <v>0</v>
      </c>
      <c r="EJ12" s="166">
        <v>0</v>
      </c>
      <c r="EK12" s="166">
        <v>0</v>
      </c>
      <c r="EL12" s="166">
        <v>0</v>
      </c>
      <c r="EM12" s="166">
        <v>0</v>
      </c>
      <c r="EN12" s="166">
        <v>0</v>
      </c>
      <c r="EO12" s="166">
        <v>0</v>
      </c>
      <c r="EP12" s="166">
        <v>0</v>
      </c>
      <c r="EQ12" s="166">
        <v>0</v>
      </c>
      <c r="ER12" s="166">
        <v>0</v>
      </c>
      <c r="ES12" s="166">
        <v>0</v>
      </c>
      <c r="ET12" s="166">
        <v>0</v>
      </c>
      <c r="EU12" s="166">
        <v>0</v>
      </c>
      <c r="EV12" s="166">
        <v>0</v>
      </c>
      <c r="EW12" s="166">
        <v>0</v>
      </c>
      <c r="EX12" s="166">
        <v>0</v>
      </c>
      <c r="EY12" s="166">
        <v>0</v>
      </c>
      <c r="EZ12" s="166">
        <v>0</v>
      </c>
      <c r="FA12" s="166">
        <v>0</v>
      </c>
      <c r="FB12" s="166">
        <v>0</v>
      </c>
      <c r="FC12" s="166">
        <v>0</v>
      </c>
      <c r="FD12" s="166">
        <v>0</v>
      </c>
      <c r="FE12" s="166">
        <v>0</v>
      </c>
      <c r="FF12" s="166">
        <v>0</v>
      </c>
      <c r="FG12" s="166">
        <v>0</v>
      </c>
      <c r="FH12" s="166">
        <v>0</v>
      </c>
      <c r="FI12" s="166">
        <v>0</v>
      </c>
      <c r="FJ12" s="166">
        <v>0</v>
      </c>
      <c r="FK12" s="166">
        <v>0</v>
      </c>
      <c r="FL12" s="166">
        <v>0</v>
      </c>
      <c r="FM12" s="166">
        <v>0</v>
      </c>
      <c r="FN12" s="166">
        <v>0</v>
      </c>
      <c r="FO12" s="166">
        <v>0</v>
      </c>
      <c r="FP12" s="166">
        <v>0</v>
      </c>
      <c r="FQ12" s="166">
        <v>0</v>
      </c>
      <c r="FR12" s="166">
        <v>0</v>
      </c>
      <c r="FS12" s="166">
        <v>0</v>
      </c>
      <c r="FT12" s="166">
        <v>0</v>
      </c>
      <c r="FU12" s="165">
        <v>64</v>
      </c>
      <c r="FV12" s="165">
        <v>64</v>
      </c>
      <c r="FW12" s="165">
        <v>64</v>
      </c>
      <c r="FX12" s="165">
        <v>64</v>
      </c>
      <c r="FY12" s="165">
        <v>64</v>
      </c>
      <c r="FZ12" s="165">
        <v>64</v>
      </c>
      <c r="GA12" s="165">
        <v>64</v>
      </c>
      <c r="GB12" s="165">
        <v>64</v>
      </c>
      <c r="GC12" s="165">
        <v>44</v>
      </c>
      <c r="GD12" s="165">
        <v>44</v>
      </c>
      <c r="GE12" s="165">
        <v>44</v>
      </c>
      <c r="GF12" s="165">
        <v>44</v>
      </c>
      <c r="GG12" s="165">
        <v>44</v>
      </c>
      <c r="GH12" s="165">
        <v>44</v>
      </c>
      <c r="GI12" s="165">
        <v>44</v>
      </c>
      <c r="GJ12" s="165">
        <v>41</v>
      </c>
      <c r="GK12" s="165">
        <v>41</v>
      </c>
      <c r="GL12" s="165">
        <v>41</v>
      </c>
      <c r="GM12" s="165">
        <v>41</v>
      </c>
      <c r="GN12" s="165">
        <v>41</v>
      </c>
      <c r="GO12" s="165">
        <v>41</v>
      </c>
      <c r="GP12" s="165">
        <v>41</v>
      </c>
      <c r="GQ12" s="165">
        <v>41</v>
      </c>
      <c r="GR12" s="165">
        <v>41</v>
      </c>
      <c r="GS12" s="165">
        <v>41</v>
      </c>
      <c r="GT12" s="165">
        <v>41</v>
      </c>
      <c r="GU12" s="165">
        <v>41</v>
      </c>
      <c r="GV12" s="165">
        <v>21</v>
      </c>
      <c r="GW12" s="165">
        <v>21</v>
      </c>
      <c r="GX12" s="165">
        <v>21</v>
      </c>
      <c r="GY12" s="165">
        <v>21</v>
      </c>
      <c r="GZ12" s="165">
        <v>21</v>
      </c>
      <c r="HA12" s="165">
        <v>21</v>
      </c>
      <c r="HB12" s="165">
        <v>21</v>
      </c>
      <c r="HC12" s="165">
        <v>21</v>
      </c>
      <c r="HD12" s="165">
        <v>1</v>
      </c>
      <c r="HE12" s="165">
        <v>1</v>
      </c>
      <c r="HF12" s="165">
        <v>1</v>
      </c>
      <c r="HG12" s="165">
        <v>1</v>
      </c>
      <c r="HH12" s="165">
        <v>1</v>
      </c>
      <c r="HI12" s="165">
        <v>1</v>
      </c>
      <c r="HJ12" s="165">
        <v>1</v>
      </c>
      <c r="HK12" s="165">
        <v>1</v>
      </c>
      <c r="HL12" s="165">
        <v>1</v>
      </c>
      <c r="HM12" s="165">
        <v>1</v>
      </c>
      <c r="HN12" s="165">
        <v>1</v>
      </c>
      <c r="HO12" s="168">
        <v>63</v>
      </c>
      <c r="HP12" s="168">
        <v>63</v>
      </c>
      <c r="HQ12" s="168">
        <v>63</v>
      </c>
      <c r="HR12" s="165">
        <v>28</v>
      </c>
      <c r="HS12" s="165">
        <v>28</v>
      </c>
      <c r="HT12" s="166">
        <v>0</v>
      </c>
      <c r="HU12" s="216"/>
      <c r="HV12" s="166">
        <v>0</v>
      </c>
      <c r="HW12" s="216"/>
      <c r="HX12" s="216"/>
      <c r="HY12" s="216"/>
      <c r="HZ12" s="216"/>
      <c r="IA12" s="216"/>
      <c r="IB12" s="216"/>
      <c r="IC12" s="216"/>
      <c r="ID12" s="216"/>
      <c r="IE12" s="216"/>
      <c r="IF12" s="216"/>
      <c r="IG12" s="216"/>
      <c r="IH12" s="216"/>
      <c r="II12" s="216"/>
      <c r="IJ12" s="216"/>
      <c r="IK12" s="216"/>
      <c r="IL12" s="216"/>
      <c r="IM12" s="216"/>
      <c r="IN12" s="216"/>
      <c r="IO12" s="216"/>
      <c r="IP12" s="216"/>
      <c r="IQ12" s="216"/>
      <c r="IR12" s="216"/>
      <c r="IS12" s="216"/>
      <c r="IT12" s="216"/>
      <c r="IU12" s="216"/>
      <c r="IV12" s="216"/>
      <c r="IW12" s="216"/>
      <c r="IX12" s="216"/>
      <c r="IY12" s="216"/>
      <c r="IZ12" s="216"/>
      <c r="JA12" s="216"/>
      <c r="JB12" s="216"/>
      <c r="JC12" s="216"/>
      <c r="JD12" s="216"/>
      <c r="JE12" s="216"/>
      <c r="JF12" s="216"/>
      <c r="JG12" s="216"/>
      <c r="JH12" s="216"/>
      <c r="JI12" s="216"/>
      <c r="JJ12" s="216"/>
      <c r="JK12" s="216"/>
      <c r="JL12" s="216"/>
      <c r="JM12" s="216"/>
      <c r="JN12" s="216"/>
      <c r="JO12" s="216"/>
      <c r="JP12" s="216"/>
      <c r="JQ12" s="216"/>
      <c r="JR12" s="216"/>
      <c r="JS12" s="216"/>
      <c r="JT12" s="216"/>
      <c r="JU12" s="216"/>
      <c r="JV12" s="216"/>
      <c r="JW12" s="216"/>
      <c r="JX12" s="216"/>
      <c r="JY12" s="216"/>
      <c r="JZ12" s="216"/>
      <c r="KA12" s="216"/>
      <c r="KB12" s="216"/>
      <c r="KC12" s="216"/>
      <c r="KD12" s="216"/>
      <c r="KE12" s="216"/>
      <c r="KF12" s="216"/>
      <c r="KG12" s="216"/>
      <c r="KH12" s="216"/>
      <c r="KI12" s="216"/>
      <c r="KJ12" s="216"/>
      <c r="KK12" s="216"/>
      <c r="KL12" s="216"/>
      <c r="KM12" s="216"/>
      <c r="KN12" s="216"/>
      <c r="KO12" s="216"/>
      <c r="KP12" s="216"/>
      <c r="KQ12" s="216"/>
      <c r="KR12" s="216"/>
      <c r="KS12" s="216"/>
      <c r="KT12" s="216"/>
      <c r="KU12" s="216"/>
      <c r="KV12" s="216"/>
      <c r="KW12" s="216"/>
      <c r="KX12" s="216"/>
      <c r="KY12" s="216"/>
      <c r="KZ12" s="216"/>
      <c r="LA12" s="216"/>
      <c r="LB12" s="216"/>
      <c r="LC12" s="216"/>
      <c r="LD12" s="216"/>
      <c r="LE12" s="216"/>
    </row>
    <row r="13" spans="1:317" x14ac:dyDescent="0.2">
      <c r="A13" s="179" t="s">
        <v>849</v>
      </c>
      <c r="B13" s="180" t="s">
        <v>912</v>
      </c>
      <c r="C13" s="181"/>
      <c r="D13" s="182">
        <v>0</v>
      </c>
      <c r="E13" s="182">
        <v>0</v>
      </c>
      <c r="F13" s="183" t="s">
        <v>1198</v>
      </c>
      <c r="G13" s="183">
        <v>0</v>
      </c>
      <c r="H13" s="183">
        <v>0</v>
      </c>
      <c r="I13" s="183">
        <v>0</v>
      </c>
      <c r="J13" s="183">
        <v>0</v>
      </c>
      <c r="K13" s="183" t="s">
        <v>1360</v>
      </c>
      <c r="L13" s="183">
        <v>0</v>
      </c>
      <c r="M13" s="183">
        <v>0</v>
      </c>
      <c r="N13" s="183" t="s">
        <v>881</v>
      </c>
      <c r="O13" s="183">
        <v>0</v>
      </c>
      <c r="P13" s="183">
        <v>0</v>
      </c>
      <c r="Q13" s="183"/>
      <c r="R13" s="183"/>
      <c r="S13" s="183"/>
      <c r="T13" s="183"/>
      <c r="U13" s="183"/>
      <c r="V13" s="183">
        <v>0</v>
      </c>
      <c r="W13" s="183">
        <v>0</v>
      </c>
      <c r="X13" s="183">
        <v>0</v>
      </c>
      <c r="Y13" s="184">
        <v>7.47</v>
      </c>
      <c r="Z13" s="184">
        <v>30.22</v>
      </c>
      <c r="AA13" s="184">
        <v>0</v>
      </c>
      <c r="AB13" s="185" t="s">
        <v>615</v>
      </c>
      <c r="AC13" s="185" t="s">
        <v>615</v>
      </c>
      <c r="AD13" s="186" t="s">
        <v>881</v>
      </c>
      <c r="AE13" s="186" t="s">
        <v>858</v>
      </c>
      <c r="AF13" s="187">
        <v>7</v>
      </c>
      <c r="AG13" s="187">
        <v>3</v>
      </c>
      <c r="AH13" s="187">
        <v>4</v>
      </c>
      <c r="AI13" s="188">
        <v>1</v>
      </c>
      <c r="AJ13" s="188" t="s">
        <v>617</v>
      </c>
      <c r="AK13" s="187" t="s">
        <v>1737</v>
      </c>
      <c r="AL13" s="87">
        <v>177</v>
      </c>
      <c r="AM13" s="189"/>
      <c r="AN13" s="187">
        <v>177</v>
      </c>
      <c r="AO13" s="13" t="s">
        <v>615</v>
      </c>
      <c r="AP13" s="187">
        <v>0</v>
      </c>
      <c r="AQ13" s="187">
        <v>0</v>
      </c>
      <c r="AR13" s="190">
        <v>0</v>
      </c>
      <c r="AS13" s="190">
        <v>0</v>
      </c>
      <c r="AT13" s="190">
        <v>0</v>
      </c>
      <c r="AU13" s="187">
        <v>23</v>
      </c>
      <c r="AV13" s="187">
        <v>0</v>
      </c>
      <c r="AW13" s="191"/>
      <c r="AX13" s="192"/>
      <c r="AY13" s="193">
        <v>42666</v>
      </c>
      <c r="AZ13" s="193"/>
      <c r="BA13" s="193"/>
      <c r="BB13" s="194"/>
      <c r="BC13" s="194"/>
      <c r="BD13" s="195"/>
      <c r="BE13" s="195" t="s">
        <v>532</v>
      </c>
      <c r="BF13" s="195"/>
      <c r="BG13" s="195">
        <v>28</v>
      </c>
      <c r="BH13" s="196" t="s">
        <v>547</v>
      </c>
      <c r="BI13" s="197">
        <v>1</v>
      </c>
      <c r="BJ13" s="198"/>
      <c r="BK13" s="199">
        <v>133</v>
      </c>
      <c r="BL13" s="13">
        <v>88</v>
      </c>
      <c r="BM13" s="13">
        <v>44</v>
      </c>
      <c r="BN13" s="13" t="s">
        <v>621</v>
      </c>
      <c r="BO13" s="13" t="s">
        <v>621</v>
      </c>
      <c r="BP13" s="200">
        <v>100</v>
      </c>
      <c r="BQ13" s="201"/>
      <c r="BR13" s="202"/>
      <c r="BS13" s="187">
        <v>1000000000</v>
      </c>
      <c r="BT13" s="203">
        <v>0</v>
      </c>
      <c r="BU13" s="204">
        <v>1</v>
      </c>
      <c r="BV13" s="203">
        <v>0</v>
      </c>
      <c r="BW13" s="205">
        <v>0</v>
      </c>
      <c r="BX13" s="205">
        <v>0</v>
      </c>
      <c r="BY13" s="205">
        <v>0</v>
      </c>
      <c r="BZ13" s="203">
        <v>0</v>
      </c>
      <c r="CA13" s="203">
        <v>0</v>
      </c>
      <c r="CB13" s="203">
        <v>0</v>
      </c>
      <c r="CC13" s="204">
        <v>1</v>
      </c>
      <c r="CD13" s="203">
        <v>0</v>
      </c>
      <c r="CE13" s="203">
        <v>0</v>
      </c>
      <c r="CF13" s="13">
        <v>133</v>
      </c>
      <c r="CG13" s="206">
        <v>140</v>
      </c>
      <c r="CH13" s="207">
        <v>76</v>
      </c>
      <c r="CI13" s="201"/>
      <c r="CJ13" s="208"/>
      <c r="CK13" s="209" t="s">
        <v>615</v>
      </c>
      <c r="CL13" s="210" t="s">
        <v>615</v>
      </c>
      <c r="CM13" s="207">
        <v>1001</v>
      </c>
      <c r="CN13" s="207">
        <v>0</v>
      </c>
      <c r="CO13" s="204">
        <v>0</v>
      </c>
      <c r="CP13" s="204">
        <v>20.883534136546185</v>
      </c>
      <c r="CQ13" s="211"/>
      <c r="CR13" s="204">
        <v>1</v>
      </c>
      <c r="CS13" s="212">
        <v>42709</v>
      </c>
      <c r="CT13" s="212">
        <v>42780</v>
      </c>
      <c r="CU13" s="213">
        <v>42780</v>
      </c>
      <c r="CV13" s="214">
        <v>42829</v>
      </c>
      <c r="CW13" s="214" t="s">
        <v>615</v>
      </c>
      <c r="CX13" s="214" t="s">
        <v>615</v>
      </c>
      <c r="CY13" s="204">
        <v>3.2971895830264644</v>
      </c>
      <c r="CZ13" s="204">
        <v>0.97959183673469385</v>
      </c>
      <c r="DA13" s="203">
        <v>1982</v>
      </c>
      <c r="DB13" s="204">
        <v>0.81632653061224492</v>
      </c>
      <c r="DC13" s="204">
        <v>0.16326530612244897</v>
      </c>
      <c r="DD13" s="204">
        <v>0</v>
      </c>
      <c r="DE13" s="204">
        <v>0</v>
      </c>
      <c r="DF13" s="215">
        <v>0</v>
      </c>
      <c r="DG13" s="13" t="s">
        <v>615</v>
      </c>
      <c r="DH13" s="86">
        <v>11</v>
      </c>
      <c r="DI13" s="86"/>
      <c r="DJ13" s="86">
        <v>268</v>
      </c>
      <c r="DK13" s="86" t="s">
        <v>1721</v>
      </c>
      <c r="DL13" s="86" t="e">
        <v>#N/A</v>
      </c>
      <c r="DM13" s="86" t="e">
        <v>#N/A</v>
      </c>
      <c r="DN13" s="86" t="e">
        <v>#N/A</v>
      </c>
      <c r="DO13" s="86">
        <v>439</v>
      </c>
      <c r="DP13" s="86">
        <v>5</v>
      </c>
      <c r="DQ13" s="86">
        <v>49</v>
      </c>
      <c r="DR13" s="160">
        <v>0</v>
      </c>
      <c r="DS13" s="160">
        <v>0</v>
      </c>
      <c r="DT13" s="160">
        <v>0</v>
      </c>
      <c r="DU13" s="160">
        <v>0</v>
      </c>
      <c r="DV13" s="160">
        <v>0</v>
      </c>
      <c r="DW13" s="160">
        <v>0</v>
      </c>
      <c r="DX13" s="160">
        <v>0</v>
      </c>
      <c r="DY13" s="160">
        <v>0</v>
      </c>
      <c r="DZ13" s="160">
        <v>0</v>
      </c>
      <c r="EA13" s="160">
        <v>0</v>
      </c>
      <c r="EB13" s="160">
        <v>0</v>
      </c>
      <c r="EC13" s="160">
        <v>0</v>
      </c>
      <c r="ED13" s="160">
        <v>0</v>
      </c>
      <c r="EE13" s="160">
        <v>0</v>
      </c>
      <c r="EF13" s="160">
        <v>0</v>
      </c>
      <c r="EG13" s="160">
        <v>0</v>
      </c>
      <c r="EH13" s="160">
        <v>0</v>
      </c>
      <c r="EI13" s="160">
        <v>0</v>
      </c>
      <c r="EJ13" s="160">
        <v>0</v>
      </c>
      <c r="EK13" s="160">
        <v>0</v>
      </c>
      <c r="EL13" s="160">
        <v>0</v>
      </c>
      <c r="EM13" s="160">
        <v>0</v>
      </c>
      <c r="EN13" s="160">
        <v>0</v>
      </c>
      <c r="EO13" s="160">
        <v>0</v>
      </c>
      <c r="EP13" s="160">
        <v>0</v>
      </c>
      <c r="EQ13" s="160">
        <v>0</v>
      </c>
      <c r="ER13" s="160">
        <v>0</v>
      </c>
      <c r="ES13" s="160">
        <v>0</v>
      </c>
      <c r="ET13" s="160">
        <v>0</v>
      </c>
      <c r="EU13" s="160">
        <v>0</v>
      </c>
      <c r="EV13" s="160">
        <v>0</v>
      </c>
      <c r="EW13" s="160">
        <v>0</v>
      </c>
      <c r="EX13" s="160">
        <v>0</v>
      </c>
      <c r="EY13" s="160">
        <v>0</v>
      </c>
      <c r="EZ13" s="160">
        <v>0</v>
      </c>
      <c r="FA13" s="160">
        <v>0</v>
      </c>
      <c r="FB13" s="160">
        <v>0</v>
      </c>
      <c r="FC13" s="160">
        <v>0</v>
      </c>
      <c r="FD13" s="160">
        <v>0</v>
      </c>
      <c r="FE13" s="160">
        <v>0</v>
      </c>
      <c r="FF13" s="160">
        <v>0</v>
      </c>
      <c r="FG13" s="160">
        <v>0</v>
      </c>
      <c r="FH13" s="160">
        <v>0</v>
      </c>
      <c r="FI13" s="160">
        <v>0</v>
      </c>
      <c r="FJ13" s="160">
        <v>0</v>
      </c>
      <c r="FK13" s="160">
        <v>0</v>
      </c>
      <c r="FL13" s="160">
        <v>0</v>
      </c>
      <c r="FM13" s="160">
        <v>0</v>
      </c>
      <c r="FN13" s="160">
        <v>0</v>
      </c>
      <c r="FO13" s="160">
        <v>0</v>
      </c>
      <c r="FP13" s="160">
        <v>0</v>
      </c>
      <c r="FQ13" s="160">
        <v>0</v>
      </c>
      <c r="FR13" s="160">
        <v>0</v>
      </c>
      <c r="FS13" s="160">
        <v>0</v>
      </c>
      <c r="FT13" s="160">
        <v>0</v>
      </c>
      <c r="FU13" s="140">
        <v>6</v>
      </c>
      <c r="FV13" s="140">
        <v>6</v>
      </c>
      <c r="FW13" s="140">
        <v>6</v>
      </c>
      <c r="FX13" s="140">
        <v>6</v>
      </c>
      <c r="FY13" s="140">
        <v>6</v>
      </c>
      <c r="FZ13" s="140">
        <v>6</v>
      </c>
      <c r="GA13" s="140">
        <v>6</v>
      </c>
      <c r="GB13" s="140">
        <v>6</v>
      </c>
      <c r="GC13" s="160">
        <v>0</v>
      </c>
      <c r="GD13" s="160">
        <v>0</v>
      </c>
      <c r="GE13" s="160">
        <v>0</v>
      </c>
      <c r="GF13" s="160">
        <v>0</v>
      </c>
      <c r="GG13" s="160">
        <v>0</v>
      </c>
      <c r="GH13" s="160">
        <v>0</v>
      </c>
      <c r="GI13" s="160">
        <v>0</v>
      </c>
      <c r="GJ13" s="160">
        <v>0</v>
      </c>
      <c r="GK13" s="160">
        <v>0</v>
      </c>
      <c r="GL13" s="160">
        <v>0</v>
      </c>
      <c r="GM13" s="160">
        <v>0</v>
      </c>
      <c r="GN13" s="160">
        <v>0</v>
      </c>
      <c r="GO13" s="160">
        <v>0</v>
      </c>
      <c r="GP13" s="160">
        <v>0</v>
      </c>
      <c r="GQ13" s="160">
        <v>0</v>
      </c>
      <c r="GR13" s="160">
        <v>0</v>
      </c>
      <c r="GS13" s="160">
        <v>0</v>
      </c>
      <c r="GT13" s="160">
        <v>0</v>
      </c>
      <c r="GU13" s="160">
        <v>0</v>
      </c>
      <c r="GV13" s="160">
        <v>0</v>
      </c>
      <c r="GW13" s="160">
        <v>0</v>
      </c>
      <c r="GX13" s="160">
        <v>0</v>
      </c>
      <c r="GY13" s="160">
        <v>0</v>
      </c>
      <c r="GZ13" s="160">
        <v>0</v>
      </c>
      <c r="HA13" s="160">
        <v>0</v>
      </c>
      <c r="HB13" s="160">
        <v>0</v>
      </c>
      <c r="HC13" s="160">
        <v>0</v>
      </c>
      <c r="HD13" s="160">
        <v>0</v>
      </c>
      <c r="HE13" s="160">
        <v>0</v>
      </c>
      <c r="HF13" s="160">
        <v>0</v>
      </c>
      <c r="HG13" s="160">
        <v>0</v>
      </c>
      <c r="HH13" s="160">
        <v>0</v>
      </c>
      <c r="HI13" s="160">
        <v>0</v>
      </c>
      <c r="HJ13" s="160">
        <v>0</v>
      </c>
      <c r="HK13" s="160">
        <v>0</v>
      </c>
      <c r="HL13" s="160">
        <v>0</v>
      </c>
      <c r="HM13" s="160">
        <v>0</v>
      </c>
      <c r="HN13" s="160">
        <v>0</v>
      </c>
      <c r="HO13" s="140">
        <v>44</v>
      </c>
      <c r="HP13" s="140">
        <v>32</v>
      </c>
      <c r="HQ13" s="140">
        <v>32</v>
      </c>
      <c r="HR13" s="140">
        <v>2</v>
      </c>
      <c r="HS13" s="140">
        <v>2</v>
      </c>
      <c r="HT13" s="160">
        <v>0</v>
      </c>
      <c r="HU13" s="151"/>
      <c r="HV13" s="160">
        <v>0</v>
      </c>
      <c r="HW13" s="151"/>
      <c r="HX13" s="151"/>
      <c r="HY13" s="151"/>
      <c r="HZ13" s="151"/>
      <c r="IA13" s="151"/>
      <c r="IB13" s="151"/>
      <c r="IC13" s="151"/>
      <c r="ID13" s="151"/>
      <c r="IE13" s="151"/>
      <c r="IF13" s="151"/>
      <c r="IG13" s="151"/>
      <c r="IH13" s="151"/>
      <c r="II13" s="151"/>
      <c r="IJ13" s="151"/>
      <c r="IK13" s="151"/>
      <c r="IL13" s="151"/>
      <c r="IM13" s="151"/>
      <c r="IN13" s="151"/>
      <c r="IO13" s="151"/>
      <c r="IP13" s="151"/>
      <c r="IQ13" s="151"/>
      <c r="IR13" s="151"/>
      <c r="IS13" s="151"/>
      <c r="IT13" s="151"/>
      <c r="IU13" s="151"/>
      <c r="IV13" s="151"/>
      <c r="IW13" s="151"/>
      <c r="IX13" s="151"/>
      <c r="IY13" s="151"/>
      <c r="IZ13" s="151"/>
      <c r="JA13" s="151"/>
      <c r="JB13" s="151"/>
      <c r="JC13" s="151"/>
      <c r="JD13" s="151"/>
      <c r="JE13" s="151"/>
      <c r="JF13" s="151"/>
      <c r="JG13" s="151"/>
      <c r="JH13" s="151"/>
      <c r="JI13" s="151"/>
      <c r="JJ13" s="151"/>
      <c r="JK13" s="151"/>
      <c r="JL13" s="151"/>
      <c r="JM13" s="151"/>
      <c r="JN13" s="151"/>
      <c r="JO13" s="151"/>
      <c r="JP13" s="151"/>
      <c r="JQ13" s="151"/>
      <c r="JR13" s="151"/>
      <c r="JS13" s="151"/>
      <c r="JT13" s="151"/>
      <c r="JU13" s="151"/>
      <c r="JV13" s="151"/>
      <c r="JW13" s="151"/>
      <c r="JX13" s="151"/>
      <c r="JY13" s="151"/>
      <c r="JZ13" s="151"/>
      <c r="KA13" s="151"/>
      <c r="KB13" s="151"/>
      <c r="KC13" s="151"/>
      <c r="KD13" s="151"/>
      <c r="KE13" s="151"/>
      <c r="KF13" s="151"/>
      <c r="KG13" s="151"/>
      <c r="KH13" s="151"/>
      <c r="KI13" s="151"/>
      <c r="KJ13" s="151"/>
      <c r="KK13" s="151"/>
      <c r="KL13" s="151"/>
      <c r="KM13" s="151"/>
      <c r="KN13" s="151"/>
      <c r="KO13" s="151"/>
      <c r="KP13" s="151"/>
      <c r="KQ13" s="151"/>
      <c r="KR13" s="151"/>
      <c r="KS13" s="151"/>
      <c r="KT13" s="151"/>
      <c r="KU13" s="151"/>
      <c r="KV13" s="151"/>
      <c r="KW13" s="151"/>
      <c r="KX13" s="151"/>
      <c r="KY13" s="151"/>
      <c r="KZ13" s="151"/>
      <c r="LA13" s="151"/>
      <c r="LB13" s="151"/>
      <c r="LC13" s="151"/>
      <c r="LD13" s="151"/>
      <c r="LE13" s="151"/>
    </row>
    <row r="14" spans="1:317" x14ac:dyDescent="0.2">
      <c r="A14" s="179" t="s">
        <v>849</v>
      </c>
      <c r="B14" s="180" t="s">
        <v>913</v>
      </c>
      <c r="C14" s="181"/>
      <c r="D14" s="182">
        <v>0</v>
      </c>
      <c r="E14" s="182">
        <v>0</v>
      </c>
      <c r="F14" s="183" t="s">
        <v>1199</v>
      </c>
      <c r="G14" s="183">
        <v>0</v>
      </c>
      <c r="H14" s="183">
        <v>0</v>
      </c>
      <c r="I14" s="183">
        <v>0</v>
      </c>
      <c r="J14" s="183">
        <v>0</v>
      </c>
      <c r="K14" s="183" t="s">
        <v>1360</v>
      </c>
      <c r="L14" s="183">
        <v>0</v>
      </c>
      <c r="M14" s="183">
        <v>0</v>
      </c>
      <c r="N14" s="183" t="s">
        <v>881</v>
      </c>
      <c r="O14" s="183">
        <v>0</v>
      </c>
      <c r="P14" s="183">
        <v>0</v>
      </c>
      <c r="Q14" s="183"/>
      <c r="R14" s="183"/>
      <c r="S14" s="183"/>
      <c r="T14" s="183"/>
      <c r="U14" s="183"/>
      <c r="V14" s="183">
        <v>0</v>
      </c>
      <c r="W14" s="183">
        <v>0</v>
      </c>
      <c r="X14" s="183">
        <v>0</v>
      </c>
      <c r="Y14" s="184">
        <v>7.22</v>
      </c>
      <c r="Z14" s="184">
        <v>28.22</v>
      </c>
      <c r="AA14" s="184">
        <v>0</v>
      </c>
      <c r="AB14" s="185" t="s">
        <v>615</v>
      </c>
      <c r="AC14" s="185" t="s">
        <v>615</v>
      </c>
      <c r="AD14" s="186" t="s">
        <v>881</v>
      </c>
      <c r="AE14" s="186" t="s">
        <v>858</v>
      </c>
      <c r="AF14" s="187">
        <v>7</v>
      </c>
      <c r="AG14" s="187">
        <v>3</v>
      </c>
      <c r="AH14" s="187">
        <v>4</v>
      </c>
      <c r="AI14" s="188">
        <v>1</v>
      </c>
      <c r="AJ14" s="188" t="s">
        <v>617</v>
      </c>
      <c r="AK14" s="187" t="s">
        <v>1733</v>
      </c>
      <c r="AL14" s="87">
        <v>373</v>
      </c>
      <c r="AM14" s="189"/>
      <c r="AN14" s="187">
        <v>373</v>
      </c>
      <c r="AO14" s="13" t="s">
        <v>615</v>
      </c>
      <c r="AP14" s="187">
        <v>0</v>
      </c>
      <c r="AQ14" s="187">
        <v>0</v>
      </c>
      <c r="AR14" s="190">
        <v>0</v>
      </c>
      <c r="AS14" s="190">
        <v>0</v>
      </c>
      <c r="AT14" s="190">
        <v>0</v>
      </c>
      <c r="AU14" s="187">
        <v>12</v>
      </c>
      <c r="AV14" s="187">
        <v>0</v>
      </c>
      <c r="AW14" s="191"/>
      <c r="AX14" s="192"/>
      <c r="AY14" s="193">
        <v>42666</v>
      </c>
      <c r="AZ14" s="193"/>
      <c r="BA14" s="193"/>
      <c r="BB14" s="194"/>
      <c r="BC14" s="194"/>
      <c r="BD14" s="195"/>
      <c r="BE14" s="195" t="s">
        <v>532</v>
      </c>
      <c r="BF14" s="195"/>
      <c r="BG14" s="195">
        <v>30</v>
      </c>
      <c r="BH14" s="196" t="s">
        <v>547</v>
      </c>
      <c r="BI14" s="197">
        <v>1</v>
      </c>
      <c r="BJ14" s="198"/>
      <c r="BK14" s="199">
        <v>280</v>
      </c>
      <c r="BL14" s="13">
        <v>186</v>
      </c>
      <c r="BM14" s="13">
        <v>92</v>
      </c>
      <c r="BN14" s="13" t="s">
        <v>621</v>
      </c>
      <c r="BO14" s="13" t="s">
        <v>621</v>
      </c>
      <c r="BP14" s="200">
        <v>210</v>
      </c>
      <c r="BQ14" s="201"/>
      <c r="BR14" s="202"/>
      <c r="BS14" s="187">
        <v>1000000000</v>
      </c>
      <c r="BT14" s="203">
        <v>0</v>
      </c>
      <c r="BU14" s="204">
        <v>1</v>
      </c>
      <c r="BV14" s="203">
        <v>0</v>
      </c>
      <c r="BW14" s="205">
        <v>0</v>
      </c>
      <c r="BX14" s="205">
        <v>0</v>
      </c>
      <c r="BY14" s="205">
        <v>0</v>
      </c>
      <c r="BZ14" s="203">
        <v>0</v>
      </c>
      <c r="CA14" s="203">
        <v>0</v>
      </c>
      <c r="CB14" s="203">
        <v>0</v>
      </c>
      <c r="CC14" s="204">
        <v>1</v>
      </c>
      <c r="CD14" s="203">
        <v>0</v>
      </c>
      <c r="CE14" s="203">
        <v>0</v>
      </c>
      <c r="CF14" s="13">
        <v>280</v>
      </c>
      <c r="CG14" s="206">
        <v>270</v>
      </c>
      <c r="CH14" s="207">
        <v>160</v>
      </c>
      <c r="CI14" s="201"/>
      <c r="CJ14" s="208"/>
      <c r="CK14" s="209" t="s">
        <v>615</v>
      </c>
      <c r="CL14" s="210" t="s">
        <v>615</v>
      </c>
      <c r="CM14" s="207">
        <v>1932</v>
      </c>
      <c r="CN14" s="207">
        <v>0</v>
      </c>
      <c r="CO14" s="204">
        <v>0</v>
      </c>
      <c r="CP14" s="204">
        <v>19.94459833795014</v>
      </c>
      <c r="CQ14" s="211"/>
      <c r="CR14" s="204">
        <v>1</v>
      </c>
      <c r="CS14" s="212">
        <v>42592</v>
      </c>
      <c r="CT14" s="212">
        <v>42780</v>
      </c>
      <c r="CU14" s="213">
        <v>42780</v>
      </c>
      <c r="CV14" s="214">
        <v>42829</v>
      </c>
      <c r="CW14" s="214" t="s">
        <v>615</v>
      </c>
      <c r="CX14" s="214" t="s">
        <v>615</v>
      </c>
      <c r="CY14" s="204">
        <v>1.2380059771931859</v>
      </c>
      <c r="CZ14" s="204">
        <v>0.97959183673469385</v>
      </c>
      <c r="DA14" s="203">
        <v>3486</v>
      </c>
      <c r="DB14" s="204">
        <v>0.24489795918367346</v>
      </c>
      <c r="DC14" s="204">
        <v>0.73469387755102045</v>
      </c>
      <c r="DD14" s="204">
        <v>0</v>
      </c>
      <c r="DE14" s="204">
        <v>0</v>
      </c>
      <c r="DF14" s="215">
        <v>0</v>
      </c>
      <c r="DG14" s="13" t="s">
        <v>615</v>
      </c>
      <c r="DH14" s="86">
        <v>12</v>
      </c>
      <c r="DI14" s="86"/>
      <c r="DJ14" s="86">
        <v>267</v>
      </c>
      <c r="DK14" s="86" t="s">
        <v>1720</v>
      </c>
      <c r="DL14" s="86" t="e">
        <v>#N/A</v>
      </c>
      <c r="DM14" s="86" t="e">
        <v>#N/A</v>
      </c>
      <c r="DN14" s="86" t="e">
        <v>#N/A</v>
      </c>
      <c r="DO14" s="86">
        <v>438</v>
      </c>
      <c r="DP14" s="86">
        <v>5</v>
      </c>
      <c r="DQ14" s="86">
        <v>49</v>
      </c>
      <c r="DR14" s="166">
        <v>0</v>
      </c>
      <c r="DS14" s="166">
        <v>0</v>
      </c>
      <c r="DT14" s="166">
        <v>0</v>
      </c>
      <c r="DU14" s="166">
        <v>0</v>
      </c>
      <c r="DV14" s="166">
        <v>0</v>
      </c>
      <c r="DW14" s="166">
        <v>0</v>
      </c>
      <c r="DX14" s="166">
        <v>0</v>
      </c>
      <c r="DY14" s="166">
        <v>0</v>
      </c>
      <c r="DZ14" s="166">
        <v>0</v>
      </c>
      <c r="EA14" s="166">
        <v>0</v>
      </c>
      <c r="EB14" s="166">
        <v>0</v>
      </c>
      <c r="EC14" s="166">
        <v>0</v>
      </c>
      <c r="ED14" s="166">
        <v>0</v>
      </c>
      <c r="EE14" s="166">
        <v>0</v>
      </c>
      <c r="EF14" s="166">
        <v>0</v>
      </c>
      <c r="EG14" s="166">
        <v>0</v>
      </c>
      <c r="EH14" s="166">
        <v>0</v>
      </c>
      <c r="EI14" s="166">
        <v>0</v>
      </c>
      <c r="EJ14" s="166">
        <v>0</v>
      </c>
      <c r="EK14" s="166">
        <v>0</v>
      </c>
      <c r="EL14" s="166">
        <v>0</v>
      </c>
      <c r="EM14" s="166">
        <v>0</v>
      </c>
      <c r="EN14" s="166">
        <v>0</v>
      </c>
      <c r="EO14" s="166">
        <v>0</v>
      </c>
      <c r="EP14" s="166">
        <v>0</v>
      </c>
      <c r="EQ14" s="166">
        <v>0</v>
      </c>
      <c r="ER14" s="166">
        <v>0</v>
      </c>
      <c r="ES14" s="166">
        <v>0</v>
      </c>
      <c r="ET14" s="166">
        <v>0</v>
      </c>
      <c r="EU14" s="166">
        <v>0</v>
      </c>
      <c r="EV14" s="166">
        <v>0</v>
      </c>
      <c r="EW14" s="166">
        <v>0</v>
      </c>
      <c r="EX14" s="166">
        <v>0</v>
      </c>
      <c r="EY14" s="166">
        <v>0</v>
      </c>
      <c r="EZ14" s="166">
        <v>0</v>
      </c>
      <c r="FA14" s="166">
        <v>0</v>
      </c>
      <c r="FB14" s="166">
        <v>0</v>
      </c>
      <c r="FC14" s="166">
        <v>0</v>
      </c>
      <c r="FD14" s="166">
        <v>0</v>
      </c>
      <c r="FE14" s="166">
        <v>0</v>
      </c>
      <c r="FF14" s="166">
        <v>0</v>
      </c>
      <c r="FG14" s="166">
        <v>0</v>
      </c>
      <c r="FH14" s="166">
        <v>0</v>
      </c>
      <c r="FI14" s="166">
        <v>0</v>
      </c>
      <c r="FJ14" s="166">
        <v>0</v>
      </c>
      <c r="FK14" s="166">
        <v>0</v>
      </c>
      <c r="FL14" s="166">
        <v>0</v>
      </c>
      <c r="FM14" s="166">
        <v>0</v>
      </c>
      <c r="FN14" s="166">
        <v>0</v>
      </c>
      <c r="FO14" s="166">
        <v>0</v>
      </c>
      <c r="FP14" s="166">
        <v>0</v>
      </c>
      <c r="FQ14" s="166">
        <v>0</v>
      </c>
      <c r="FR14" s="166">
        <v>0</v>
      </c>
      <c r="FS14" s="166">
        <v>0</v>
      </c>
      <c r="FT14" s="166">
        <v>0</v>
      </c>
      <c r="FU14" s="165">
        <v>63</v>
      </c>
      <c r="FV14" s="165">
        <v>63</v>
      </c>
      <c r="FW14" s="165">
        <v>63</v>
      </c>
      <c r="FX14" s="165">
        <v>63</v>
      </c>
      <c r="FY14" s="165">
        <v>63</v>
      </c>
      <c r="FZ14" s="165">
        <v>63</v>
      </c>
      <c r="GA14" s="165">
        <v>63</v>
      </c>
      <c r="GB14" s="165">
        <v>63</v>
      </c>
      <c r="GC14" s="165">
        <v>63</v>
      </c>
      <c r="GD14" s="165">
        <v>63</v>
      </c>
      <c r="GE14" s="165">
        <v>63</v>
      </c>
      <c r="GF14" s="165">
        <v>63</v>
      </c>
      <c r="GG14" s="165">
        <v>63</v>
      </c>
      <c r="GH14" s="165">
        <v>63</v>
      </c>
      <c r="GI14" s="165">
        <v>63</v>
      </c>
      <c r="GJ14" s="165">
        <v>28</v>
      </c>
      <c r="GK14" s="165">
        <v>18</v>
      </c>
      <c r="GL14" s="165">
        <v>18</v>
      </c>
      <c r="GM14" s="165">
        <v>18</v>
      </c>
      <c r="GN14" s="165">
        <v>18</v>
      </c>
      <c r="GO14" s="165">
        <v>18</v>
      </c>
      <c r="GP14" s="165">
        <v>18</v>
      </c>
      <c r="GQ14" s="165">
        <v>18</v>
      </c>
      <c r="GR14" s="165">
        <v>18</v>
      </c>
      <c r="GS14" s="165">
        <v>18</v>
      </c>
      <c r="GT14" s="165">
        <v>18</v>
      </c>
      <c r="GU14" s="165">
        <v>19</v>
      </c>
      <c r="GV14" s="165">
        <v>19</v>
      </c>
      <c r="GW14" s="165">
        <v>19</v>
      </c>
      <c r="GX14" s="166">
        <v>0</v>
      </c>
      <c r="GY14" s="166">
        <v>0</v>
      </c>
      <c r="GZ14" s="166">
        <v>0</v>
      </c>
      <c r="HA14" s="166">
        <v>0</v>
      </c>
      <c r="HB14" s="166">
        <v>0</v>
      </c>
      <c r="HC14" s="166">
        <v>0</v>
      </c>
      <c r="HD14" s="166">
        <v>0</v>
      </c>
      <c r="HE14" s="166">
        <v>0</v>
      </c>
      <c r="HF14" s="166">
        <v>0</v>
      </c>
      <c r="HG14" s="166">
        <v>0</v>
      </c>
      <c r="HH14" s="165">
        <v>2</v>
      </c>
      <c r="HI14" s="165">
        <v>2</v>
      </c>
      <c r="HJ14" s="165">
        <v>2</v>
      </c>
      <c r="HK14" s="165">
        <v>2</v>
      </c>
      <c r="HL14" s="165">
        <v>2</v>
      </c>
      <c r="HM14" s="165">
        <v>2</v>
      </c>
      <c r="HN14" s="165">
        <v>2</v>
      </c>
      <c r="HO14" s="165">
        <v>15</v>
      </c>
      <c r="HP14" s="165">
        <v>2</v>
      </c>
      <c r="HQ14" s="165">
        <v>2</v>
      </c>
      <c r="HR14" s="165">
        <v>1</v>
      </c>
      <c r="HS14" s="165">
        <v>1</v>
      </c>
      <c r="HT14" s="166">
        <v>0</v>
      </c>
      <c r="HU14" s="216"/>
      <c r="HV14" s="166">
        <v>0</v>
      </c>
      <c r="HW14" s="216"/>
      <c r="HX14" s="216"/>
      <c r="HY14" s="216"/>
      <c r="HZ14" s="216"/>
      <c r="IA14" s="216"/>
      <c r="IB14" s="216"/>
      <c r="IC14" s="216"/>
      <c r="ID14" s="216"/>
      <c r="IE14" s="216"/>
      <c r="IF14" s="216"/>
      <c r="IG14" s="216"/>
      <c r="IH14" s="216"/>
      <c r="II14" s="216"/>
      <c r="IJ14" s="216"/>
      <c r="IK14" s="216"/>
      <c r="IL14" s="216"/>
      <c r="IM14" s="216"/>
      <c r="IN14" s="216"/>
      <c r="IO14" s="216"/>
      <c r="IP14" s="216"/>
      <c r="IQ14" s="216"/>
      <c r="IR14" s="216"/>
      <c r="IS14" s="216"/>
      <c r="IT14" s="216"/>
      <c r="IU14" s="216"/>
      <c r="IV14" s="216"/>
      <c r="IW14" s="216"/>
      <c r="IX14" s="216"/>
      <c r="IY14" s="216"/>
      <c r="IZ14" s="216"/>
      <c r="JA14" s="216"/>
      <c r="JB14" s="216"/>
      <c r="JC14" s="216"/>
      <c r="JD14" s="216"/>
      <c r="JE14" s="216"/>
      <c r="JF14" s="216"/>
      <c r="JG14" s="216"/>
      <c r="JH14" s="216"/>
      <c r="JI14" s="216"/>
      <c r="JJ14" s="216"/>
      <c r="JK14" s="216"/>
      <c r="JL14" s="216"/>
      <c r="JM14" s="216"/>
      <c r="JN14" s="216"/>
      <c r="JO14" s="216"/>
      <c r="JP14" s="216"/>
      <c r="JQ14" s="216"/>
      <c r="JR14" s="216"/>
      <c r="JS14" s="216"/>
      <c r="JT14" s="216"/>
      <c r="JU14" s="216"/>
      <c r="JV14" s="216"/>
      <c r="JW14" s="216"/>
      <c r="JX14" s="216"/>
      <c r="JY14" s="216"/>
      <c r="JZ14" s="216"/>
      <c r="KA14" s="216"/>
      <c r="KB14" s="216"/>
      <c r="KC14" s="216"/>
      <c r="KD14" s="216"/>
      <c r="KE14" s="216"/>
      <c r="KF14" s="216"/>
      <c r="KG14" s="216"/>
      <c r="KH14" s="216"/>
      <c r="KI14" s="216"/>
      <c r="KJ14" s="216"/>
      <c r="KK14" s="216"/>
      <c r="KL14" s="216"/>
      <c r="KM14" s="216"/>
      <c r="KN14" s="216"/>
      <c r="KO14" s="216"/>
      <c r="KP14" s="216"/>
      <c r="KQ14" s="216"/>
      <c r="KR14" s="216"/>
      <c r="KS14" s="216"/>
      <c r="KT14" s="216"/>
      <c r="KU14" s="216"/>
      <c r="KV14" s="216"/>
      <c r="KW14" s="216"/>
      <c r="KX14" s="216"/>
      <c r="KY14" s="216"/>
      <c r="KZ14" s="216"/>
      <c r="LA14" s="216"/>
      <c r="LB14" s="216"/>
      <c r="LC14" s="216"/>
      <c r="LD14" s="216"/>
      <c r="LE14" s="216"/>
    </row>
    <row r="15" spans="1:317" x14ac:dyDescent="0.2">
      <c r="A15" s="179" t="s">
        <v>849</v>
      </c>
      <c r="B15" s="180" t="s">
        <v>914</v>
      </c>
      <c r="C15" s="181"/>
      <c r="D15" s="182">
        <v>0</v>
      </c>
      <c r="E15" s="182">
        <v>0</v>
      </c>
      <c r="F15" s="183" t="s">
        <v>1200</v>
      </c>
      <c r="G15" s="183">
        <v>0</v>
      </c>
      <c r="H15" s="183">
        <v>0</v>
      </c>
      <c r="I15" s="183">
        <v>0</v>
      </c>
      <c r="J15" s="183">
        <v>0</v>
      </c>
      <c r="K15" s="183" t="s">
        <v>1360</v>
      </c>
      <c r="L15" s="183">
        <v>0</v>
      </c>
      <c r="M15" s="183">
        <v>0</v>
      </c>
      <c r="N15" s="183" t="s">
        <v>881</v>
      </c>
      <c r="O15" s="183">
        <v>0</v>
      </c>
      <c r="P15" s="183">
        <v>0</v>
      </c>
      <c r="Q15" s="183"/>
      <c r="R15" s="183"/>
      <c r="S15" s="183"/>
      <c r="T15" s="183"/>
      <c r="U15" s="183"/>
      <c r="V15" s="183">
        <v>0</v>
      </c>
      <c r="W15" s="183">
        <v>0</v>
      </c>
      <c r="X15" s="183">
        <v>0</v>
      </c>
      <c r="Y15" s="184">
        <v>10.65</v>
      </c>
      <c r="Z15" s="184">
        <v>0</v>
      </c>
      <c r="AA15" s="184">
        <v>0</v>
      </c>
      <c r="AB15" s="185" t="s">
        <v>615</v>
      </c>
      <c r="AC15" s="185" t="s">
        <v>615</v>
      </c>
      <c r="AD15" s="186" t="s">
        <v>881</v>
      </c>
      <c r="AE15" s="186" t="s">
        <v>858</v>
      </c>
      <c r="AF15" s="187">
        <v>7</v>
      </c>
      <c r="AG15" s="187">
        <v>3</v>
      </c>
      <c r="AH15" s="187">
        <v>4</v>
      </c>
      <c r="AI15" s="188">
        <v>1</v>
      </c>
      <c r="AJ15" s="188" t="s">
        <v>615</v>
      </c>
      <c r="AK15" s="187" t="s">
        <v>1733</v>
      </c>
      <c r="AL15" s="87" t="s">
        <v>615</v>
      </c>
      <c r="AM15" s="189"/>
      <c r="AN15" s="187" t="s">
        <v>615</v>
      </c>
      <c r="AO15" s="13" t="s">
        <v>615</v>
      </c>
      <c r="AP15" s="187">
        <v>0</v>
      </c>
      <c r="AQ15" s="187">
        <v>0</v>
      </c>
      <c r="AR15" s="190">
        <v>0</v>
      </c>
      <c r="AS15" s="190">
        <v>0</v>
      </c>
      <c r="AT15" s="190">
        <v>0</v>
      </c>
      <c r="AU15" s="187">
        <v>0</v>
      </c>
      <c r="AV15" s="187">
        <v>0</v>
      </c>
      <c r="AW15" s="191"/>
      <c r="AX15" s="192"/>
      <c r="AY15" s="193">
        <v>42666</v>
      </c>
      <c r="AZ15" s="193"/>
      <c r="BA15" s="193"/>
      <c r="BB15" s="194"/>
      <c r="BC15" s="194"/>
      <c r="BD15" s="195"/>
      <c r="BE15" s="195" t="s">
        <v>532</v>
      </c>
      <c r="BF15" s="195"/>
      <c r="BG15" s="195">
        <v>26</v>
      </c>
      <c r="BH15" s="196" t="s">
        <v>547</v>
      </c>
      <c r="BI15" s="197">
        <v>1</v>
      </c>
      <c r="BJ15" s="198"/>
      <c r="BK15" s="199">
        <v>0</v>
      </c>
      <c r="BL15" s="13">
        <v>0</v>
      </c>
      <c r="BM15" s="13">
        <v>0</v>
      </c>
      <c r="BN15" s="13" t="s">
        <v>616</v>
      </c>
      <c r="BO15" s="13" t="s">
        <v>616</v>
      </c>
      <c r="BP15" s="200">
        <v>0</v>
      </c>
      <c r="BQ15" s="201"/>
      <c r="BR15" s="202"/>
      <c r="BS15" s="187">
        <v>1000000000</v>
      </c>
      <c r="BT15" s="203">
        <v>0</v>
      </c>
      <c r="BU15" s="204">
        <v>0</v>
      </c>
      <c r="BV15" s="203">
        <v>0</v>
      </c>
      <c r="BW15" s="205">
        <v>0</v>
      </c>
      <c r="BX15" s="205">
        <v>0</v>
      </c>
      <c r="BY15" s="205">
        <v>0</v>
      </c>
      <c r="BZ15" s="203">
        <v>0</v>
      </c>
      <c r="CA15" s="203">
        <v>0</v>
      </c>
      <c r="CB15" s="203">
        <v>0</v>
      </c>
      <c r="CC15" s="204">
        <v>0</v>
      </c>
      <c r="CD15" s="203">
        <v>0</v>
      </c>
      <c r="CE15" s="203">
        <v>0</v>
      </c>
      <c r="CF15" s="13">
        <v>0</v>
      </c>
      <c r="CG15" s="206">
        <v>0</v>
      </c>
      <c r="CH15" s="207">
        <v>0</v>
      </c>
      <c r="CI15" s="201"/>
      <c r="CJ15" s="208"/>
      <c r="CK15" s="209" t="s">
        <v>615</v>
      </c>
      <c r="CL15" s="210" t="s">
        <v>615</v>
      </c>
      <c r="CM15" s="207">
        <v>0</v>
      </c>
      <c r="CN15" s="207">
        <v>0</v>
      </c>
      <c r="CO15" s="204">
        <v>0</v>
      </c>
      <c r="CP15" s="204">
        <v>0</v>
      </c>
      <c r="CQ15" s="211"/>
      <c r="CR15" s="204">
        <v>1</v>
      </c>
      <c r="CS15" s="212">
        <v>42592</v>
      </c>
      <c r="CT15" s="212">
        <v>42780</v>
      </c>
      <c r="CU15" s="213">
        <v>42780</v>
      </c>
      <c r="CV15" s="214">
        <v>42829</v>
      </c>
      <c r="CW15" s="214" t="s">
        <v>615</v>
      </c>
      <c r="CX15" s="214" t="s">
        <v>615</v>
      </c>
      <c r="CY15" s="204">
        <v>1</v>
      </c>
      <c r="CZ15" s="204">
        <v>0.97959183673469385</v>
      </c>
      <c r="DA15" s="203">
        <v>0</v>
      </c>
      <c r="DB15" s="204">
        <v>0.97959183673469385</v>
      </c>
      <c r="DC15" s="204">
        <v>0</v>
      </c>
      <c r="DD15" s="204">
        <v>0</v>
      </c>
      <c r="DE15" s="204">
        <v>0</v>
      </c>
      <c r="DF15" s="215">
        <v>0</v>
      </c>
      <c r="DG15" s="13" t="s">
        <v>615</v>
      </c>
      <c r="DH15" s="86">
        <v>13</v>
      </c>
      <c r="DI15" s="86"/>
      <c r="DJ15" s="86">
        <v>266</v>
      </c>
      <c r="DK15" s="86" t="s">
        <v>1719</v>
      </c>
      <c r="DL15" s="86" t="e">
        <v>#N/A</v>
      </c>
      <c r="DM15" s="86" t="e">
        <v>#N/A</v>
      </c>
      <c r="DN15" s="86" t="e">
        <v>#N/A</v>
      </c>
      <c r="DO15" s="86">
        <v>437</v>
      </c>
      <c r="DP15" s="86">
        <v>5</v>
      </c>
      <c r="DQ15" s="86">
        <v>49</v>
      </c>
      <c r="DR15" s="146">
        <v>0</v>
      </c>
      <c r="DS15" s="146">
        <v>0</v>
      </c>
      <c r="DT15" s="146">
        <v>0</v>
      </c>
      <c r="DU15" s="146">
        <v>0</v>
      </c>
      <c r="DV15" s="146">
        <v>0</v>
      </c>
      <c r="DW15" s="146">
        <v>0</v>
      </c>
      <c r="DX15" s="146">
        <v>0</v>
      </c>
      <c r="DY15" s="146">
        <v>0</v>
      </c>
      <c r="DZ15" s="146">
        <v>0</v>
      </c>
      <c r="EA15" s="146">
        <v>0</v>
      </c>
      <c r="EB15" s="146">
        <v>0</v>
      </c>
      <c r="EC15" s="146">
        <v>0</v>
      </c>
      <c r="ED15" s="146">
        <v>0</v>
      </c>
      <c r="EE15" s="146">
        <v>0</v>
      </c>
      <c r="EF15" s="146">
        <v>0</v>
      </c>
      <c r="EG15" s="146">
        <v>0</v>
      </c>
      <c r="EH15" s="146">
        <v>0</v>
      </c>
      <c r="EI15" s="146">
        <v>0</v>
      </c>
      <c r="EJ15" s="146">
        <v>0</v>
      </c>
      <c r="EK15" s="146">
        <v>0</v>
      </c>
      <c r="EL15" s="146">
        <v>0</v>
      </c>
      <c r="EM15" s="146">
        <v>0</v>
      </c>
      <c r="EN15" s="146">
        <v>0</v>
      </c>
      <c r="EO15" s="146">
        <v>0</v>
      </c>
      <c r="EP15" s="146">
        <v>0</v>
      </c>
      <c r="EQ15" s="146">
        <v>0</v>
      </c>
      <c r="ER15" s="146">
        <v>0</v>
      </c>
      <c r="ES15" s="146">
        <v>0</v>
      </c>
      <c r="ET15" s="146">
        <v>0</v>
      </c>
      <c r="EU15" s="146">
        <v>0</v>
      </c>
      <c r="EV15" s="146">
        <v>0</v>
      </c>
      <c r="EW15" s="146">
        <v>0</v>
      </c>
      <c r="EX15" s="146">
        <v>0</v>
      </c>
      <c r="EY15" s="146">
        <v>0</v>
      </c>
      <c r="EZ15" s="146">
        <v>0</v>
      </c>
      <c r="FA15" s="146">
        <v>0</v>
      </c>
      <c r="FB15" s="146">
        <v>0</v>
      </c>
      <c r="FC15" s="146">
        <v>0</v>
      </c>
      <c r="FD15" s="146">
        <v>0</v>
      </c>
      <c r="FE15" s="146">
        <v>0</v>
      </c>
      <c r="FF15" s="146">
        <v>0</v>
      </c>
      <c r="FG15" s="146">
        <v>0</v>
      </c>
      <c r="FH15" s="146">
        <v>0</v>
      </c>
      <c r="FI15" s="146">
        <v>0</v>
      </c>
      <c r="FJ15" s="146">
        <v>0</v>
      </c>
      <c r="FK15" s="146">
        <v>0</v>
      </c>
      <c r="FL15" s="146">
        <v>0</v>
      </c>
      <c r="FM15" s="146">
        <v>0</v>
      </c>
      <c r="FN15" s="146">
        <v>0</v>
      </c>
      <c r="FO15" s="146">
        <v>0</v>
      </c>
      <c r="FP15" s="146">
        <v>0</v>
      </c>
      <c r="FQ15" s="146">
        <v>0</v>
      </c>
      <c r="FR15" s="146">
        <v>0</v>
      </c>
      <c r="FS15" s="146">
        <v>0</v>
      </c>
      <c r="FT15" s="146">
        <v>0</v>
      </c>
      <c r="FU15" s="146">
        <v>0</v>
      </c>
      <c r="FV15" s="146">
        <v>0</v>
      </c>
      <c r="FW15" s="146">
        <v>0</v>
      </c>
      <c r="FX15" s="146">
        <v>0</v>
      </c>
      <c r="FY15" s="146">
        <v>0</v>
      </c>
      <c r="FZ15" s="146">
        <v>0</v>
      </c>
      <c r="GA15" s="146">
        <v>0</v>
      </c>
      <c r="GB15" s="146">
        <v>0</v>
      </c>
      <c r="GC15" s="146">
        <v>0</v>
      </c>
      <c r="GD15" s="146">
        <v>0</v>
      </c>
      <c r="GE15" s="146">
        <v>0</v>
      </c>
      <c r="GF15" s="146">
        <v>0</v>
      </c>
      <c r="GG15" s="146">
        <v>0</v>
      </c>
      <c r="GH15" s="146">
        <v>0</v>
      </c>
      <c r="GI15" s="146">
        <v>0</v>
      </c>
      <c r="GJ15" s="146">
        <v>0</v>
      </c>
      <c r="GK15" s="146">
        <v>0</v>
      </c>
      <c r="GL15" s="146">
        <v>0</v>
      </c>
      <c r="GM15" s="146">
        <v>0</v>
      </c>
      <c r="GN15" s="146">
        <v>0</v>
      </c>
      <c r="GO15" s="146">
        <v>0</v>
      </c>
      <c r="GP15" s="146">
        <v>0</v>
      </c>
      <c r="GQ15" s="146">
        <v>0</v>
      </c>
      <c r="GR15" s="146">
        <v>0</v>
      </c>
      <c r="GS15" s="146">
        <v>0</v>
      </c>
      <c r="GT15" s="146">
        <v>0</v>
      </c>
      <c r="GU15" s="146">
        <v>0</v>
      </c>
      <c r="GV15" s="146">
        <v>0</v>
      </c>
      <c r="GW15" s="146">
        <v>0</v>
      </c>
      <c r="GX15" s="146">
        <v>0</v>
      </c>
      <c r="GY15" s="146">
        <v>0</v>
      </c>
      <c r="GZ15" s="146">
        <v>0</v>
      </c>
      <c r="HA15" s="146">
        <v>0</v>
      </c>
      <c r="HB15" s="146">
        <v>0</v>
      </c>
      <c r="HC15" s="146">
        <v>0</v>
      </c>
      <c r="HD15" s="146">
        <v>0</v>
      </c>
      <c r="HE15" s="146">
        <v>0</v>
      </c>
      <c r="HF15" s="146">
        <v>0</v>
      </c>
      <c r="HG15" s="146">
        <v>0</v>
      </c>
      <c r="HH15" s="146">
        <v>0</v>
      </c>
      <c r="HI15" s="146">
        <v>0</v>
      </c>
      <c r="HJ15" s="146">
        <v>0</v>
      </c>
      <c r="HK15" s="146">
        <v>0</v>
      </c>
      <c r="HL15" s="146">
        <v>0</v>
      </c>
      <c r="HM15" s="146">
        <v>0</v>
      </c>
      <c r="HN15" s="146">
        <v>0</v>
      </c>
      <c r="HO15" s="146">
        <v>0</v>
      </c>
      <c r="HP15" s="146">
        <v>0</v>
      </c>
      <c r="HQ15" s="146">
        <v>0</v>
      </c>
      <c r="HR15" s="146">
        <v>0</v>
      </c>
      <c r="HS15" s="146">
        <v>0</v>
      </c>
      <c r="HT15" s="146">
        <v>0</v>
      </c>
      <c r="HU15" s="151"/>
      <c r="HV15" s="146">
        <v>0</v>
      </c>
      <c r="HW15" s="151"/>
      <c r="HX15" s="151"/>
      <c r="HY15" s="151"/>
      <c r="HZ15" s="151"/>
      <c r="IA15" s="151"/>
      <c r="IB15" s="151"/>
      <c r="IC15" s="151"/>
      <c r="ID15" s="151"/>
      <c r="IE15" s="151"/>
      <c r="IF15" s="151"/>
      <c r="IG15" s="151"/>
      <c r="IH15" s="151"/>
      <c r="II15" s="151"/>
      <c r="IJ15" s="151"/>
      <c r="IK15" s="151"/>
      <c r="IL15" s="151"/>
      <c r="IM15" s="151"/>
      <c r="IN15" s="151"/>
      <c r="IO15" s="151"/>
      <c r="IP15" s="151"/>
      <c r="IQ15" s="151"/>
      <c r="IR15" s="151"/>
      <c r="IS15" s="151"/>
      <c r="IT15" s="151"/>
      <c r="IU15" s="151"/>
      <c r="IV15" s="151"/>
      <c r="IW15" s="151"/>
      <c r="IX15" s="151"/>
      <c r="IY15" s="151"/>
      <c r="IZ15" s="151"/>
      <c r="JA15" s="151"/>
      <c r="JB15" s="151"/>
      <c r="JC15" s="151"/>
      <c r="JD15" s="151"/>
      <c r="JE15" s="151"/>
      <c r="JF15" s="151"/>
      <c r="JG15" s="151"/>
      <c r="JH15" s="151"/>
      <c r="JI15" s="151"/>
      <c r="JJ15" s="151"/>
      <c r="JK15" s="151"/>
      <c r="JL15" s="151"/>
      <c r="JM15" s="151"/>
      <c r="JN15" s="151"/>
      <c r="JO15" s="151"/>
      <c r="JP15" s="151"/>
      <c r="JQ15" s="151"/>
      <c r="JR15" s="151"/>
      <c r="JS15" s="151"/>
      <c r="JT15" s="151"/>
      <c r="JU15" s="151"/>
      <c r="JV15" s="151"/>
      <c r="JW15" s="151"/>
      <c r="JX15" s="151"/>
      <c r="JY15" s="151"/>
      <c r="JZ15" s="151"/>
      <c r="KA15" s="151"/>
      <c r="KB15" s="151"/>
      <c r="KC15" s="151"/>
      <c r="KD15" s="151"/>
      <c r="KE15" s="151"/>
      <c r="KF15" s="151"/>
      <c r="KG15" s="151"/>
      <c r="KH15" s="151"/>
      <c r="KI15" s="151"/>
      <c r="KJ15" s="151"/>
      <c r="KK15" s="151"/>
      <c r="KL15" s="151"/>
      <c r="KM15" s="151"/>
      <c r="KN15" s="151"/>
      <c r="KO15" s="151"/>
      <c r="KP15" s="151"/>
      <c r="KQ15" s="151"/>
      <c r="KR15" s="151"/>
      <c r="KS15" s="151"/>
      <c r="KT15" s="151"/>
      <c r="KU15" s="151"/>
      <c r="KV15" s="151"/>
      <c r="KW15" s="151"/>
      <c r="KX15" s="151"/>
      <c r="KY15" s="151"/>
      <c r="KZ15" s="151"/>
      <c r="LA15" s="151"/>
      <c r="LB15" s="151"/>
      <c r="LC15" s="151"/>
      <c r="LD15" s="151"/>
      <c r="LE15" s="151"/>
    </row>
    <row r="16" spans="1:317" x14ac:dyDescent="0.2">
      <c r="A16" s="179" t="s">
        <v>849</v>
      </c>
      <c r="B16" s="180" t="s">
        <v>915</v>
      </c>
      <c r="C16" s="181"/>
      <c r="D16" s="182">
        <v>0</v>
      </c>
      <c r="E16" s="182">
        <v>0</v>
      </c>
      <c r="F16" s="183" t="s">
        <v>1201</v>
      </c>
      <c r="G16" s="183">
        <v>0</v>
      </c>
      <c r="H16" s="183">
        <v>0</v>
      </c>
      <c r="I16" s="183">
        <v>0</v>
      </c>
      <c r="J16" s="183">
        <v>0</v>
      </c>
      <c r="K16" s="183" t="s">
        <v>1361</v>
      </c>
      <c r="L16" s="183">
        <v>0</v>
      </c>
      <c r="M16" s="183">
        <v>0</v>
      </c>
      <c r="N16" s="183" t="s">
        <v>881</v>
      </c>
      <c r="O16" s="183">
        <v>0</v>
      </c>
      <c r="P16" s="183">
        <v>0</v>
      </c>
      <c r="Q16" s="183"/>
      <c r="R16" s="183"/>
      <c r="S16" s="183"/>
      <c r="T16" s="183"/>
      <c r="U16" s="183"/>
      <c r="V16" s="183">
        <v>0</v>
      </c>
      <c r="W16" s="183">
        <v>0</v>
      </c>
      <c r="X16" s="183">
        <v>0</v>
      </c>
      <c r="Y16" s="184">
        <v>0</v>
      </c>
      <c r="Z16" s="184">
        <v>0</v>
      </c>
      <c r="AA16" s="184">
        <v>0</v>
      </c>
      <c r="AB16" s="185" t="s">
        <v>615</v>
      </c>
      <c r="AC16" s="185" t="s">
        <v>615</v>
      </c>
      <c r="AD16" s="186" t="s">
        <v>881</v>
      </c>
      <c r="AE16" s="186" t="s">
        <v>858</v>
      </c>
      <c r="AF16" s="187">
        <v>7</v>
      </c>
      <c r="AG16" s="187">
        <v>3</v>
      </c>
      <c r="AH16" s="187">
        <v>4</v>
      </c>
      <c r="AI16" s="188">
        <v>1</v>
      </c>
      <c r="AJ16" s="188" t="s">
        <v>615</v>
      </c>
      <c r="AK16" s="187" t="s">
        <v>1736</v>
      </c>
      <c r="AL16" s="87" t="s">
        <v>615</v>
      </c>
      <c r="AM16" s="189"/>
      <c r="AN16" s="187" t="s">
        <v>615</v>
      </c>
      <c r="AO16" s="13" t="s">
        <v>615</v>
      </c>
      <c r="AP16" s="187">
        <v>0</v>
      </c>
      <c r="AQ16" s="187">
        <v>0</v>
      </c>
      <c r="AR16" s="190">
        <v>0</v>
      </c>
      <c r="AS16" s="190">
        <v>0</v>
      </c>
      <c r="AT16" s="190">
        <v>0</v>
      </c>
      <c r="AU16" s="187">
        <v>0</v>
      </c>
      <c r="AV16" s="187">
        <v>0</v>
      </c>
      <c r="AW16" s="191"/>
      <c r="AX16" s="192"/>
      <c r="AY16" s="193">
        <v>42666</v>
      </c>
      <c r="AZ16" s="193"/>
      <c r="BA16" s="193"/>
      <c r="BB16" s="194"/>
      <c r="BC16" s="194"/>
      <c r="BD16" s="195"/>
      <c r="BE16" s="195" t="s">
        <v>532</v>
      </c>
      <c r="BF16" s="195"/>
      <c r="BG16" s="195">
        <v>25</v>
      </c>
      <c r="BH16" s="196" t="s">
        <v>547</v>
      </c>
      <c r="BI16" s="197">
        <v>1</v>
      </c>
      <c r="BJ16" s="198"/>
      <c r="BK16" s="199">
        <v>0</v>
      </c>
      <c r="BL16" s="13">
        <v>0</v>
      </c>
      <c r="BM16" s="13">
        <v>0</v>
      </c>
      <c r="BN16" s="13" t="s">
        <v>616</v>
      </c>
      <c r="BO16" s="13" t="s">
        <v>616</v>
      </c>
      <c r="BP16" s="200">
        <v>0</v>
      </c>
      <c r="BQ16" s="201"/>
      <c r="BR16" s="202"/>
      <c r="BS16" s="187">
        <v>1000000000</v>
      </c>
      <c r="BT16" s="203">
        <v>0</v>
      </c>
      <c r="BU16" s="204">
        <v>0</v>
      </c>
      <c r="BV16" s="203">
        <v>0</v>
      </c>
      <c r="BW16" s="205">
        <v>0</v>
      </c>
      <c r="BX16" s="205">
        <v>0</v>
      </c>
      <c r="BY16" s="205">
        <v>0</v>
      </c>
      <c r="BZ16" s="203">
        <v>0</v>
      </c>
      <c r="CA16" s="203">
        <v>0</v>
      </c>
      <c r="CB16" s="203">
        <v>0</v>
      </c>
      <c r="CC16" s="204">
        <v>0</v>
      </c>
      <c r="CD16" s="203">
        <v>0</v>
      </c>
      <c r="CE16" s="203">
        <v>0</v>
      </c>
      <c r="CF16" s="13">
        <v>0</v>
      </c>
      <c r="CG16" s="206">
        <v>0</v>
      </c>
      <c r="CH16" s="207">
        <v>0</v>
      </c>
      <c r="CI16" s="201"/>
      <c r="CJ16" s="208"/>
      <c r="CK16" s="209" t="s">
        <v>615</v>
      </c>
      <c r="CL16" s="210" t="s">
        <v>615</v>
      </c>
      <c r="CM16" s="207">
        <v>0</v>
      </c>
      <c r="CN16" s="207">
        <v>0</v>
      </c>
      <c r="CO16" s="204">
        <v>0</v>
      </c>
      <c r="CP16" s="204">
        <v>0</v>
      </c>
      <c r="CQ16" s="211"/>
      <c r="CR16" s="204">
        <v>1</v>
      </c>
      <c r="CS16" s="212">
        <v>42531</v>
      </c>
      <c r="CT16" s="212">
        <v>42780</v>
      </c>
      <c r="CU16" s="213">
        <v>42780</v>
      </c>
      <c r="CV16" s="214">
        <v>42829</v>
      </c>
      <c r="CW16" s="214" t="s">
        <v>615</v>
      </c>
      <c r="CX16" s="214" t="s">
        <v>615</v>
      </c>
      <c r="CY16" s="204">
        <v>1</v>
      </c>
      <c r="CZ16" s="204">
        <v>0.97959183673469385</v>
      </c>
      <c r="DA16" s="203">
        <v>0</v>
      </c>
      <c r="DB16" s="204">
        <v>0.97959183673469385</v>
      </c>
      <c r="DC16" s="204">
        <v>0</v>
      </c>
      <c r="DD16" s="204">
        <v>0</v>
      </c>
      <c r="DE16" s="204">
        <v>0</v>
      </c>
      <c r="DF16" s="215">
        <v>0</v>
      </c>
      <c r="DG16" s="13" t="s">
        <v>615</v>
      </c>
      <c r="DH16" s="86">
        <v>14</v>
      </c>
      <c r="DI16" s="86"/>
      <c r="DJ16" s="86">
        <v>265</v>
      </c>
      <c r="DK16" s="86" t="s">
        <v>1718</v>
      </c>
      <c r="DL16" s="86" t="e">
        <v>#N/A</v>
      </c>
      <c r="DM16" s="86" t="e">
        <v>#N/A</v>
      </c>
      <c r="DN16" s="86" t="e">
        <v>#N/A</v>
      </c>
      <c r="DO16" s="86">
        <v>436</v>
      </c>
      <c r="DP16" s="86">
        <v>5</v>
      </c>
      <c r="DQ16" s="86">
        <v>49</v>
      </c>
      <c r="DR16" s="152">
        <v>0</v>
      </c>
      <c r="DS16" s="152">
        <v>0</v>
      </c>
      <c r="DT16" s="152">
        <v>0</v>
      </c>
      <c r="DU16" s="152">
        <v>0</v>
      </c>
      <c r="DV16" s="152">
        <v>0</v>
      </c>
      <c r="DW16" s="152">
        <v>0</v>
      </c>
      <c r="DX16" s="152">
        <v>0</v>
      </c>
      <c r="DY16" s="152">
        <v>0</v>
      </c>
      <c r="DZ16" s="152">
        <v>0</v>
      </c>
      <c r="EA16" s="152">
        <v>0</v>
      </c>
      <c r="EB16" s="152">
        <v>0</v>
      </c>
      <c r="EC16" s="152">
        <v>0</v>
      </c>
      <c r="ED16" s="152">
        <v>0</v>
      </c>
      <c r="EE16" s="152">
        <v>0</v>
      </c>
      <c r="EF16" s="152">
        <v>0</v>
      </c>
      <c r="EG16" s="152">
        <v>0</v>
      </c>
      <c r="EH16" s="152">
        <v>0</v>
      </c>
      <c r="EI16" s="152">
        <v>0</v>
      </c>
      <c r="EJ16" s="152">
        <v>0</v>
      </c>
      <c r="EK16" s="152">
        <v>0</v>
      </c>
      <c r="EL16" s="152">
        <v>0</v>
      </c>
      <c r="EM16" s="152">
        <v>0</v>
      </c>
      <c r="EN16" s="152">
        <v>0</v>
      </c>
      <c r="EO16" s="152">
        <v>0</v>
      </c>
      <c r="EP16" s="152">
        <v>0</v>
      </c>
      <c r="EQ16" s="152">
        <v>0</v>
      </c>
      <c r="ER16" s="152">
        <v>0</v>
      </c>
      <c r="ES16" s="152">
        <v>0</v>
      </c>
      <c r="ET16" s="152">
        <v>0</v>
      </c>
      <c r="EU16" s="152">
        <v>0</v>
      </c>
      <c r="EV16" s="152">
        <v>0</v>
      </c>
      <c r="EW16" s="152">
        <v>0</v>
      </c>
      <c r="EX16" s="152">
        <v>0</v>
      </c>
      <c r="EY16" s="152">
        <v>0</v>
      </c>
      <c r="EZ16" s="152">
        <v>0</v>
      </c>
      <c r="FA16" s="152">
        <v>0</v>
      </c>
      <c r="FB16" s="152">
        <v>0</v>
      </c>
      <c r="FC16" s="152">
        <v>0</v>
      </c>
      <c r="FD16" s="152">
        <v>0</v>
      </c>
      <c r="FE16" s="152">
        <v>0</v>
      </c>
      <c r="FF16" s="152">
        <v>0</v>
      </c>
      <c r="FG16" s="152">
        <v>0</v>
      </c>
      <c r="FH16" s="152">
        <v>0</v>
      </c>
      <c r="FI16" s="152">
        <v>0</v>
      </c>
      <c r="FJ16" s="152">
        <v>0</v>
      </c>
      <c r="FK16" s="152">
        <v>0</v>
      </c>
      <c r="FL16" s="152">
        <v>0</v>
      </c>
      <c r="FM16" s="152">
        <v>0</v>
      </c>
      <c r="FN16" s="152">
        <v>0</v>
      </c>
      <c r="FO16" s="152">
        <v>0</v>
      </c>
      <c r="FP16" s="152">
        <v>0</v>
      </c>
      <c r="FQ16" s="152">
        <v>0</v>
      </c>
      <c r="FR16" s="152">
        <v>0</v>
      </c>
      <c r="FS16" s="152">
        <v>0</v>
      </c>
      <c r="FT16" s="152">
        <v>0</v>
      </c>
      <c r="FU16" s="152">
        <v>0</v>
      </c>
      <c r="FV16" s="152">
        <v>0</v>
      </c>
      <c r="FW16" s="152">
        <v>0</v>
      </c>
      <c r="FX16" s="152">
        <v>0</v>
      </c>
      <c r="FY16" s="152">
        <v>0</v>
      </c>
      <c r="FZ16" s="152">
        <v>0</v>
      </c>
      <c r="GA16" s="152">
        <v>0</v>
      </c>
      <c r="GB16" s="152">
        <v>0</v>
      </c>
      <c r="GC16" s="152">
        <v>0</v>
      </c>
      <c r="GD16" s="152">
        <v>0</v>
      </c>
      <c r="GE16" s="152">
        <v>0</v>
      </c>
      <c r="GF16" s="152">
        <v>0</v>
      </c>
      <c r="GG16" s="152">
        <v>0</v>
      </c>
      <c r="GH16" s="152">
        <v>0</v>
      </c>
      <c r="GI16" s="152">
        <v>0</v>
      </c>
      <c r="GJ16" s="152">
        <v>0</v>
      </c>
      <c r="GK16" s="152">
        <v>0</v>
      </c>
      <c r="GL16" s="152">
        <v>0</v>
      </c>
      <c r="GM16" s="152">
        <v>0</v>
      </c>
      <c r="GN16" s="152">
        <v>0</v>
      </c>
      <c r="GO16" s="152">
        <v>0</v>
      </c>
      <c r="GP16" s="152">
        <v>0</v>
      </c>
      <c r="GQ16" s="152">
        <v>0</v>
      </c>
      <c r="GR16" s="152">
        <v>0</v>
      </c>
      <c r="GS16" s="152">
        <v>0</v>
      </c>
      <c r="GT16" s="152">
        <v>0</v>
      </c>
      <c r="GU16" s="152">
        <v>0</v>
      </c>
      <c r="GV16" s="152">
        <v>0</v>
      </c>
      <c r="GW16" s="152">
        <v>0</v>
      </c>
      <c r="GX16" s="152">
        <v>0</v>
      </c>
      <c r="GY16" s="152">
        <v>0</v>
      </c>
      <c r="GZ16" s="152">
        <v>0</v>
      </c>
      <c r="HA16" s="152">
        <v>0</v>
      </c>
      <c r="HB16" s="152">
        <v>0</v>
      </c>
      <c r="HC16" s="152">
        <v>0</v>
      </c>
      <c r="HD16" s="152">
        <v>0</v>
      </c>
      <c r="HE16" s="152">
        <v>0</v>
      </c>
      <c r="HF16" s="152">
        <v>0</v>
      </c>
      <c r="HG16" s="152">
        <v>0</v>
      </c>
      <c r="HH16" s="152">
        <v>0</v>
      </c>
      <c r="HI16" s="152">
        <v>0</v>
      </c>
      <c r="HJ16" s="152">
        <v>0</v>
      </c>
      <c r="HK16" s="152">
        <v>0</v>
      </c>
      <c r="HL16" s="152">
        <v>0</v>
      </c>
      <c r="HM16" s="152">
        <v>0</v>
      </c>
      <c r="HN16" s="152">
        <v>0</v>
      </c>
      <c r="HO16" s="152">
        <v>0</v>
      </c>
      <c r="HP16" s="152">
        <v>0</v>
      </c>
      <c r="HQ16" s="152">
        <v>0</v>
      </c>
      <c r="HR16" s="152">
        <v>0</v>
      </c>
      <c r="HS16" s="152">
        <v>0</v>
      </c>
      <c r="HT16" s="152">
        <v>0</v>
      </c>
      <c r="HU16" s="216"/>
      <c r="HV16" s="152">
        <v>0</v>
      </c>
      <c r="HW16" s="216"/>
      <c r="HX16" s="216"/>
      <c r="HY16" s="216"/>
      <c r="HZ16" s="216"/>
      <c r="IA16" s="216"/>
      <c r="IB16" s="216"/>
      <c r="IC16" s="216"/>
      <c r="ID16" s="216"/>
      <c r="IE16" s="216"/>
      <c r="IF16" s="216"/>
      <c r="IG16" s="216"/>
      <c r="IH16" s="216"/>
      <c r="II16" s="216"/>
      <c r="IJ16" s="216"/>
      <c r="IK16" s="216"/>
      <c r="IL16" s="216"/>
      <c r="IM16" s="216"/>
      <c r="IN16" s="216"/>
      <c r="IO16" s="216"/>
      <c r="IP16" s="216"/>
      <c r="IQ16" s="216"/>
      <c r="IR16" s="216"/>
      <c r="IS16" s="216"/>
      <c r="IT16" s="216"/>
      <c r="IU16" s="216"/>
      <c r="IV16" s="216"/>
      <c r="IW16" s="216"/>
      <c r="IX16" s="216"/>
      <c r="IY16" s="216"/>
      <c r="IZ16" s="216"/>
      <c r="JA16" s="216"/>
      <c r="JB16" s="216"/>
      <c r="JC16" s="216"/>
      <c r="JD16" s="216"/>
      <c r="JE16" s="216"/>
      <c r="JF16" s="216"/>
      <c r="JG16" s="216"/>
      <c r="JH16" s="216"/>
      <c r="JI16" s="216"/>
      <c r="JJ16" s="216"/>
      <c r="JK16" s="216"/>
      <c r="JL16" s="216"/>
      <c r="JM16" s="216"/>
      <c r="JN16" s="216"/>
      <c r="JO16" s="216"/>
      <c r="JP16" s="216"/>
      <c r="JQ16" s="216"/>
      <c r="JR16" s="216"/>
      <c r="JS16" s="216"/>
      <c r="JT16" s="216"/>
      <c r="JU16" s="216"/>
      <c r="JV16" s="216"/>
      <c r="JW16" s="216"/>
      <c r="JX16" s="216"/>
      <c r="JY16" s="216"/>
      <c r="JZ16" s="216"/>
      <c r="KA16" s="216"/>
      <c r="KB16" s="216"/>
      <c r="KC16" s="216"/>
      <c r="KD16" s="216"/>
      <c r="KE16" s="216"/>
      <c r="KF16" s="216"/>
      <c r="KG16" s="216"/>
      <c r="KH16" s="216"/>
      <c r="KI16" s="216"/>
      <c r="KJ16" s="216"/>
      <c r="KK16" s="216"/>
      <c r="KL16" s="216"/>
      <c r="KM16" s="216"/>
      <c r="KN16" s="216"/>
      <c r="KO16" s="216"/>
      <c r="KP16" s="216"/>
      <c r="KQ16" s="216"/>
      <c r="KR16" s="216"/>
      <c r="KS16" s="216"/>
      <c r="KT16" s="216"/>
      <c r="KU16" s="216"/>
      <c r="KV16" s="216"/>
      <c r="KW16" s="216"/>
      <c r="KX16" s="216"/>
      <c r="KY16" s="216"/>
      <c r="KZ16" s="216"/>
      <c r="LA16" s="216"/>
      <c r="LB16" s="216"/>
      <c r="LC16" s="216"/>
      <c r="LD16" s="216"/>
      <c r="LE16" s="216"/>
    </row>
    <row r="17" spans="1:317" x14ac:dyDescent="0.2">
      <c r="A17" s="179" t="s">
        <v>849</v>
      </c>
      <c r="B17" s="180" t="s">
        <v>916</v>
      </c>
      <c r="C17" s="181"/>
      <c r="D17" s="182">
        <v>0</v>
      </c>
      <c r="E17" s="182">
        <v>0</v>
      </c>
      <c r="F17" s="183" t="s">
        <v>1202</v>
      </c>
      <c r="G17" s="183">
        <v>0</v>
      </c>
      <c r="H17" s="183">
        <v>0</v>
      </c>
      <c r="I17" s="183">
        <v>0</v>
      </c>
      <c r="J17" s="183">
        <v>0</v>
      </c>
      <c r="K17" s="183" t="s">
        <v>1361</v>
      </c>
      <c r="L17" s="183">
        <v>0</v>
      </c>
      <c r="M17" s="183">
        <v>0</v>
      </c>
      <c r="N17" s="183" t="s">
        <v>881</v>
      </c>
      <c r="O17" s="183">
        <v>0</v>
      </c>
      <c r="P17" s="183">
        <v>0</v>
      </c>
      <c r="Q17" s="183"/>
      <c r="R17" s="183"/>
      <c r="S17" s="183"/>
      <c r="T17" s="183"/>
      <c r="U17" s="183"/>
      <c r="V17" s="183">
        <v>0</v>
      </c>
      <c r="W17" s="183">
        <v>0</v>
      </c>
      <c r="X17" s="183">
        <v>0</v>
      </c>
      <c r="Y17" s="184">
        <v>0</v>
      </c>
      <c r="Z17" s="184">
        <v>22.71</v>
      </c>
      <c r="AA17" s="184">
        <v>0</v>
      </c>
      <c r="AB17" s="185" t="s">
        <v>615</v>
      </c>
      <c r="AC17" s="185" t="s">
        <v>615</v>
      </c>
      <c r="AD17" s="186" t="s">
        <v>881</v>
      </c>
      <c r="AE17" s="186" t="s">
        <v>858</v>
      </c>
      <c r="AF17" s="187">
        <v>7</v>
      </c>
      <c r="AG17" s="187">
        <v>3</v>
      </c>
      <c r="AH17" s="187">
        <v>4</v>
      </c>
      <c r="AI17" s="188">
        <v>1</v>
      </c>
      <c r="AJ17" s="188" t="s">
        <v>615</v>
      </c>
      <c r="AK17" s="187" t="s">
        <v>1736</v>
      </c>
      <c r="AL17" s="87" t="s">
        <v>615</v>
      </c>
      <c r="AM17" s="189"/>
      <c r="AN17" s="187" t="s">
        <v>615</v>
      </c>
      <c r="AO17" s="13" t="s">
        <v>615</v>
      </c>
      <c r="AP17" s="187">
        <v>0</v>
      </c>
      <c r="AQ17" s="187">
        <v>0</v>
      </c>
      <c r="AR17" s="190">
        <v>0</v>
      </c>
      <c r="AS17" s="190">
        <v>0</v>
      </c>
      <c r="AT17" s="190">
        <v>0</v>
      </c>
      <c r="AU17" s="187">
        <v>0</v>
      </c>
      <c r="AV17" s="187">
        <v>0</v>
      </c>
      <c r="AW17" s="191"/>
      <c r="AX17" s="192"/>
      <c r="AY17" s="193">
        <v>42666</v>
      </c>
      <c r="AZ17" s="193"/>
      <c r="BA17" s="193"/>
      <c r="BB17" s="194"/>
      <c r="BC17" s="194"/>
      <c r="BD17" s="195"/>
      <c r="BE17" s="195" t="s">
        <v>532</v>
      </c>
      <c r="BF17" s="195"/>
      <c r="BG17" s="195">
        <v>36</v>
      </c>
      <c r="BH17" s="196" t="s">
        <v>547</v>
      </c>
      <c r="BI17" s="197">
        <v>1</v>
      </c>
      <c r="BJ17" s="198"/>
      <c r="BK17" s="199">
        <v>0</v>
      </c>
      <c r="BL17" s="13">
        <v>0</v>
      </c>
      <c r="BM17" s="13">
        <v>0</v>
      </c>
      <c r="BN17" s="13" t="s">
        <v>616</v>
      </c>
      <c r="BO17" s="13" t="s">
        <v>616</v>
      </c>
      <c r="BP17" s="200">
        <v>0</v>
      </c>
      <c r="BQ17" s="201"/>
      <c r="BR17" s="202"/>
      <c r="BS17" s="187">
        <v>1000000000</v>
      </c>
      <c r="BT17" s="203">
        <v>0</v>
      </c>
      <c r="BU17" s="204">
        <v>0</v>
      </c>
      <c r="BV17" s="203">
        <v>0</v>
      </c>
      <c r="BW17" s="205">
        <v>0</v>
      </c>
      <c r="BX17" s="205">
        <v>0</v>
      </c>
      <c r="BY17" s="205">
        <v>0</v>
      </c>
      <c r="BZ17" s="203">
        <v>0</v>
      </c>
      <c r="CA17" s="203">
        <v>0</v>
      </c>
      <c r="CB17" s="203">
        <v>0</v>
      </c>
      <c r="CC17" s="204">
        <v>0</v>
      </c>
      <c r="CD17" s="203">
        <v>0</v>
      </c>
      <c r="CE17" s="203">
        <v>0</v>
      </c>
      <c r="CF17" s="13">
        <v>0</v>
      </c>
      <c r="CG17" s="206">
        <v>0</v>
      </c>
      <c r="CH17" s="207">
        <v>0</v>
      </c>
      <c r="CI17" s="201"/>
      <c r="CJ17" s="208"/>
      <c r="CK17" s="209" t="s">
        <v>615</v>
      </c>
      <c r="CL17" s="210" t="s">
        <v>615</v>
      </c>
      <c r="CM17" s="207">
        <v>0</v>
      </c>
      <c r="CN17" s="207">
        <v>0</v>
      </c>
      <c r="CO17" s="204">
        <v>0</v>
      </c>
      <c r="CP17" s="204">
        <v>0</v>
      </c>
      <c r="CQ17" s="211"/>
      <c r="CR17" s="204">
        <v>1</v>
      </c>
      <c r="CS17" s="212">
        <v>42531</v>
      </c>
      <c r="CT17" s="212">
        <v>42780</v>
      </c>
      <c r="CU17" s="213">
        <v>42780</v>
      </c>
      <c r="CV17" s="214">
        <v>42829</v>
      </c>
      <c r="CW17" s="214" t="s">
        <v>615</v>
      </c>
      <c r="CX17" s="214" t="s">
        <v>615</v>
      </c>
      <c r="CY17" s="204">
        <v>1</v>
      </c>
      <c r="CZ17" s="204">
        <v>0.97959183673469385</v>
      </c>
      <c r="DA17" s="203">
        <v>0</v>
      </c>
      <c r="DB17" s="204">
        <v>0.97959183673469385</v>
      </c>
      <c r="DC17" s="204">
        <v>0</v>
      </c>
      <c r="DD17" s="204">
        <v>0</v>
      </c>
      <c r="DE17" s="204">
        <v>0</v>
      </c>
      <c r="DF17" s="215">
        <v>0</v>
      </c>
      <c r="DG17" s="13" t="s">
        <v>615</v>
      </c>
      <c r="DH17" s="86">
        <v>15</v>
      </c>
      <c r="DI17" s="86"/>
      <c r="DJ17" s="86">
        <v>264</v>
      </c>
      <c r="DK17" s="86" t="s">
        <v>1717</v>
      </c>
      <c r="DL17" s="86" t="e">
        <v>#N/A</v>
      </c>
      <c r="DM17" s="86" t="e">
        <v>#N/A</v>
      </c>
      <c r="DN17" s="86" t="e">
        <v>#N/A</v>
      </c>
      <c r="DO17" s="86">
        <v>435</v>
      </c>
      <c r="DP17" s="86">
        <v>5</v>
      </c>
      <c r="DQ17" s="86">
        <v>49</v>
      </c>
      <c r="DR17" s="146">
        <v>0</v>
      </c>
      <c r="DS17" s="146">
        <v>0</v>
      </c>
      <c r="DT17" s="146">
        <v>0</v>
      </c>
      <c r="DU17" s="146">
        <v>0</v>
      </c>
      <c r="DV17" s="146">
        <v>0</v>
      </c>
      <c r="DW17" s="146">
        <v>0</v>
      </c>
      <c r="DX17" s="146">
        <v>0</v>
      </c>
      <c r="DY17" s="146">
        <v>0</v>
      </c>
      <c r="DZ17" s="146">
        <v>0</v>
      </c>
      <c r="EA17" s="146">
        <v>0</v>
      </c>
      <c r="EB17" s="146">
        <v>0</v>
      </c>
      <c r="EC17" s="146">
        <v>0</v>
      </c>
      <c r="ED17" s="146">
        <v>0</v>
      </c>
      <c r="EE17" s="146">
        <v>0</v>
      </c>
      <c r="EF17" s="146">
        <v>0</v>
      </c>
      <c r="EG17" s="146">
        <v>0</v>
      </c>
      <c r="EH17" s="146">
        <v>0</v>
      </c>
      <c r="EI17" s="146">
        <v>0</v>
      </c>
      <c r="EJ17" s="146">
        <v>0</v>
      </c>
      <c r="EK17" s="146">
        <v>0</v>
      </c>
      <c r="EL17" s="146">
        <v>0</v>
      </c>
      <c r="EM17" s="146">
        <v>0</v>
      </c>
      <c r="EN17" s="146">
        <v>0</v>
      </c>
      <c r="EO17" s="146">
        <v>0</v>
      </c>
      <c r="EP17" s="146">
        <v>0</v>
      </c>
      <c r="EQ17" s="146">
        <v>0</v>
      </c>
      <c r="ER17" s="146">
        <v>0</v>
      </c>
      <c r="ES17" s="146">
        <v>0</v>
      </c>
      <c r="ET17" s="146">
        <v>0</v>
      </c>
      <c r="EU17" s="146">
        <v>0</v>
      </c>
      <c r="EV17" s="146">
        <v>0</v>
      </c>
      <c r="EW17" s="146">
        <v>0</v>
      </c>
      <c r="EX17" s="146">
        <v>0</v>
      </c>
      <c r="EY17" s="146">
        <v>0</v>
      </c>
      <c r="EZ17" s="146">
        <v>0</v>
      </c>
      <c r="FA17" s="146">
        <v>0</v>
      </c>
      <c r="FB17" s="146">
        <v>0</v>
      </c>
      <c r="FC17" s="146">
        <v>0</v>
      </c>
      <c r="FD17" s="146">
        <v>0</v>
      </c>
      <c r="FE17" s="146">
        <v>0</v>
      </c>
      <c r="FF17" s="146">
        <v>0</v>
      </c>
      <c r="FG17" s="146">
        <v>0</v>
      </c>
      <c r="FH17" s="146">
        <v>0</v>
      </c>
      <c r="FI17" s="146">
        <v>0</v>
      </c>
      <c r="FJ17" s="146">
        <v>0</v>
      </c>
      <c r="FK17" s="146">
        <v>0</v>
      </c>
      <c r="FL17" s="146">
        <v>0</v>
      </c>
      <c r="FM17" s="146">
        <v>0</v>
      </c>
      <c r="FN17" s="146">
        <v>0</v>
      </c>
      <c r="FO17" s="146">
        <v>0</v>
      </c>
      <c r="FP17" s="146">
        <v>0</v>
      </c>
      <c r="FQ17" s="146">
        <v>0</v>
      </c>
      <c r="FR17" s="146">
        <v>0</v>
      </c>
      <c r="FS17" s="146">
        <v>0</v>
      </c>
      <c r="FT17" s="146">
        <v>0</v>
      </c>
      <c r="FU17" s="146">
        <v>0</v>
      </c>
      <c r="FV17" s="146">
        <v>0</v>
      </c>
      <c r="FW17" s="146">
        <v>0</v>
      </c>
      <c r="FX17" s="146">
        <v>0</v>
      </c>
      <c r="FY17" s="146">
        <v>0</v>
      </c>
      <c r="FZ17" s="146">
        <v>0</v>
      </c>
      <c r="GA17" s="146">
        <v>0</v>
      </c>
      <c r="GB17" s="146">
        <v>0</v>
      </c>
      <c r="GC17" s="146">
        <v>0</v>
      </c>
      <c r="GD17" s="146">
        <v>0</v>
      </c>
      <c r="GE17" s="146">
        <v>0</v>
      </c>
      <c r="GF17" s="146">
        <v>0</v>
      </c>
      <c r="GG17" s="146">
        <v>0</v>
      </c>
      <c r="GH17" s="146">
        <v>0</v>
      </c>
      <c r="GI17" s="146">
        <v>0</v>
      </c>
      <c r="GJ17" s="146">
        <v>0</v>
      </c>
      <c r="GK17" s="146">
        <v>0</v>
      </c>
      <c r="GL17" s="146">
        <v>0</v>
      </c>
      <c r="GM17" s="146">
        <v>0</v>
      </c>
      <c r="GN17" s="146">
        <v>0</v>
      </c>
      <c r="GO17" s="146">
        <v>0</v>
      </c>
      <c r="GP17" s="146">
        <v>0</v>
      </c>
      <c r="GQ17" s="146">
        <v>0</v>
      </c>
      <c r="GR17" s="146">
        <v>0</v>
      </c>
      <c r="GS17" s="146">
        <v>0</v>
      </c>
      <c r="GT17" s="146">
        <v>0</v>
      </c>
      <c r="GU17" s="146">
        <v>0</v>
      </c>
      <c r="GV17" s="146">
        <v>0</v>
      </c>
      <c r="GW17" s="146">
        <v>0</v>
      </c>
      <c r="GX17" s="146">
        <v>0</v>
      </c>
      <c r="GY17" s="146">
        <v>0</v>
      </c>
      <c r="GZ17" s="146">
        <v>0</v>
      </c>
      <c r="HA17" s="146">
        <v>0</v>
      </c>
      <c r="HB17" s="146">
        <v>0</v>
      </c>
      <c r="HC17" s="146">
        <v>0</v>
      </c>
      <c r="HD17" s="146">
        <v>0</v>
      </c>
      <c r="HE17" s="146">
        <v>0</v>
      </c>
      <c r="HF17" s="146">
        <v>0</v>
      </c>
      <c r="HG17" s="146">
        <v>0</v>
      </c>
      <c r="HH17" s="146">
        <v>0</v>
      </c>
      <c r="HI17" s="146">
        <v>0</v>
      </c>
      <c r="HJ17" s="146">
        <v>0</v>
      </c>
      <c r="HK17" s="146">
        <v>0</v>
      </c>
      <c r="HL17" s="146">
        <v>0</v>
      </c>
      <c r="HM17" s="146">
        <v>0</v>
      </c>
      <c r="HN17" s="146">
        <v>0</v>
      </c>
      <c r="HO17" s="146">
        <v>0</v>
      </c>
      <c r="HP17" s="146">
        <v>0</v>
      </c>
      <c r="HQ17" s="146">
        <v>0</v>
      </c>
      <c r="HR17" s="146">
        <v>0</v>
      </c>
      <c r="HS17" s="146">
        <v>0</v>
      </c>
      <c r="HT17" s="146">
        <v>0</v>
      </c>
      <c r="HU17" s="151"/>
      <c r="HV17" s="146">
        <v>0</v>
      </c>
      <c r="HW17" s="151"/>
      <c r="HX17" s="151"/>
      <c r="HY17" s="151"/>
      <c r="HZ17" s="151"/>
      <c r="IA17" s="151"/>
      <c r="IB17" s="151"/>
      <c r="IC17" s="151"/>
      <c r="ID17" s="151"/>
      <c r="IE17" s="151"/>
      <c r="IF17" s="151"/>
      <c r="IG17" s="151"/>
      <c r="IH17" s="151"/>
      <c r="II17" s="151"/>
      <c r="IJ17" s="151"/>
      <c r="IK17" s="151"/>
      <c r="IL17" s="151"/>
      <c r="IM17" s="151"/>
      <c r="IN17" s="151"/>
      <c r="IO17" s="151"/>
      <c r="IP17" s="151"/>
      <c r="IQ17" s="151"/>
      <c r="IR17" s="151"/>
      <c r="IS17" s="151"/>
      <c r="IT17" s="151"/>
      <c r="IU17" s="151"/>
      <c r="IV17" s="151"/>
      <c r="IW17" s="151"/>
      <c r="IX17" s="151"/>
      <c r="IY17" s="151"/>
      <c r="IZ17" s="151"/>
      <c r="JA17" s="151"/>
      <c r="JB17" s="151"/>
      <c r="JC17" s="151"/>
      <c r="JD17" s="151"/>
      <c r="JE17" s="151"/>
      <c r="JF17" s="151"/>
      <c r="JG17" s="151"/>
      <c r="JH17" s="151"/>
      <c r="JI17" s="151"/>
      <c r="JJ17" s="151"/>
      <c r="JK17" s="151"/>
      <c r="JL17" s="151"/>
      <c r="JM17" s="151"/>
      <c r="JN17" s="151"/>
      <c r="JO17" s="151"/>
      <c r="JP17" s="151"/>
      <c r="JQ17" s="151"/>
      <c r="JR17" s="151"/>
      <c r="JS17" s="151"/>
      <c r="JT17" s="151"/>
      <c r="JU17" s="151"/>
      <c r="JV17" s="151"/>
      <c r="JW17" s="151"/>
      <c r="JX17" s="151"/>
      <c r="JY17" s="151"/>
      <c r="JZ17" s="151"/>
      <c r="KA17" s="151"/>
      <c r="KB17" s="151"/>
      <c r="KC17" s="151"/>
      <c r="KD17" s="151"/>
      <c r="KE17" s="151"/>
      <c r="KF17" s="151"/>
      <c r="KG17" s="151"/>
      <c r="KH17" s="151"/>
      <c r="KI17" s="151"/>
      <c r="KJ17" s="151"/>
      <c r="KK17" s="151"/>
      <c r="KL17" s="151"/>
      <c r="KM17" s="151"/>
      <c r="KN17" s="151"/>
      <c r="KO17" s="151"/>
      <c r="KP17" s="151"/>
      <c r="KQ17" s="151"/>
      <c r="KR17" s="151"/>
      <c r="KS17" s="151"/>
      <c r="KT17" s="151"/>
      <c r="KU17" s="151"/>
      <c r="KV17" s="151"/>
      <c r="KW17" s="151"/>
      <c r="KX17" s="151"/>
      <c r="KY17" s="151"/>
      <c r="KZ17" s="151"/>
      <c r="LA17" s="151"/>
      <c r="LB17" s="151"/>
      <c r="LC17" s="151"/>
      <c r="LD17" s="151"/>
      <c r="LE17" s="151"/>
    </row>
    <row r="18" spans="1:317" x14ac:dyDescent="0.2">
      <c r="A18" s="179" t="s">
        <v>849</v>
      </c>
      <c r="B18" s="180" t="s">
        <v>917</v>
      </c>
      <c r="C18" s="181"/>
      <c r="D18" s="182">
        <v>0</v>
      </c>
      <c r="E18" s="182">
        <v>0</v>
      </c>
      <c r="F18" s="183" t="s">
        <v>1203</v>
      </c>
      <c r="G18" s="183">
        <v>0</v>
      </c>
      <c r="H18" s="183">
        <v>0</v>
      </c>
      <c r="I18" s="183">
        <v>0</v>
      </c>
      <c r="J18" s="183">
        <v>0</v>
      </c>
      <c r="K18" s="183" t="s">
        <v>1362</v>
      </c>
      <c r="L18" s="183">
        <v>0</v>
      </c>
      <c r="M18" s="183">
        <v>0</v>
      </c>
      <c r="N18" s="183" t="s">
        <v>881</v>
      </c>
      <c r="O18" s="183">
        <v>0</v>
      </c>
      <c r="P18" s="183">
        <v>0</v>
      </c>
      <c r="Q18" s="183"/>
      <c r="R18" s="183"/>
      <c r="S18" s="183"/>
      <c r="T18" s="183"/>
      <c r="U18" s="183"/>
      <c r="V18" s="183">
        <v>0</v>
      </c>
      <c r="W18" s="183">
        <v>0</v>
      </c>
      <c r="X18" s="183">
        <v>0</v>
      </c>
      <c r="Y18" s="184">
        <v>0.37</v>
      </c>
      <c r="Z18" s="184">
        <v>0</v>
      </c>
      <c r="AA18" s="184">
        <v>0</v>
      </c>
      <c r="AB18" s="185" t="s">
        <v>615</v>
      </c>
      <c r="AC18" s="185" t="s">
        <v>615</v>
      </c>
      <c r="AD18" s="186" t="s">
        <v>881</v>
      </c>
      <c r="AE18" s="186" t="s">
        <v>858</v>
      </c>
      <c r="AF18" s="187">
        <v>7</v>
      </c>
      <c r="AG18" s="187">
        <v>3</v>
      </c>
      <c r="AH18" s="187">
        <v>4</v>
      </c>
      <c r="AI18" s="188">
        <v>1</v>
      </c>
      <c r="AJ18" s="188" t="s">
        <v>615</v>
      </c>
      <c r="AK18" s="187" t="s">
        <v>1736</v>
      </c>
      <c r="AL18" s="87" t="s">
        <v>615</v>
      </c>
      <c r="AM18" s="189"/>
      <c r="AN18" s="187" t="s">
        <v>615</v>
      </c>
      <c r="AO18" s="13" t="s">
        <v>615</v>
      </c>
      <c r="AP18" s="187">
        <v>0</v>
      </c>
      <c r="AQ18" s="187">
        <v>0</v>
      </c>
      <c r="AR18" s="190">
        <v>0</v>
      </c>
      <c r="AS18" s="190">
        <v>0</v>
      </c>
      <c r="AT18" s="190">
        <v>0</v>
      </c>
      <c r="AU18" s="187">
        <v>0</v>
      </c>
      <c r="AV18" s="187">
        <v>0</v>
      </c>
      <c r="AW18" s="191"/>
      <c r="AX18" s="192"/>
      <c r="AY18" s="193">
        <v>42666</v>
      </c>
      <c r="AZ18" s="193"/>
      <c r="BA18" s="193"/>
      <c r="BB18" s="194"/>
      <c r="BC18" s="194"/>
      <c r="BD18" s="195"/>
      <c r="BE18" s="195" t="s">
        <v>532</v>
      </c>
      <c r="BF18" s="195"/>
      <c r="BG18" s="195">
        <v>200</v>
      </c>
      <c r="BH18" s="196" t="s">
        <v>547</v>
      </c>
      <c r="BI18" s="197">
        <v>1</v>
      </c>
      <c r="BJ18" s="198"/>
      <c r="BK18" s="199">
        <v>0</v>
      </c>
      <c r="BL18" s="13">
        <v>0</v>
      </c>
      <c r="BM18" s="13">
        <v>0</v>
      </c>
      <c r="BN18" s="13" t="s">
        <v>616</v>
      </c>
      <c r="BO18" s="13" t="s">
        <v>616</v>
      </c>
      <c r="BP18" s="200">
        <v>0</v>
      </c>
      <c r="BQ18" s="201"/>
      <c r="BR18" s="202"/>
      <c r="BS18" s="187">
        <v>1000000000</v>
      </c>
      <c r="BT18" s="203">
        <v>0</v>
      </c>
      <c r="BU18" s="204">
        <v>0</v>
      </c>
      <c r="BV18" s="203">
        <v>0</v>
      </c>
      <c r="BW18" s="205">
        <v>0</v>
      </c>
      <c r="BX18" s="205">
        <v>0</v>
      </c>
      <c r="BY18" s="205">
        <v>0</v>
      </c>
      <c r="BZ18" s="203">
        <v>0</v>
      </c>
      <c r="CA18" s="203">
        <v>0</v>
      </c>
      <c r="CB18" s="203">
        <v>0</v>
      </c>
      <c r="CC18" s="204">
        <v>0</v>
      </c>
      <c r="CD18" s="203">
        <v>0</v>
      </c>
      <c r="CE18" s="203">
        <v>0</v>
      </c>
      <c r="CF18" s="13">
        <v>0</v>
      </c>
      <c r="CG18" s="206">
        <v>0</v>
      </c>
      <c r="CH18" s="207">
        <v>0</v>
      </c>
      <c r="CI18" s="201"/>
      <c r="CJ18" s="208"/>
      <c r="CK18" s="209" t="s">
        <v>615</v>
      </c>
      <c r="CL18" s="210" t="s">
        <v>615</v>
      </c>
      <c r="CM18" s="207">
        <v>0</v>
      </c>
      <c r="CN18" s="207">
        <v>0</v>
      </c>
      <c r="CO18" s="204">
        <v>0</v>
      </c>
      <c r="CP18" s="204">
        <v>0</v>
      </c>
      <c r="CQ18" s="211"/>
      <c r="CR18" s="204">
        <v>1</v>
      </c>
      <c r="CS18" s="212">
        <v>42531</v>
      </c>
      <c r="CT18" s="212">
        <v>42780</v>
      </c>
      <c r="CU18" s="213">
        <v>42780</v>
      </c>
      <c r="CV18" s="214">
        <v>42829</v>
      </c>
      <c r="CW18" s="214" t="s">
        <v>615</v>
      </c>
      <c r="CX18" s="214" t="s">
        <v>615</v>
      </c>
      <c r="CY18" s="204">
        <v>0.21072097724186994</v>
      </c>
      <c r="CZ18" s="204">
        <v>0.97959183673469397</v>
      </c>
      <c r="DA18" s="203">
        <v>0</v>
      </c>
      <c r="DB18" s="204">
        <v>4.0816326530612242E-2</v>
      </c>
      <c r="DC18" s="204">
        <v>0</v>
      </c>
      <c r="DD18" s="204">
        <v>0</v>
      </c>
      <c r="DE18" s="204">
        <v>0</v>
      </c>
      <c r="DF18" s="215">
        <v>0.93877551020408168</v>
      </c>
      <c r="DG18" s="13" t="s">
        <v>615</v>
      </c>
      <c r="DH18" s="86">
        <v>16</v>
      </c>
      <c r="DI18" s="86"/>
      <c r="DJ18" s="86">
        <v>263</v>
      </c>
      <c r="DK18" s="86" t="s">
        <v>1716</v>
      </c>
      <c r="DL18" s="86" t="e">
        <v>#N/A</v>
      </c>
      <c r="DM18" s="86" t="e">
        <v>#N/A</v>
      </c>
      <c r="DN18" s="86" t="e">
        <v>#N/A</v>
      </c>
      <c r="DO18" s="86">
        <v>434</v>
      </c>
      <c r="DP18" s="86">
        <v>5</v>
      </c>
      <c r="DQ18" s="86">
        <v>49</v>
      </c>
      <c r="DR18" s="152">
        <v>1</v>
      </c>
      <c r="DS18" s="152">
        <v>1</v>
      </c>
      <c r="DT18" s="152">
        <v>1</v>
      </c>
      <c r="DU18" s="152">
        <v>1</v>
      </c>
      <c r="DV18" s="152">
        <v>1</v>
      </c>
      <c r="DW18" s="152">
        <v>1</v>
      </c>
      <c r="DX18" s="152">
        <v>1</v>
      </c>
      <c r="DY18" s="152">
        <v>1</v>
      </c>
      <c r="DZ18" s="152">
        <v>1</v>
      </c>
      <c r="EA18" s="152">
        <v>1</v>
      </c>
      <c r="EB18" s="152">
        <v>1</v>
      </c>
      <c r="EC18" s="152">
        <v>1</v>
      </c>
      <c r="ED18" s="152">
        <v>1</v>
      </c>
      <c r="EE18" s="152">
        <v>1</v>
      </c>
      <c r="EF18" s="152">
        <v>1</v>
      </c>
      <c r="EG18" s="152">
        <v>1</v>
      </c>
      <c r="EH18" s="152">
        <v>1</v>
      </c>
      <c r="EI18" s="152">
        <v>1</v>
      </c>
      <c r="EJ18" s="152">
        <v>1</v>
      </c>
      <c r="EK18" s="152">
        <v>1</v>
      </c>
      <c r="EL18" s="152">
        <v>1</v>
      </c>
      <c r="EM18" s="152">
        <v>1</v>
      </c>
      <c r="EN18" s="152">
        <v>1</v>
      </c>
      <c r="EO18" s="152">
        <v>1</v>
      </c>
      <c r="EP18" s="152">
        <v>1</v>
      </c>
      <c r="EQ18" s="152">
        <v>1</v>
      </c>
      <c r="ER18" s="152">
        <v>1</v>
      </c>
      <c r="ES18" s="152">
        <v>1</v>
      </c>
      <c r="ET18" s="152">
        <v>1</v>
      </c>
      <c r="EU18" s="152">
        <v>1</v>
      </c>
      <c r="EV18" s="152">
        <v>1</v>
      </c>
      <c r="EW18" s="152">
        <v>1</v>
      </c>
      <c r="EX18" s="152">
        <v>1</v>
      </c>
      <c r="EY18" s="152">
        <v>1</v>
      </c>
      <c r="EZ18" s="152">
        <v>1</v>
      </c>
      <c r="FA18" s="152">
        <v>1</v>
      </c>
      <c r="FB18" s="152">
        <v>1</v>
      </c>
      <c r="FC18" s="152">
        <v>1</v>
      </c>
      <c r="FD18" s="152">
        <v>1</v>
      </c>
      <c r="FE18" s="152">
        <v>1</v>
      </c>
      <c r="FF18" s="152">
        <v>0</v>
      </c>
      <c r="FG18" s="152">
        <v>0</v>
      </c>
      <c r="FH18" s="152">
        <v>0</v>
      </c>
      <c r="FI18" s="152">
        <v>0</v>
      </c>
      <c r="FJ18" s="152">
        <v>0</v>
      </c>
      <c r="FK18" s="152">
        <v>0</v>
      </c>
      <c r="FL18" s="152">
        <v>0</v>
      </c>
      <c r="FM18" s="152">
        <v>0</v>
      </c>
      <c r="FN18" s="152">
        <v>0</v>
      </c>
      <c r="FO18" s="152">
        <v>0</v>
      </c>
      <c r="FP18" s="152">
        <v>0</v>
      </c>
      <c r="FQ18" s="152">
        <v>0</v>
      </c>
      <c r="FR18" s="152">
        <v>0</v>
      </c>
      <c r="FS18" s="152">
        <v>0</v>
      </c>
      <c r="FT18" s="152">
        <v>0</v>
      </c>
      <c r="FU18" s="152">
        <v>1000</v>
      </c>
      <c r="FV18" s="152">
        <v>1000</v>
      </c>
      <c r="FW18" s="152">
        <v>1000</v>
      </c>
      <c r="FX18" s="152">
        <v>1000</v>
      </c>
      <c r="FY18" s="152">
        <v>1000</v>
      </c>
      <c r="FZ18" s="152">
        <v>1000</v>
      </c>
      <c r="GA18" s="152">
        <v>1000</v>
      </c>
      <c r="GB18" s="152">
        <v>1000</v>
      </c>
      <c r="GC18" s="152">
        <v>1000</v>
      </c>
      <c r="GD18" s="152">
        <v>1000</v>
      </c>
      <c r="GE18" s="152">
        <v>1000</v>
      </c>
      <c r="GF18" s="152">
        <v>1000</v>
      </c>
      <c r="GG18" s="152">
        <v>1000</v>
      </c>
      <c r="GH18" s="152">
        <v>1000</v>
      </c>
      <c r="GI18" s="152">
        <v>1000</v>
      </c>
      <c r="GJ18" s="152">
        <v>1000</v>
      </c>
      <c r="GK18" s="152">
        <v>1000</v>
      </c>
      <c r="GL18" s="152">
        <v>1000</v>
      </c>
      <c r="GM18" s="152">
        <v>1000</v>
      </c>
      <c r="GN18" s="152">
        <v>1000</v>
      </c>
      <c r="GO18" s="152">
        <v>1000</v>
      </c>
      <c r="GP18" s="152">
        <v>1000</v>
      </c>
      <c r="GQ18" s="152">
        <v>1000</v>
      </c>
      <c r="GR18" s="152">
        <v>1000</v>
      </c>
      <c r="GS18" s="152">
        <v>1000</v>
      </c>
      <c r="GT18" s="152">
        <v>1000</v>
      </c>
      <c r="GU18" s="152">
        <v>1000</v>
      </c>
      <c r="GV18" s="152">
        <v>1000</v>
      </c>
      <c r="GW18" s="152">
        <v>1000</v>
      </c>
      <c r="GX18" s="152">
        <v>1000</v>
      </c>
      <c r="GY18" s="152">
        <v>1000</v>
      </c>
      <c r="GZ18" s="152">
        <v>1000</v>
      </c>
      <c r="HA18" s="152">
        <v>1000</v>
      </c>
      <c r="HB18" s="152">
        <v>1000</v>
      </c>
      <c r="HC18" s="152">
        <v>1000</v>
      </c>
      <c r="HD18" s="152">
        <v>1000</v>
      </c>
      <c r="HE18" s="152">
        <v>1000</v>
      </c>
      <c r="HF18" s="152">
        <v>1000</v>
      </c>
      <c r="HG18" s="152">
        <v>1000</v>
      </c>
      <c r="HH18" s="152">
        <v>1000</v>
      </c>
      <c r="HI18" s="152">
        <v>1000</v>
      </c>
      <c r="HJ18" s="152">
        <v>1000</v>
      </c>
      <c r="HK18" s="152">
        <v>1000</v>
      </c>
      <c r="HL18" s="152">
        <v>1000</v>
      </c>
      <c r="HM18" s="152">
        <v>1000</v>
      </c>
      <c r="HN18" s="152">
        <v>1000</v>
      </c>
      <c r="HO18" s="152">
        <v>1000</v>
      </c>
      <c r="HP18" s="152">
        <v>1000</v>
      </c>
      <c r="HQ18" s="152">
        <v>1000</v>
      </c>
      <c r="HR18" s="152">
        <v>1000</v>
      </c>
      <c r="HS18" s="152">
        <v>1000</v>
      </c>
      <c r="HT18" s="152">
        <v>0</v>
      </c>
      <c r="HU18" s="216"/>
      <c r="HV18" s="152">
        <v>0</v>
      </c>
      <c r="HW18" s="216"/>
      <c r="HX18" s="216"/>
      <c r="HY18" s="216"/>
      <c r="HZ18" s="216"/>
      <c r="IA18" s="216"/>
      <c r="IB18" s="216"/>
      <c r="IC18" s="216"/>
      <c r="ID18" s="216"/>
      <c r="IE18" s="216"/>
      <c r="IF18" s="216"/>
      <c r="IG18" s="216"/>
      <c r="IH18" s="216"/>
      <c r="II18" s="216"/>
      <c r="IJ18" s="216"/>
      <c r="IK18" s="216"/>
      <c r="IL18" s="216"/>
      <c r="IM18" s="216"/>
      <c r="IN18" s="216"/>
      <c r="IO18" s="216"/>
      <c r="IP18" s="216"/>
      <c r="IQ18" s="216"/>
      <c r="IR18" s="216"/>
      <c r="IS18" s="216"/>
      <c r="IT18" s="216"/>
      <c r="IU18" s="216"/>
      <c r="IV18" s="216"/>
      <c r="IW18" s="216"/>
      <c r="IX18" s="216"/>
      <c r="IY18" s="216"/>
      <c r="IZ18" s="216"/>
      <c r="JA18" s="216"/>
      <c r="JB18" s="216"/>
      <c r="JC18" s="216"/>
      <c r="JD18" s="216"/>
      <c r="JE18" s="216"/>
      <c r="JF18" s="216"/>
      <c r="JG18" s="216"/>
      <c r="JH18" s="216"/>
      <c r="JI18" s="216"/>
      <c r="JJ18" s="216"/>
      <c r="JK18" s="216"/>
      <c r="JL18" s="216"/>
      <c r="JM18" s="216"/>
      <c r="JN18" s="216"/>
      <c r="JO18" s="216"/>
      <c r="JP18" s="216"/>
      <c r="JQ18" s="216"/>
      <c r="JR18" s="216"/>
      <c r="JS18" s="216"/>
      <c r="JT18" s="216"/>
      <c r="JU18" s="216"/>
      <c r="JV18" s="216"/>
      <c r="JW18" s="216"/>
      <c r="JX18" s="216"/>
      <c r="JY18" s="216"/>
      <c r="JZ18" s="216"/>
      <c r="KA18" s="216"/>
      <c r="KB18" s="216"/>
      <c r="KC18" s="216"/>
      <c r="KD18" s="216"/>
      <c r="KE18" s="216"/>
      <c r="KF18" s="216"/>
      <c r="KG18" s="216"/>
      <c r="KH18" s="216"/>
      <c r="KI18" s="216"/>
      <c r="KJ18" s="216"/>
      <c r="KK18" s="216"/>
      <c r="KL18" s="216"/>
      <c r="KM18" s="216"/>
      <c r="KN18" s="216"/>
      <c r="KO18" s="216"/>
      <c r="KP18" s="216"/>
      <c r="KQ18" s="216"/>
      <c r="KR18" s="216"/>
      <c r="KS18" s="216"/>
      <c r="KT18" s="216"/>
      <c r="KU18" s="216"/>
      <c r="KV18" s="216"/>
      <c r="KW18" s="216"/>
      <c r="KX18" s="216"/>
      <c r="KY18" s="216"/>
      <c r="KZ18" s="216"/>
      <c r="LA18" s="216"/>
      <c r="LB18" s="216"/>
      <c r="LC18" s="216"/>
      <c r="LD18" s="216"/>
      <c r="LE18" s="216"/>
    </row>
    <row r="19" spans="1:317" x14ac:dyDescent="0.2">
      <c r="A19" s="179" t="s">
        <v>849</v>
      </c>
      <c r="B19" s="180" t="s">
        <v>918</v>
      </c>
      <c r="C19" s="181"/>
      <c r="D19" s="182">
        <v>0</v>
      </c>
      <c r="E19" s="182">
        <v>0</v>
      </c>
      <c r="F19" s="183" t="s">
        <v>1204</v>
      </c>
      <c r="G19" s="183">
        <v>0</v>
      </c>
      <c r="H19" s="183">
        <v>0</v>
      </c>
      <c r="I19" s="183">
        <v>0</v>
      </c>
      <c r="J19" s="183">
        <v>0</v>
      </c>
      <c r="K19" s="183" t="s">
        <v>1363</v>
      </c>
      <c r="L19" s="183">
        <v>0</v>
      </c>
      <c r="M19" s="183">
        <v>0</v>
      </c>
      <c r="N19" s="183" t="s">
        <v>881</v>
      </c>
      <c r="O19" s="183">
        <v>0</v>
      </c>
      <c r="P19" s="183">
        <v>0</v>
      </c>
      <c r="Q19" s="183"/>
      <c r="R19" s="183"/>
      <c r="S19" s="183"/>
      <c r="T19" s="183"/>
      <c r="U19" s="183"/>
      <c r="V19" s="183">
        <v>0</v>
      </c>
      <c r="W19" s="183">
        <v>0</v>
      </c>
      <c r="X19" s="183">
        <v>0</v>
      </c>
      <c r="Y19" s="184">
        <v>3.42</v>
      </c>
      <c r="Z19" s="184">
        <v>37.909999999999997</v>
      </c>
      <c r="AA19" s="184">
        <v>0</v>
      </c>
      <c r="AB19" s="185" t="s">
        <v>615</v>
      </c>
      <c r="AC19" s="185" t="s">
        <v>615</v>
      </c>
      <c r="AD19" s="186" t="s">
        <v>881</v>
      </c>
      <c r="AE19" s="186" t="s">
        <v>858</v>
      </c>
      <c r="AF19" s="187">
        <v>7</v>
      </c>
      <c r="AG19" s="187">
        <v>3</v>
      </c>
      <c r="AH19" s="187">
        <v>4</v>
      </c>
      <c r="AI19" s="188">
        <v>1</v>
      </c>
      <c r="AJ19" s="188" t="s">
        <v>615</v>
      </c>
      <c r="AK19" s="187" t="s">
        <v>1733</v>
      </c>
      <c r="AL19" s="87" t="s">
        <v>615</v>
      </c>
      <c r="AM19" s="189"/>
      <c r="AN19" s="187" t="s">
        <v>615</v>
      </c>
      <c r="AO19" s="13" t="s">
        <v>615</v>
      </c>
      <c r="AP19" s="187">
        <v>0</v>
      </c>
      <c r="AQ19" s="187">
        <v>0</v>
      </c>
      <c r="AR19" s="190">
        <v>0</v>
      </c>
      <c r="AS19" s="190">
        <v>0</v>
      </c>
      <c r="AT19" s="190">
        <v>0</v>
      </c>
      <c r="AU19" s="187">
        <v>0</v>
      </c>
      <c r="AV19" s="187">
        <v>0</v>
      </c>
      <c r="AW19" s="191"/>
      <c r="AX19" s="192"/>
      <c r="AY19" s="193">
        <v>42666</v>
      </c>
      <c r="AZ19" s="193"/>
      <c r="BA19" s="193"/>
      <c r="BB19" s="194"/>
      <c r="BC19" s="194"/>
      <c r="BD19" s="195"/>
      <c r="BE19" s="195" t="s">
        <v>532</v>
      </c>
      <c r="BF19" s="195"/>
      <c r="BG19" s="195">
        <v>18</v>
      </c>
      <c r="BH19" s="196" t="s">
        <v>547</v>
      </c>
      <c r="BI19" s="197">
        <v>1</v>
      </c>
      <c r="BJ19" s="198"/>
      <c r="BK19" s="199">
        <v>0</v>
      </c>
      <c r="BL19" s="13">
        <v>0</v>
      </c>
      <c r="BM19" s="13">
        <v>0</v>
      </c>
      <c r="BN19" s="13" t="s">
        <v>616</v>
      </c>
      <c r="BO19" s="13" t="s">
        <v>616</v>
      </c>
      <c r="BP19" s="200">
        <v>0</v>
      </c>
      <c r="BQ19" s="201"/>
      <c r="BR19" s="202"/>
      <c r="BS19" s="187">
        <v>1000000000</v>
      </c>
      <c r="BT19" s="203">
        <v>0</v>
      </c>
      <c r="BU19" s="204">
        <v>0</v>
      </c>
      <c r="BV19" s="203">
        <v>0</v>
      </c>
      <c r="BW19" s="205">
        <v>0</v>
      </c>
      <c r="BX19" s="205">
        <v>0</v>
      </c>
      <c r="BY19" s="205">
        <v>0</v>
      </c>
      <c r="BZ19" s="203">
        <v>0</v>
      </c>
      <c r="CA19" s="203">
        <v>0</v>
      </c>
      <c r="CB19" s="203">
        <v>0</v>
      </c>
      <c r="CC19" s="204">
        <v>0</v>
      </c>
      <c r="CD19" s="203">
        <v>0</v>
      </c>
      <c r="CE19" s="203">
        <v>0</v>
      </c>
      <c r="CF19" s="13">
        <v>0</v>
      </c>
      <c r="CG19" s="206">
        <v>0</v>
      </c>
      <c r="CH19" s="207">
        <v>0</v>
      </c>
      <c r="CI19" s="201"/>
      <c r="CJ19" s="208"/>
      <c r="CK19" s="209" t="s">
        <v>615</v>
      </c>
      <c r="CL19" s="210" t="s">
        <v>615</v>
      </c>
      <c r="CM19" s="207">
        <v>0</v>
      </c>
      <c r="CN19" s="207">
        <v>0</v>
      </c>
      <c r="CO19" s="204">
        <v>0</v>
      </c>
      <c r="CP19" s="204">
        <v>0</v>
      </c>
      <c r="CQ19" s="211"/>
      <c r="CR19" s="204">
        <v>1</v>
      </c>
      <c r="CS19" s="212">
        <v>42592</v>
      </c>
      <c r="CT19" s="212">
        <v>42780</v>
      </c>
      <c r="CU19" s="213">
        <v>42780</v>
      </c>
      <c r="CV19" s="214">
        <v>42829</v>
      </c>
      <c r="CW19" s="214" t="s">
        <v>615</v>
      </c>
      <c r="CX19" s="214" t="s">
        <v>615</v>
      </c>
      <c r="CY19" s="204">
        <v>1</v>
      </c>
      <c r="CZ19" s="204">
        <v>0.97959183673469385</v>
      </c>
      <c r="DA19" s="203">
        <v>0</v>
      </c>
      <c r="DB19" s="204">
        <v>0.97959183673469385</v>
      </c>
      <c r="DC19" s="204">
        <v>0</v>
      </c>
      <c r="DD19" s="204">
        <v>0</v>
      </c>
      <c r="DE19" s="204">
        <v>0</v>
      </c>
      <c r="DF19" s="215">
        <v>0</v>
      </c>
      <c r="DG19" s="13" t="s">
        <v>615</v>
      </c>
      <c r="DH19" s="86">
        <v>17</v>
      </c>
      <c r="DI19" s="86"/>
      <c r="DJ19" s="86">
        <v>262</v>
      </c>
      <c r="DK19" s="86" t="s">
        <v>1715</v>
      </c>
      <c r="DL19" s="86" t="e">
        <v>#N/A</v>
      </c>
      <c r="DM19" s="86" t="e">
        <v>#N/A</v>
      </c>
      <c r="DN19" s="86" t="e">
        <v>#N/A</v>
      </c>
      <c r="DO19" s="86">
        <v>433</v>
      </c>
      <c r="DP19" s="86">
        <v>5</v>
      </c>
      <c r="DQ19" s="86">
        <v>49</v>
      </c>
      <c r="DR19" s="146">
        <v>2</v>
      </c>
      <c r="DS19" s="146">
        <v>2</v>
      </c>
      <c r="DT19" s="146">
        <v>2</v>
      </c>
      <c r="DU19" s="146">
        <v>2</v>
      </c>
      <c r="DV19" s="146">
        <v>2</v>
      </c>
      <c r="DW19" s="146">
        <v>2</v>
      </c>
      <c r="DX19" s="146">
        <v>2</v>
      </c>
      <c r="DY19" s="146">
        <v>2</v>
      </c>
      <c r="DZ19" s="146">
        <v>2</v>
      </c>
      <c r="EA19" s="146">
        <v>2</v>
      </c>
      <c r="EB19" s="146">
        <v>2</v>
      </c>
      <c r="EC19" s="146">
        <v>2</v>
      </c>
      <c r="ED19" s="146">
        <v>2</v>
      </c>
      <c r="EE19" s="146">
        <v>2</v>
      </c>
      <c r="EF19" s="146">
        <v>2</v>
      </c>
      <c r="EG19" s="146">
        <v>2</v>
      </c>
      <c r="EH19" s="146">
        <v>2</v>
      </c>
      <c r="EI19" s="146">
        <v>2</v>
      </c>
      <c r="EJ19" s="146">
        <v>2</v>
      </c>
      <c r="EK19" s="146">
        <v>2</v>
      </c>
      <c r="EL19" s="146">
        <v>2</v>
      </c>
      <c r="EM19" s="146">
        <v>2</v>
      </c>
      <c r="EN19" s="146">
        <v>2</v>
      </c>
      <c r="EO19" s="146">
        <v>2</v>
      </c>
      <c r="EP19" s="146">
        <v>2</v>
      </c>
      <c r="EQ19" s="146">
        <v>2</v>
      </c>
      <c r="ER19" s="146">
        <v>2</v>
      </c>
      <c r="ES19" s="146">
        <v>2</v>
      </c>
      <c r="ET19" s="146">
        <v>2</v>
      </c>
      <c r="EU19" s="146">
        <v>2</v>
      </c>
      <c r="EV19" s="146">
        <v>2</v>
      </c>
      <c r="EW19" s="146">
        <v>2</v>
      </c>
      <c r="EX19" s="146">
        <v>2</v>
      </c>
      <c r="EY19" s="146">
        <v>2</v>
      </c>
      <c r="EZ19" s="146">
        <v>2</v>
      </c>
      <c r="FA19" s="146">
        <v>2</v>
      </c>
      <c r="FB19" s="146">
        <v>2</v>
      </c>
      <c r="FC19" s="146">
        <v>2</v>
      </c>
      <c r="FD19" s="146">
        <v>2</v>
      </c>
      <c r="FE19" s="146">
        <v>2</v>
      </c>
      <c r="FF19" s="146">
        <v>0</v>
      </c>
      <c r="FG19" s="146">
        <v>0</v>
      </c>
      <c r="FH19" s="146">
        <v>0</v>
      </c>
      <c r="FI19" s="146">
        <v>0</v>
      </c>
      <c r="FJ19" s="146">
        <v>0</v>
      </c>
      <c r="FK19" s="146">
        <v>0</v>
      </c>
      <c r="FL19" s="146">
        <v>0</v>
      </c>
      <c r="FM19" s="146">
        <v>0</v>
      </c>
      <c r="FN19" s="146">
        <v>0</v>
      </c>
      <c r="FO19" s="146">
        <v>0</v>
      </c>
      <c r="FP19" s="146">
        <v>0</v>
      </c>
      <c r="FQ19" s="146">
        <v>0</v>
      </c>
      <c r="FR19" s="146">
        <v>0</v>
      </c>
      <c r="FS19" s="146">
        <v>0</v>
      </c>
      <c r="FT19" s="146">
        <v>0</v>
      </c>
      <c r="FU19" s="146">
        <v>0</v>
      </c>
      <c r="FV19" s="146">
        <v>0</v>
      </c>
      <c r="FW19" s="146">
        <v>0</v>
      </c>
      <c r="FX19" s="146">
        <v>0</v>
      </c>
      <c r="FY19" s="146">
        <v>0</v>
      </c>
      <c r="FZ19" s="146">
        <v>0</v>
      </c>
      <c r="GA19" s="146">
        <v>0</v>
      </c>
      <c r="GB19" s="146">
        <v>0</v>
      </c>
      <c r="GC19" s="146">
        <v>0</v>
      </c>
      <c r="GD19" s="146">
        <v>0</v>
      </c>
      <c r="GE19" s="146">
        <v>0</v>
      </c>
      <c r="GF19" s="146">
        <v>0</v>
      </c>
      <c r="GG19" s="146">
        <v>0</v>
      </c>
      <c r="GH19" s="146">
        <v>0</v>
      </c>
      <c r="GI19" s="146">
        <v>0</v>
      </c>
      <c r="GJ19" s="146">
        <v>0</v>
      </c>
      <c r="GK19" s="146">
        <v>0</v>
      </c>
      <c r="GL19" s="146">
        <v>0</v>
      </c>
      <c r="GM19" s="146">
        <v>0</v>
      </c>
      <c r="GN19" s="146">
        <v>0</v>
      </c>
      <c r="GO19" s="146">
        <v>0</v>
      </c>
      <c r="GP19" s="146">
        <v>0</v>
      </c>
      <c r="GQ19" s="146">
        <v>0</v>
      </c>
      <c r="GR19" s="146">
        <v>0</v>
      </c>
      <c r="GS19" s="146">
        <v>0</v>
      </c>
      <c r="GT19" s="146">
        <v>0</v>
      </c>
      <c r="GU19" s="146">
        <v>0</v>
      </c>
      <c r="GV19" s="146">
        <v>0</v>
      </c>
      <c r="GW19" s="146">
        <v>0</v>
      </c>
      <c r="GX19" s="146">
        <v>0</v>
      </c>
      <c r="GY19" s="146">
        <v>0</v>
      </c>
      <c r="GZ19" s="146">
        <v>0</v>
      </c>
      <c r="HA19" s="146">
        <v>0</v>
      </c>
      <c r="HB19" s="146">
        <v>0</v>
      </c>
      <c r="HC19" s="146">
        <v>0</v>
      </c>
      <c r="HD19" s="146">
        <v>0</v>
      </c>
      <c r="HE19" s="146">
        <v>0</v>
      </c>
      <c r="HF19" s="146">
        <v>0</v>
      </c>
      <c r="HG19" s="146">
        <v>0</v>
      </c>
      <c r="HH19" s="146">
        <v>0</v>
      </c>
      <c r="HI19" s="146">
        <v>0</v>
      </c>
      <c r="HJ19" s="146">
        <v>0</v>
      </c>
      <c r="HK19" s="146">
        <v>0</v>
      </c>
      <c r="HL19" s="146">
        <v>0</v>
      </c>
      <c r="HM19" s="146">
        <v>0</v>
      </c>
      <c r="HN19" s="146">
        <v>0</v>
      </c>
      <c r="HO19" s="146">
        <v>0</v>
      </c>
      <c r="HP19" s="146">
        <v>0</v>
      </c>
      <c r="HQ19" s="146">
        <v>0</v>
      </c>
      <c r="HR19" s="146">
        <v>0</v>
      </c>
      <c r="HS19" s="146">
        <v>0</v>
      </c>
      <c r="HT19" s="146">
        <v>0</v>
      </c>
      <c r="HU19" s="151"/>
      <c r="HV19" s="146">
        <v>0</v>
      </c>
      <c r="HW19" s="151"/>
      <c r="HX19" s="151"/>
      <c r="HY19" s="151"/>
      <c r="HZ19" s="151"/>
      <c r="IA19" s="151"/>
      <c r="IB19" s="151"/>
      <c r="IC19" s="151"/>
      <c r="ID19" s="151"/>
      <c r="IE19" s="151"/>
      <c r="IF19" s="151"/>
      <c r="IG19" s="151"/>
      <c r="IH19" s="151"/>
      <c r="II19" s="151"/>
      <c r="IJ19" s="151"/>
      <c r="IK19" s="151"/>
      <c r="IL19" s="151"/>
      <c r="IM19" s="151"/>
      <c r="IN19" s="151"/>
      <c r="IO19" s="151"/>
      <c r="IP19" s="151"/>
      <c r="IQ19" s="151"/>
      <c r="IR19" s="151"/>
      <c r="IS19" s="151"/>
      <c r="IT19" s="151"/>
      <c r="IU19" s="151"/>
      <c r="IV19" s="151"/>
      <c r="IW19" s="151"/>
      <c r="IX19" s="151"/>
      <c r="IY19" s="151"/>
      <c r="IZ19" s="151"/>
      <c r="JA19" s="151"/>
      <c r="JB19" s="151"/>
      <c r="JC19" s="151"/>
      <c r="JD19" s="151"/>
      <c r="JE19" s="151"/>
      <c r="JF19" s="151"/>
      <c r="JG19" s="151"/>
      <c r="JH19" s="151"/>
      <c r="JI19" s="151"/>
      <c r="JJ19" s="151"/>
      <c r="JK19" s="151"/>
      <c r="JL19" s="151"/>
      <c r="JM19" s="151"/>
      <c r="JN19" s="151"/>
      <c r="JO19" s="151"/>
      <c r="JP19" s="151"/>
      <c r="JQ19" s="151"/>
      <c r="JR19" s="151"/>
      <c r="JS19" s="151"/>
      <c r="JT19" s="151"/>
      <c r="JU19" s="151"/>
      <c r="JV19" s="151"/>
      <c r="JW19" s="151"/>
      <c r="JX19" s="151"/>
      <c r="JY19" s="151"/>
      <c r="JZ19" s="151"/>
      <c r="KA19" s="151"/>
      <c r="KB19" s="151"/>
      <c r="KC19" s="151"/>
      <c r="KD19" s="151"/>
      <c r="KE19" s="151"/>
      <c r="KF19" s="151"/>
      <c r="KG19" s="151"/>
      <c r="KH19" s="151"/>
      <c r="KI19" s="151"/>
      <c r="KJ19" s="151"/>
      <c r="KK19" s="151"/>
      <c r="KL19" s="151"/>
      <c r="KM19" s="151"/>
      <c r="KN19" s="151"/>
      <c r="KO19" s="151"/>
      <c r="KP19" s="151"/>
      <c r="KQ19" s="151"/>
      <c r="KR19" s="151"/>
      <c r="KS19" s="151"/>
      <c r="KT19" s="151"/>
      <c r="KU19" s="151"/>
      <c r="KV19" s="151"/>
      <c r="KW19" s="151"/>
      <c r="KX19" s="151"/>
      <c r="KY19" s="151"/>
      <c r="KZ19" s="151"/>
      <c r="LA19" s="151"/>
      <c r="LB19" s="151"/>
      <c r="LC19" s="151"/>
      <c r="LD19" s="151"/>
      <c r="LE19" s="151"/>
    </row>
    <row r="20" spans="1:317" x14ac:dyDescent="0.2">
      <c r="A20" s="179" t="s">
        <v>849</v>
      </c>
      <c r="B20" s="180" t="s">
        <v>919</v>
      </c>
      <c r="C20" s="181"/>
      <c r="D20" s="182">
        <v>0</v>
      </c>
      <c r="E20" s="182">
        <v>0</v>
      </c>
      <c r="F20" s="183" t="s">
        <v>1205</v>
      </c>
      <c r="G20" s="183">
        <v>0</v>
      </c>
      <c r="H20" s="183">
        <v>0</v>
      </c>
      <c r="I20" s="183">
        <v>0</v>
      </c>
      <c r="J20" s="183">
        <v>0</v>
      </c>
      <c r="K20" s="183" t="s">
        <v>1362</v>
      </c>
      <c r="L20" s="183">
        <v>0</v>
      </c>
      <c r="M20" s="183">
        <v>0</v>
      </c>
      <c r="N20" s="183" t="s">
        <v>881</v>
      </c>
      <c r="O20" s="183">
        <v>0</v>
      </c>
      <c r="P20" s="183">
        <v>0</v>
      </c>
      <c r="Q20" s="183"/>
      <c r="R20" s="183"/>
      <c r="S20" s="183"/>
      <c r="T20" s="183"/>
      <c r="U20" s="183"/>
      <c r="V20" s="183">
        <v>0</v>
      </c>
      <c r="W20" s="183">
        <v>0</v>
      </c>
      <c r="X20" s="183">
        <v>0</v>
      </c>
      <c r="Y20" s="184">
        <v>12.01</v>
      </c>
      <c r="Z20" s="184">
        <v>0</v>
      </c>
      <c r="AA20" s="184">
        <v>0</v>
      </c>
      <c r="AB20" s="185" t="s">
        <v>615</v>
      </c>
      <c r="AC20" s="185" t="s">
        <v>615</v>
      </c>
      <c r="AD20" s="186" t="s">
        <v>881</v>
      </c>
      <c r="AE20" s="186" t="s">
        <v>858</v>
      </c>
      <c r="AF20" s="187">
        <v>7</v>
      </c>
      <c r="AG20" s="187">
        <v>3</v>
      </c>
      <c r="AH20" s="187">
        <v>4</v>
      </c>
      <c r="AI20" s="188">
        <v>1</v>
      </c>
      <c r="AJ20" s="188" t="s">
        <v>615</v>
      </c>
      <c r="AK20" s="187" t="s">
        <v>1736</v>
      </c>
      <c r="AL20" s="87" t="s">
        <v>615</v>
      </c>
      <c r="AM20" s="189"/>
      <c r="AN20" s="187" t="s">
        <v>615</v>
      </c>
      <c r="AO20" s="13" t="s">
        <v>615</v>
      </c>
      <c r="AP20" s="187">
        <v>0</v>
      </c>
      <c r="AQ20" s="187">
        <v>0</v>
      </c>
      <c r="AR20" s="190">
        <v>0</v>
      </c>
      <c r="AS20" s="190">
        <v>0</v>
      </c>
      <c r="AT20" s="190">
        <v>0</v>
      </c>
      <c r="AU20" s="187">
        <v>0</v>
      </c>
      <c r="AV20" s="187">
        <v>0</v>
      </c>
      <c r="AW20" s="191"/>
      <c r="AX20" s="192"/>
      <c r="AY20" s="193">
        <v>42666</v>
      </c>
      <c r="AZ20" s="193"/>
      <c r="BA20" s="193"/>
      <c r="BB20" s="194"/>
      <c r="BC20" s="194"/>
      <c r="BD20" s="195"/>
      <c r="BE20" s="195" t="s">
        <v>532</v>
      </c>
      <c r="BF20" s="195"/>
      <c r="BG20" s="195">
        <v>12</v>
      </c>
      <c r="BH20" s="196" t="s">
        <v>547</v>
      </c>
      <c r="BI20" s="197">
        <v>1</v>
      </c>
      <c r="BJ20" s="198"/>
      <c r="BK20" s="199">
        <v>0</v>
      </c>
      <c r="BL20" s="13">
        <v>0</v>
      </c>
      <c r="BM20" s="13">
        <v>0</v>
      </c>
      <c r="BN20" s="13" t="s">
        <v>616</v>
      </c>
      <c r="BO20" s="13" t="s">
        <v>616</v>
      </c>
      <c r="BP20" s="200">
        <v>0</v>
      </c>
      <c r="BQ20" s="201"/>
      <c r="BR20" s="202"/>
      <c r="BS20" s="187">
        <v>1000000000</v>
      </c>
      <c r="BT20" s="203">
        <v>0</v>
      </c>
      <c r="BU20" s="204">
        <v>0</v>
      </c>
      <c r="BV20" s="203">
        <v>0</v>
      </c>
      <c r="BW20" s="205">
        <v>0</v>
      </c>
      <c r="BX20" s="205">
        <v>0</v>
      </c>
      <c r="BY20" s="205">
        <v>0</v>
      </c>
      <c r="BZ20" s="203">
        <v>0</v>
      </c>
      <c r="CA20" s="203">
        <v>0</v>
      </c>
      <c r="CB20" s="203">
        <v>0</v>
      </c>
      <c r="CC20" s="204">
        <v>0</v>
      </c>
      <c r="CD20" s="203">
        <v>0</v>
      </c>
      <c r="CE20" s="203">
        <v>0</v>
      </c>
      <c r="CF20" s="13">
        <v>0</v>
      </c>
      <c r="CG20" s="206">
        <v>0</v>
      </c>
      <c r="CH20" s="207">
        <v>0</v>
      </c>
      <c r="CI20" s="201"/>
      <c r="CJ20" s="208"/>
      <c r="CK20" s="209" t="s">
        <v>615</v>
      </c>
      <c r="CL20" s="210" t="s">
        <v>615</v>
      </c>
      <c r="CM20" s="207">
        <v>0</v>
      </c>
      <c r="CN20" s="207">
        <v>0</v>
      </c>
      <c r="CO20" s="204">
        <v>0</v>
      </c>
      <c r="CP20" s="204">
        <v>0</v>
      </c>
      <c r="CQ20" s="211"/>
      <c r="CR20" s="204">
        <v>1</v>
      </c>
      <c r="CS20" s="212">
        <v>42531</v>
      </c>
      <c r="CT20" s="212">
        <v>42780</v>
      </c>
      <c r="CU20" s="213">
        <v>42780</v>
      </c>
      <c r="CV20" s="214">
        <v>42829</v>
      </c>
      <c r="CW20" s="214" t="s">
        <v>615</v>
      </c>
      <c r="CX20" s="214" t="s">
        <v>615</v>
      </c>
      <c r="CY20" s="204">
        <v>0.21072097724186994</v>
      </c>
      <c r="CZ20" s="204">
        <v>0.97959183673469397</v>
      </c>
      <c r="DA20" s="203">
        <v>0</v>
      </c>
      <c r="DB20" s="204">
        <v>4.0816326530612242E-2</v>
      </c>
      <c r="DC20" s="204">
        <v>0</v>
      </c>
      <c r="DD20" s="204">
        <v>0</v>
      </c>
      <c r="DE20" s="204">
        <v>0</v>
      </c>
      <c r="DF20" s="215">
        <v>0.93877551020408168</v>
      </c>
      <c r="DG20" s="13" t="s">
        <v>615</v>
      </c>
      <c r="DH20" s="86">
        <v>18</v>
      </c>
      <c r="DI20" s="86"/>
      <c r="DJ20" s="86">
        <v>261</v>
      </c>
      <c r="DK20" s="86" t="s">
        <v>1714</v>
      </c>
      <c r="DL20" s="86" t="e">
        <v>#N/A</v>
      </c>
      <c r="DM20" s="86" t="e">
        <v>#N/A</v>
      </c>
      <c r="DN20" s="86" t="e">
        <v>#N/A</v>
      </c>
      <c r="DO20" s="86">
        <v>432</v>
      </c>
      <c r="DP20" s="86">
        <v>5</v>
      </c>
      <c r="DQ20" s="86">
        <v>49</v>
      </c>
      <c r="DR20" s="152">
        <v>0</v>
      </c>
      <c r="DS20" s="152">
        <v>0</v>
      </c>
      <c r="DT20" s="152">
        <v>0</v>
      </c>
      <c r="DU20" s="152">
        <v>0</v>
      </c>
      <c r="DV20" s="152">
        <v>0</v>
      </c>
      <c r="DW20" s="152">
        <v>0</v>
      </c>
      <c r="DX20" s="152">
        <v>0</v>
      </c>
      <c r="DY20" s="152">
        <v>0</v>
      </c>
      <c r="DZ20" s="152">
        <v>0</v>
      </c>
      <c r="EA20" s="152">
        <v>0</v>
      </c>
      <c r="EB20" s="152">
        <v>0</v>
      </c>
      <c r="EC20" s="152">
        <v>0</v>
      </c>
      <c r="ED20" s="152">
        <v>0</v>
      </c>
      <c r="EE20" s="152">
        <v>0</v>
      </c>
      <c r="EF20" s="152">
        <v>0</v>
      </c>
      <c r="EG20" s="152">
        <v>0</v>
      </c>
      <c r="EH20" s="152">
        <v>0</v>
      </c>
      <c r="EI20" s="152">
        <v>0</v>
      </c>
      <c r="EJ20" s="152">
        <v>0</v>
      </c>
      <c r="EK20" s="152">
        <v>0</v>
      </c>
      <c r="EL20" s="152">
        <v>0</v>
      </c>
      <c r="EM20" s="152">
        <v>0</v>
      </c>
      <c r="EN20" s="152">
        <v>0</v>
      </c>
      <c r="EO20" s="152">
        <v>0</v>
      </c>
      <c r="EP20" s="152">
        <v>0</v>
      </c>
      <c r="EQ20" s="152">
        <v>0</v>
      </c>
      <c r="ER20" s="152">
        <v>0</v>
      </c>
      <c r="ES20" s="152">
        <v>0</v>
      </c>
      <c r="ET20" s="152">
        <v>0</v>
      </c>
      <c r="EU20" s="152">
        <v>0</v>
      </c>
      <c r="EV20" s="152">
        <v>0</v>
      </c>
      <c r="EW20" s="152">
        <v>0</v>
      </c>
      <c r="EX20" s="152">
        <v>0</v>
      </c>
      <c r="EY20" s="152">
        <v>0</v>
      </c>
      <c r="EZ20" s="152">
        <v>0</v>
      </c>
      <c r="FA20" s="152">
        <v>0</v>
      </c>
      <c r="FB20" s="152">
        <v>0</v>
      </c>
      <c r="FC20" s="152">
        <v>0</v>
      </c>
      <c r="FD20" s="152">
        <v>0</v>
      </c>
      <c r="FE20" s="152">
        <v>0</v>
      </c>
      <c r="FF20" s="152">
        <v>0</v>
      </c>
      <c r="FG20" s="152">
        <v>0</v>
      </c>
      <c r="FH20" s="152">
        <v>0</v>
      </c>
      <c r="FI20" s="152">
        <v>0</v>
      </c>
      <c r="FJ20" s="152">
        <v>0</v>
      </c>
      <c r="FK20" s="152">
        <v>0</v>
      </c>
      <c r="FL20" s="152">
        <v>0</v>
      </c>
      <c r="FM20" s="152">
        <v>0</v>
      </c>
      <c r="FN20" s="152">
        <v>0</v>
      </c>
      <c r="FO20" s="152">
        <v>0</v>
      </c>
      <c r="FP20" s="152">
        <v>0</v>
      </c>
      <c r="FQ20" s="152">
        <v>0</v>
      </c>
      <c r="FR20" s="152">
        <v>0</v>
      </c>
      <c r="FS20" s="152">
        <v>0</v>
      </c>
      <c r="FT20" s="152">
        <v>0</v>
      </c>
      <c r="FU20" s="152">
        <v>1</v>
      </c>
      <c r="FV20" s="152">
        <v>1</v>
      </c>
      <c r="FW20" s="152">
        <v>1</v>
      </c>
      <c r="FX20" s="152">
        <v>1</v>
      </c>
      <c r="FY20" s="152">
        <v>1</v>
      </c>
      <c r="FZ20" s="152">
        <v>1</v>
      </c>
      <c r="GA20" s="152">
        <v>1</v>
      </c>
      <c r="GB20" s="152">
        <v>1</v>
      </c>
      <c r="GC20" s="152">
        <v>1</v>
      </c>
      <c r="GD20" s="152">
        <v>1</v>
      </c>
      <c r="GE20" s="152">
        <v>1</v>
      </c>
      <c r="GF20" s="152">
        <v>1</v>
      </c>
      <c r="GG20" s="152">
        <v>1</v>
      </c>
      <c r="GH20" s="152">
        <v>1</v>
      </c>
      <c r="GI20" s="152">
        <v>1</v>
      </c>
      <c r="GJ20" s="152">
        <v>1</v>
      </c>
      <c r="GK20" s="152">
        <v>1</v>
      </c>
      <c r="GL20" s="152">
        <v>1</v>
      </c>
      <c r="GM20" s="152">
        <v>1</v>
      </c>
      <c r="GN20" s="152">
        <v>1</v>
      </c>
      <c r="GO20" s="152">
        <v>1</v>
      </c>
      <c r="GP20" s="152">
        <v>1</v>
      </c>
      <c r="GQ20" s="152">
        <v>1</v>
      </c>
      <c r="GR20" s="152">
        <v>1</v>
      </c>
      <c r="GS20" s="152">
        <v>1</v>
      </c>
      <c r="GT20" s="152">
        <v>1</v>
      </c>
      <c r="GU20" s="152">
        <v>1</v>
      </c>
      <c r="GV20" s="152">
        <v>1</v>
      </c>
      <c r="GW20" s="152">
        <v>1</v>
      </c>
      <c r="GX20" s="152">
        <v>1</v>
      </c>
      <c r="GY20" s="152">
        <v>1</v>
      </c>
      <c r="GZ20" s="152">
        <v>1</v>
      </c>
      <c r="HA20" s="152">
        <v>1</v>
      </c>
      <c r="HB20" s="152">
        <v>1</v>
      </c>
      <c r="HC20" s="152">
        <v>1</v>
      </c>
      <c r="HD20" s="152">
        <v>1</v>
      </c>
      <c r="HE20" s="152">
        <v>1</v>
      </c>
      <c r="HF20" s="152">
        <v>1</v>
      </c>
      <c r="HG20" s="152">
        <v>1</v>
      </c>
      <c r="HH20" s="152">
        <v>1</v>
      </c>
      <c r="HI20" s="152">
        <v>1</v>
      </c>
      <c r="HJ20" s="152">
        <v>1</v>
      </c>
      <c r="HK20" s="152">
        <v>1</v>
      </c>
      <c r="HL20" s="152">
        <v>1</v>
      </c>
      <c r="HM20" s="152">
        <v>1</v>
      </c>
      <c r="HN20" s="152">
        <v>1</v>
      </c>
      <c r="HO20" s="152">
        <v>1</v>
      </c>
      <c r="HP20" s="152">
        <v>1</v>
      </c>
      <c r="HQ20" s="152">
        <v>1</v>
      </c>
      <c r="HR20" s="152">
        <v>1</v>
      </c>
      <c r="HS20" s="152">
        <v>1</v>
      </c>
      <c r="HT20" s="152">
        <v>0</v>
      </c>
      <c r="HU20" s="216"/>
      <c r="HV20" s="152">
        <v>0</v>
      </c>
      <c r="HW20" s="216"/>
      <c r="HX20" s="216"/>
      <c r="HY20" s="216"/>
      <c r="HZ20" s="216"/>
      <c r="IA20" s="216"/>
      <c r="IB20" s="216"/>
      <c r="IC20" s="216"/>
      <c r="ID20" s="216"/>
      <c r="IE20" s="216"/>
      <c r="IF20" s="216"/>
      <c r="IG20" s="216"/>
      <c r="IH20" s="216"/>
      <c r="II20" s="216"/>
      <c r="IJ20" s="216"/>
      <c r="IK20" s="216"/>
      <c r="IL20" s="216"/>
      <c r="IM20" s="216"/>
      <c r="IN20" s="216"/>
      <c r="IO20" s="216"/>
      <c r="IP20" s="216"/>
      <c r="IQ20" s="216"/>
      <c r="IR20" s="216"/>
      <c r="IS20" s="216"/>
      <c r="IT20" s="216"/>
      <c r="IU20" s="216"/>
      <c r="IV20" s="216"/>
      <c r="IW20" s="216"/>
      <c r="IX20" s="216"/>
      <c r="IY20" s="216"/>
      <c r="IZ20" s="216"/>
      <c r="JA20" s="216"/>
      <c r="JB20" s="216"/>
      <c r="JC20" s="216"/>
      <c r="JD20" s="216"/>
      <c r="JE20" s="216"/>
      <c r="JF20" s="216"/>
      <c r="JG20" s="216"/>
      <c r="JH20" s="216"/>
      <c r="JI20" s="216"/>
      <c r="JJ20" s="216"/>
      <c r="JK20" s="216"/>
      <c r="JL20" s="216"/>
      <c r="JM20" s="216"/>
      <c r="JN20" s="216"/>
      <c r="JO20" s="216"/>
      <c r="JP20" s="216"/>
      <c r="JQ20" s="216"/>
      <c r="JR20" s="216"/>
      <c r="JS20" s="216"/>
      <c r="JT20" s="216"/>
      <c r="JU20" s="216"/>
      <c r="JV20" s="216"/>
      <c r="JW20" s="216"/>
      <c r="JX20" s="216"/>
      <c r="JY20" s="216"/>
      <c r="JZ20" s="216"/>
      <c r="KA20" s="216"/>
      <c r="KB20" s="216"/>
      <c r="KC20" s="216"/>
      <c r="KD20" s="216"/>
      <c r="KE20" s="216"/>
      <c r="KF20" s="216"/>
      <c r="KG20" s="216"/>
      <c r="KH20" s="216"/>
      <c r="KI20" s="216"/>
      <c r="KJ20" s="216"/>
      <c r="KK20" s="216"/>
      <c r="KL20" s="216"/>
      <c r="KM20" s="216"/>
      <c r="KN20" s="216"/>
      <c r="KO20" s="216"/>
      <c r="KP20" s="216"/>
      <c r="KQ20" s="216"/>
      <c r="KR20" s="216"/>
      <c r="KS20" s="216"/>
      <c r="KT20" s="216"/>
      <c r="KU20" s="216"/>
      <c r="KV20" s="216"/>
      <c r="KW20" s="216"/>
      <c r="KX20" s="216"/>
      <c r="KY20" s="216"/>
      <c r="KZ20" s="216"/>
      <c r="LA20" s="216"/>
      <c r="LB20" s="216"/>
      <c r="LC20" s="216"/>
      <c r="LD20" s="216"/>
      <c r="LE20" s="216"/>
    </row>
    <row r="21" spans="1:317" x14ac:dyDescent="0.2">
      <c r="A21" s="179" t="s">
        <v>849</v>
      </c>
      <c r="B21" s="180" t="s">
        <v>920</v>
      </c>
      <c r="C21" s="181"/>
      <c r="D21" s="182">
        <v>0</v>
      </c>
      <c r="E21" s="182">
        <v>0</v>
      </c>
      <c r="F21" s="183" t="s">
        <v>1204</v>
      </c>
      <c r="G21" s="183">
        <v>0</v>
      </c>
      <c r="H21" s="183">
        <v>0</v>
      </c>
      <c r="I21" s="183">
        <v>0</v>
      </c>
      <c r="J21" s="183">
        <v>0</v>
      </c>
      <c r="K21" s="183" t="s">
        <v>1363</v>
      </c>
      <c r="L21" s="183">
        <v>0</v>
      </c>
      <c r="M21" s="183">
        <v>0</v>
      </c>
      <c r="N21" s="183" t="s">
        <v>881</v>
      </c>
      <c r="O21" s="183">
        <v>0</v>
      </c>
      <c r="P21" s="183">
        <v>0</v>
      </c>
      <c r="Q21" s="183"/>
      <c r="R21" s="183"/>
      <c r="S21" s="183"/>
      <c r="T21" s="183"/>
      <c r="U21" s="183"/>
      <c r="V21" s="183">
        <v>0</v>
      </c>
      <c r="W21" s="183">
        <v>0</v>
      </c>
      <c r="X21" s="183">
        <v>0</v>
      </c>
      <c r="Y21" s="184">
        <v>25.19</v>
      </c>
      <c r="Z21" s="184">
        <v>0</v>
      </c>
      <c r="AA21" s="184">
        <v>0</v>
      </c>
      <c r="AB21" s="185" t="s">
        <v>615</v>
      </c>
      <c r="AC21" s="185" t="s">
        <v>615</v>
      </c>
      <c r="AD21" s="186" t="s">
        <v>881</v>
      </c>
      <c r="AE21" s="186" t="s">
        <v>858</v>
      </c>
      <c r="AF21" s="187">
        <v>7</v>
      </c>
      <c r="AG21" s="187">
        <v>3</v>
      </c>
      <c r="AH21" s="187">
        <v>4</v>
      </c>
      <c r="AI21" s="188">
        <v>1</v>
      </c>
      <c r="AJ21" s="188" t="s">
        <v>615</v>
      </c>
      <c r="AK21" s="187" t="s">
        <v>1733</v>
      </c>
      <c r="AL21" s="87" t="s">
        <v>615</v>
      </c>
      <c r="AM21" s="189"/>
      <c r="AN21" s="187" t="s">
        <v>615</v>
      </c>
      <c r="AO21" s="13" t="s">
        <v>615</v>
      </c>
      <c r="AP21" s="187">
        <v>0</v>
      </c>
      <c r="AQ21" s="187">
        <v>0</v>
      </c>
      <c r="AR21" s="190">
        <v>0</v>
      </c>
      <c r="AS21" s="190">
        <v>0</v>
      </c>
      <c r="AT21" s="190">
        <v>0</v>
      </c>
      <c r="AU21" s="187">
        <v>0</v>
      </c>
      <c r="AV21" s="187">
        <v>0</v>
      </c>
      <c r="AW21" s="191"/>
      <c r="AX21" s="192"/>
      <c r="AY21" s="193">
        <v>42666</v>
      </c>
      <c r="AZ21" s="193"/>
      <c r="BA21" s="193"/>
      <c r="BB21" s="194"/>
      <c r="BC21" s="194"/>
      <c r="BD21" s="195"/>
      <c r="BE21" s="195" t="s">
        <v>532</v>
      </c>
      <c r="BF21" s="195"/>
      <c r="BG21" s="195">
        <v>18</v>
      </c>
      <c r="BH21" s="196" t="s">
        <v>547</v>
      </c>
      <c r="BI21" s="197">
        <v>1</v>
      </c>
      <c r="BJ21" s="198"/>
      <c r="BK21" s="199">
        <v>0</v>
      </c>
      <c r="BL21" s="13">
        <v>0</v>
      </c>
      <c r="BM21" s="13">
        <v>0</v>
      </c>
      <c r="BN21" s="13" t="s">
        <v>616</v>
      </c>
      <c r="BO21" s="13" t="s">
        <v>616</v>
      </c>
      <c r="BP21" s="200">
        <v>0</v>
      </c>
      <c r="BQ21" s="201"/>
      <c r="BR21" s="202"/>
      <c r="BS21" s="187">
        <v>1000000000</v>
      </c>
      <c r="BT21" s="203">
        <v>2</v>
      </c>
      <c r="BU21" s="204">
        <v>0</v>
      </c>
      <c r="BV21" s="203">
        <v>0</v>
      </c>
      <c r="BW21" s="205">
        <v>0</v>
      </c>
      <c r="BX21" s="205">
        <v>0</v>
      </c>
      <c r="BY21" s="205">
        <v>0</v>
      </c>
      <c r="BZ21" s="203">
        <v>0</v>
      </c>
      <c r="CA21" s="203">
        <v>0</v>
      </c>
      <c r="CB21" s="203">
        <v>2</v>
      </c>
      <c r="CC21" s="204">
        <v>0</v>
      </c>
      <c r="CD21" s="203">
        <v>0</v>
      </c>
      <c r="CE21" s="203">
        <v>0</v>
      </c>
      <c r="CF21" s="13">
        <v>0</v>
      </c>
      <c r="CG21" s="206">
        <v>0</v>
      </c>
      <c r="CH21" s="207">
        <v>0</v>
      </c>
      <c r="CI21" s="201"/>
      <c r="CJ21" s="208"/>
      <c r="CK21" s="209" t="s">
        <v>615</v>
      </c>
      <c r="CL21" s="210" t="s">
        <v>615</v>
      </c>
      <c r="CM21" s="207">
        <v>0</v>
      </c>
      <c r="CN21" s="207">
        <v>0</v>
      </c>
      <c r="CO21" s="204">
        <v>0</v>
      </c>
      <c r="CP21" s="204">
        <v>0</v>
      </c>
      <c r="CQ21" s="211"/>
      <c r="CR21" s="204">
        <v>1</v>
      </c>
      <c r="CS21" s="212">
        <v>42592</v>
      </c>
      <c r="CT21" s="212">
        <v>42780</v>
      </c>
      <c r="CU21" s="213">
        <v>42780</v>
      </c>
      <c r="CV21" s="214">
        <v>42829</v>
      </c>
      <c r="CW21" s="214" t="s">
        <v>615</v>
      </c>
      <c r="CX21" s="214" t="s">
        <v>615</v>
      </c>
      <c r="CY21" s="204">
        <v>0.1031187760970851</v>
      </c>
      <c r="CZ21" s="204">
        <v>0.97959183673469385</v>
      </c>
      <c r="DA21" s="203">
        <v>0</v>
      </c>
      <c r="DB21" s="204">
        <v>0</v>
      </c>
      <c r="DC21" s="204">
        <v>0</v>
      </c>
      <c r="DD21" s="204">
        <v>0</v>
      </c>
      <c r="DE21" s="204">
        <v>0</v>
      </c>
      <c r="DF21" s="215">
        <v>0.97959183673469385</v>
      </c>
      <c r="DG21" s="13" t="s">
        <v>615</v>
      </c>
      <c r="DH21" s="86">
        <v>19</v>
      </c>
      <c r="DI21" s="86"/>
      <c r="DJ21" s="86">
        <v>260</v>
      </c>
      <c r="DK21" s="86" t="s">
        <v>1512</v>
      </c>
      <c r="DL21" s="86" t="e">
        <v>#N/A</v>
      </c>
      <c r="DM21" s="86">
        <v>148</v>
      </c>
      <c r="DN21" s="86" t="e">
        <v>#N/A</v>
      </c>
      <c r="DO21" s="86">
        <v>431</v>
      </c>
      <c r="DP21" s="86">
        <v>5</v>
      </c>
      <c r="DQ21" s="86">
        <v>49</v>
      </c>
      <c r="DR21" s="146">
        <v>2</v>
      </c>
      <c r="DS21" s="146">
        <v>2</v>
      </c>
      <c r="DT21" s="146">
        <v>2</v>
      </c>
      <c r="DU21" s="146">
        <v>2</v>
      </c>
      <c r="DV21" s="146">
        <v>2</v>
      </c>
      <c r="DW21" s="146">
        <v>2</v>
      </c>
      <c r="DX21" s="146">
        <v>2</v>
      </c>
      <c r="DY21" s="146">
        <v>2</v>
      </c>
      <c r="DZ21" s="146">
        <v>2</v>
      </c>
      <c r="EA21" s="146">
        <v>2</v>
      </c>
      <c r="EB21" s="146">
        <v>2</v>
      </c>
      <c r="EC21" s="146">
        <v>2</v>
      </c>
      <c r="ED21" s="146">
        <v>2</v>
      </c>
      <c r="EE21" s="146">
        <v>2</v>
      </c>
      <c r="EF21" s="146">
        <v>2</v>
      </c>
      <c r="EG21" s="146">
        <v>2</v>
      </c>
      <c r="EH21" s="146">
        <v>2</v>
      </c>
      <c r="EI21" s="146">
        <v>2</v>
      </c>
      <c r="EJ21" s="146">
        <v>2</v>
      </c>
      <c r="EK21" s="146">
        <v>2</v>
      </c>
      <c r="EL21" s="146">
        <v>2</v>
      </c>
      <c r="EM21" s="146">
        <v>2</v>
      </c>
      <c r="EN21" s="146">
        <v>2</v>
      </c>
      <c r="EO21" s="146">
        <v>2</v>
      </c>
      <c r="EP21" s="146">
        <v>2</v>
      </c>
      <c r="EQ21" s="146">
        <v>2</v>
      </c>
      <c r="ER21" s="146">
        <v>2</v>
      </c>
      <c r="ES21" s="146">
        <v>2</v>
      </c>
      <c r="ET21" s="146">
        <v>2</v>
      </c>
      <c r="EU21" s="146">
        <v>2</v>
      </c>
      <c r="EV21" s="146">
        <v>2</v>
      </c>
      <c r="EW21" s="146">
        <v>2</v>
      </c>
      <c r="EX21" s="146">
        <v>2</v>
      </c>
      <c r="EY21" s="146">
        <v>2</v>
      </c>
      <c r="EZ21" s="146">
        <v>2</v>
      </c>
      <c r="FA21" s="146">
        <v>2</v>
      </c>
      <c r="FB21" s="146">
        <v>2</v>
      </c>
      <c r="FC21" s="146">
        <v>2</v>
      </c>
      <c r="FD21" s="146">
        <v>2</v>
      </c>
      <c r="FE21" s="146">
        <v>2</v>
      </c>
      <c r="FF21" s="146">
        <v>2</v>
      </c>
      <c r="FG21" s="146">
        <v>2</v>
      </c>
      <c r="FH21" s="146">
        <v>2</v>
      </c>
      <c r="FI21" s="146">
        <v>2</v>
      </c>
      <c r="FJ21" s="146">
        <v>2</v>
      </c>
      <c r="FK21" s="146">
        <v>2</v>
      </c>
      <c r="FL21" s="146">
        <v>2</v>
      </c>
      <c r="FM21" s="146">
        <v>2</v>
      </c>
      <c r="FN21" s="146">
        <v>2</v>
      </c>
      <c r="FO21" s="146">
        <v>2</v>
      </c>
      <c r="FP21" s="146">
        <v>2</v>
      </c>
      <c r="FQ21" s="146">
        <v>2</v>
      </c>
      <c r="FR21" s="146">
        <v>2</v>
      </c>
      <c r="FS21" s="146">
        <v>2</v>
      </c>
      <c r="FT21" s="146">
        <v>2</v>
      </c>
      <c r="FU21" s="146">
        <v>4</v>
      </c>
      <c r="FV21" s="146">
        <v>4</v>
      </c>
      <c r="FW21" s="146">
        <v>4</v>
      </c>
      <c r="FX21" s="146">
        <v>4</v>
      </c>
      <c r="FY21" s="146">
        <v>4</v>
      </c>
      <c r="FZ21" s="146">
        <v>4</v>
      </c>
      <c r="GA21" s="146">
        <v>4</v>
      </c>
      <c r="GB21" s="146">
        <v>4</v>
      </c>
      <c r="GC21" s="146">
        <v>4</v>
      </c>
      <c r="GD21" s="146">
        <v>4</v>
      </c>
      <c r="GE21" s="146">
        <v>4</v>
      </c>
      <c r="GF21" s="146">
        <v>4</v>
      </c>
      <c r="GG21" s="146">
        <v>4</v>
      </c>
      <c r="GH21" s="146">
        <v>4</v>
      </c>
      <c r="GI21" s="146">
        <v>4</v>
      </c>
      <c r="GJ21" s="146">
        <v>4</v>
      </c>
      <c r="GK21" s="146">
        <v>4</v>
      </c>
      <c r="GL21" s="146">
        <v>4</v>
      </c>
      <c r="GM21" s="146">
        <v>4</v>
      </c>
      <c r="GN21" s="146">
        <v>4</v>
      </c>
      <c r="GO21" s="146">
        <v>4</v>
      </c>
      <c r="GP21" s="146">
        <v>4</v>
      </c>
      <c r="GQ21" s="146">
        <v>4</v>
      </c>
      <c r="GR21" s="146">
        <v>4</v>
      </c>
      <c r="GS21" s="146">
        <v>4</v>
      </c>
      <c r="GT21" s="146">
        <v>4</v>
      </c>
      <c r="GU21" s="146">
        <v>4</v>
      </c>
      <c r="GV21" s="146">
        <v>4</v>
      </c>
      <c r="GW21" s="146">
        <v>4</v>
      </c>
      <c r="GX21" s="146">
        <v>4</v>
      </c>
      <c r="GY21" s="146">
        <v>4</v>
      </c>
      <c r="GZ21" s="146">
        <v>4</v>
      </c>
      <c r="HA21" s="146">
        <v>4</v>
      </c>
      <c r="HB21" s="146">
        <v>4</v>
      </c>
      <c r="HC21" s="146">
        <v>4</v>
      </c>
      <c r="HD21" s="146">
        <v>4</v>
      </c>
      <c r="HE21" s="146">
        <v>4</v>
      </c>
      <c r="HF21" s="146">
        <v>4</v>
      </c>
      <c r="HG21" s="146">
        <v>4</v>
      </c>
      <c r="HH21" s="146">
        <v>4</v>
      </c>
      <c r="HI21" s="146">
        <v>4</v>
      </c>
      <c r="HJ21" s="146">
        <v>4</v>
      </c>
      <c r="HK21" s="146">
        <v>4</v>
      </c>
      <c r="HL21" s="146">
        <v>4</v>
      </c>
      <c r="HM21" s="146">
        <v>4</v>
      </c>
      <c r="HN21" s="146">
        <v>4</v>
      </c>
      <c r="HO21" s="146">
        <v>4</v>
      </c>
      <c r="HP21" s="146">
        <v>4</v>
      </c>
      <c r="HQ21" s="146">
        <v>4</v>
      </c>
      <c r="HR21" s="146">
        <v>4</v>
      </c>
      <c r="HS21" s="146">
        <v>4</v>
      </c>
      <c r="HT21" s="146">
        <v>2</v>
      </c>
      <c r="HU21" s="151"/>
      <c r="HV21" s="146">
        <v>2</v>
      </c>
      <c r="HW21" s="151"/>
      <c r="HX21" s="151"/>
      <c r="HY21" s="151"/>
      <c r="HZ21" s="151"/>
      <c r="IA21" s="151"/>
      <c r="IB21" s="151"/>
      <c r="IC21" s="151"/>
      <c r="ID21" s="151"/>
      <c r="IE21" s="151"/>
      <c r="IF21" s="151"/>
      <c r="IG21" s="151"/>
      <c r="IH21" s="151"/>
      <c r="II21" s="151"/>
      <c r="IJ21" s="151"/>
      <c r="IK21" s="151"/>
      <c r="IL21" s="151"/>
      <c r="IM21" s="151"/>
      <c r="IN21" s="151"/>
      <c r="IO21" s="151"/>
      <c r="IP21" s="151"/>
      <c r="IQ21" s="151"/>
      <c r="IR21" s="151"/>
      <c r="IS21" s="151"/>
      <c r="IT21" s="151"/>
      <c r="IU21" s="151"/>
      <c r="IV21" s="151"/>
      <c r="IW21" s="151"/>
      <c r="IX21" s="151"/>
      <c r="IY21" s="151"/>
      <c r="IZ21" s="151"/>
      <c r="JA21" s="151"/>
      <c r="JB21" s="151"/>
      <c r="JC21" s="151"/>
      <c r="JD21" s="151"/>
      <c r="JE21" s="151"/>
      <c r="JF21" s="151"/>
      <c r="JG21" s="151"/>
      <c r="JH21" s="151"/>
      <c r="JI21" s="151"/>
      <c r="JJ21" s="151"/>
      <c r="JK21" s="151"/>
      <c r="JL21" s="151"/>
      <c r="JM21" s="151"/>
      <c r="JN21" s="151"/>
      <c r="JO21" s="151"/>
      <c r="JP21" s="151"/>
      <c r="JQ21" s="151"/>
      <c r="JR21" s="151"/>
      <c r="JS21" s="151"/>
      <c r="JT21" s="151"/>
      <c r="JU21" s="151"/>
      <c r="JV21" s="151"/>
      <c r="JW21" s="151"/>
      <c r="JX21" s="151"/>
      <c r="JY21" s="151"/>
      <c r="JZ21" s="151"/>
      <c r="KA21" s="151"/>
      <c r="KB21" s="151"/>
      <c r="KC21" s="151"/>
      <c r="KD21" s="151"/>
      <c r="KE21" s="151"/>
      <c r="KF21" s="151"/>
      <c r="KG21" s="151"/>
      <c r="KH21" s="151"/>
      <c r="KI21" s="151"/>
      <c r="KJ21" s="151"/>
      <c r="KK21" s="151"/>
      <c r="KL21" s="151"/>
      <c r="KM21" s="151"/>
      <c r="KN21" s="151"/>
      <c r="KO21" s="151"/>
      <c r="KP21" s="151"/>
      <c r="KQ21" s="151"/>
      <c r="KR21" s="151"/>
      <c r="KS21" s="151"/>
      <c r="KT21" s="151"/>
      <c r="KU21" s="151"/>
      <c r="KV21" s="151"/>
      <c r="KW21" s="151"/>
      <c r="KX21" s="151"/>
      <c r="KY21" s="151"/>
      <c r="KZ21" s="151"/>
      <c r="LA21" s="151"/>
      <c r="LB21" s="151"/>
      <c r="LC21" s="151"/>
      <c r="LD21" s="151"/>
      <c r="LE21" s="151"/>
    </row>
    <row r="22" spans="1:317" x14ac:dyDescent="0.2">
      <c r="A22" s="179" t="s">
        <v>849</v>
      </c>
      <c r="B22" s="180" t="s">
        <v>921</v>
      </c>
      <c r="C22" s="181"/>
      <c r="D22" s="182">
        <v>0</v>
      </c>
      <c r="E22" s="182">
        <v>0</v>
      </c>
      <c r="F22" s="183" t="s">
        <v>1206</v>
      </c>
      <c r="G22" s="183">
        <v>0</v>
      </c>
      <c r="H22" s="183">
        <v>0</v>
      </c>
      <c r="I22" s="183">
        <v>0</v>
      </c>
      <c r="J22" s="183">
        <v>0</v>
      </c>
      <c r="K22" s="183" t="s">
        <v>1362</v>
      </c>
      <c r="L22" s="183">
        <v>0</v>
      </c>
      <c r="M22" s="183">
        <v>0</v>
      </c>
      <c r="N22" s="183" t="s">
        <v>881</v>
      </c>
      <c r="O22" s="183">
        <v>0</v>
      </c>
      <c r="P22" s="183">
        <v>0</v>
      </c>
      <c r="Q22" s="183"/>
      <c r="R22" s="183"/>
      <c r="S22" s="183"/>
      <c r="T22" s="183"/>
      <c r="U22" s="183"/>
      <c r="V22" s="183">
        <v>0</v>
      </c>
      <c r="W22" s="183">
        <v>0</v>
      </c>
      <c r="X22" s="183">
        <v>0</v>
      </c>
      <c r="Y22" s="184">
        <v>7.25</v>
      </c>
      <c r="Z22" s="184">
        <v>0</v>
      </c>
      <c r="AA22" s="184">
        <v>0</v>
      </c>
      <c r="AB22" s="185" t="s">
        <v>615</v>
      </c>
      <c r="AC22" s="185" t="s">
        <v>615</v>
      </c>
      <c r="AD22" s="186" t="s">
        <v>881</v>
      </c>
      <c r="AE22" s="186" t="s">
        <v>858</v>
      </c>
      <c r="AF22" s="187">
        <v>7</v>
      </c>
      <c r="AG22" s="187">
        <v>3</v>
      </c>
      <c r="AH22" s="187">
        <v>4</v>
      </c>
      <c r="AI22" s="188">
        <v>1</v>
      </c>
      <c r="AJ22" s="188" t="s">
        <v>615</v>
      </c>
      <c r="AK22" s="187" t="s">
        <v>1736</v>
      </c>
      <c r="AL22" s="87" t="s">
        <v>615</v>
      </c>
      <c r="AM22" s="189"/>
      <c r="AN22" s="187" t="s">
        <v>615</v>
      </c>
      <c r="AO22" s="13" t="s">
        <v>615</v>
      </c>
      <c r="AP22" s="187">
        <v>0</v>
      </c>
      <c r="AQ22" s="187">
        <v>0</v>
      </c>
      <c r="AR22" s="190">
        <v>0</v>
      </c>
      <c r="AS22" s="190">
        <v>0</v>
      </c>
      <c r="AT22" s="190">
        <v>0</v>
      </c>
      <c r="AU22" s="187">
        <v>0</v>
      </c>
      <c r="AV22" s="187">
        <v>0</v>
      </c>
      <c r="AW22" s="191"/>
      <c r="AX22" s="192"/>
      <c r="AY22" s="193">
        <v>42666</v>
      </c>
      <c r="AZ22" s="193"/>
      <c r="BA22" s="193"/>
      <c r="BB22" s="194"/>
      <c r="BC22" s="194"/>
      <c r="BD22" s="195"/>
      <c r="BE22" s="195" t="s">
        <v>532</v>
      </c>
      <c r="BF22" s="195"/>
      <c r="BG22" s="195">
        <v>18</v>
      </c>
      <c r="BH22" s="196" t="s">
        <v>547</v>
      </c>
      <c r="BI22" s="197">
        <v>1</v>
      </c>
      <c r="BJ22" s="198"/>
      <c r="BK22" s="199">
        <v>0</v>
      </c>
      <c r="BL22" s="13">
        <v>0</v>
      </c>
      <c r="BM22" s="13">
        <v>0</v>
      </c>
      <c r="BN22" s="13" t="s">
        <v>616</v>
      </c>
      <c r="BO22" s="13" t="s">
        <v>616</v>
      </c>
      <c r="BP22" s="200">
        <v>0</v>
      </c>
      <c r="BQ22" s="201"/>
      <c r="BR22" s="202"/>
      <c r="BS22" s="187">
        <v>1000000000</v>
      </c>
      <c r="BT22" s="203">
        <v>0</v>
      </c>
      <c r="BU22" s="204">
        <v>0</v>
      </c>
      <c r="BV22" s="203">
        <v>0</v>
      </c>
      <c r="BW22" s="205">
        <v>0</v>
      </c>
      <c r="BX22" s="205">
        <v>0</v>
      </c>
      <c r="BY22" s="205">
        <v>0</v>
      </c>
      <c r="BZ22" s="203">
        <v>0</v>
      </c>
      <c r="CA22" s="203">
        <v>0</v>
      </c>
      <c r="CB22" s="203">
        <v>0</v>
      </c>
      <c r="CC22" s="204">
        <v>0</v>
      </c>
      <c r="CD22" s="203">
        <v>0</v>
      </c>
      <c r="CE22" s="203">
        <v>0</v>
      </c>
      <c r="CF22" s="13">
        <v>0</v>
      </c>
      <c r="CG22" s="206">
        <v>0</v>
      </c>
      <c r="CH22" s="207">
        <v>0</v>
      </c>
      <c r="CI22" s="201"/>
      <c r="CJ22" s="208"/>
      <c r="CK22" s="209" t="s">
        <v>615</v>
      </c>
      <c r="CL22" s="210" t="s">
        <v>615</v>
      </c>
      <c r="CM22" s="207">
        <v>0</v>
      </c>
      <c r="CN22" s="207">
        <v>0</v>
      </c>
      <c r="CO22" s="204">
        <v>0</v>
      </c>
      <c r="CP22" s="204">
        <v>0</v>
      </c>
      <c r="CQ22" s="211"/>
      <c r="CR22" s="204">
        <v>1</v>
      </c>
      <c r="CS22" s="212">
        <v>42531</v>
      </c>
      <c r="CT22" s="212">
        <v>42780</v>
      </c>
      <c r="CU22" s="213">
        <v>42780</v>
      </c>
      <c r="CV22" s="214">
        <v>42829</v>
      </c>
      <c r="CW22" s="214" t="s">
        <v>615</v>
      </c>
      <c r="CX22" s="214" t="s">
        <v>615</v>
      </c>
      <c r="CY22" s="204">
        <v>0.58345996599157823</v>
      </c>
      <c r="CZ22" s="204">
        <v>0.97959183673469385</v>
      </c>
      <c r="DA22" s="203">
        <v>0</v>
      </c>
      <c r="DB22" s="204">
        <v>0.24489795918367346</v>
      </c>
      <c r="DC22" s="204">
        <v>0</v>
      </c>
      <c r="DD22" s="204">
        <v>0</v>
      </c>
      <c r="DE22" s="204">
        <v>0</v>
      </c>
      <c r="DF22" s="215">
        <v>0.73469387755102045</v>
      </c>
      <c r="DG22" s="13" t="s">
        <v>615</v>
      </c>
      <c r="DH22" s="86">
        <v>20</v>
      </c>
      <c r="DI22" s="86"/>
      <c r="DJ22" s="86">
        <v>259</v>
      </c>
      <c r="DK22" s="86" t="s">
        <v>1713</v>
      </c>
      <c r="DL22" s="86" t="e">
        <v>#N/A</v>
      </c>
      <c r="DM22" s="86" t="e">
        <v>#N/A</v>
      </c>
      <c r="DN22" s="86" t="e">
        <v>#N/A</v>
      </c>
      <c r="DO22" s="86">
        <v>430</v>
      </c>
      <c r="DP22" s="86">
        <v>5</v>
      </c>
      <c r="DQ22" s="86">
        <v>49</v>
      </c>
      <c r="DR22" s="152">
        <v>0</v>
      </c>
      <c r="DS22" s="152">
        <v>0</v>
      </c>
      <c r="DT22" s="152">
        <v>0</v>
      </c>
      <c r="DU22" s="152">
        <v>0</v>
      </c>
      <c r="DV22" s="152">
        <v>0</v>
      </c>
      <c r="DW22" s="152">
        <v>0</v>
      </c>
      <c r="DX22" s="152">
        <v>0</v>
      </c>
      <c r="DY22" s="152">
        <v>0</v>
      </c>
      <c r="DZ22" s="152">
        <v>0</v>
      </c>
      <c r="EA22" s="152">
        <v>0</v>
      </c>
      <c r="EB22" s="152">
        <v>0</v>
      </c>
      <c r="EC22" s="152">
        <v>0</v>
      </c>
      <c r="ED22" s="152">
        <v>0</v>
      </c>
      <c r="EE22" s="152">
        <v>0</v>
      </c>
      <c r="EF22" s="152">
        <v>0</v>
      </c>
      <c r="EG22" s="152">
        <v>0</v>
      </c>
      <c r="EH22" s="152">
        <v>0</v>
      </c>
      <c r="EI22" s="152">
        <v>0</v>
      </c>
      <c r="EJ22" s="152">
        <v>0</v>
      </c>
      <c r="EK22" s="152">
        <v>0</v>
      </c>
      <c r="EL22" s="152">
        <v>0</v>
      </c>
      <c r="EM22" s="152">
        <v>0</v>
      </c>
      <c r="EN22" s="152">
        <v>0</v>
      </c>
      <c r="EO22" s="152">
        <v>0</v>
      </c>
      <c r="EP22" s="152">
        <v>0</v>
      </c>
      <c r="EQ22" s="152">
        <v>0</v>
      </c>
      <c r="ER22" s="152">
        <v>0</v>
      </c>
      <c r="ES22" s="152">
        <v>0</v>
      </c>
      <c r="ET22" s="152">
        <v>0</v>
      </c>
      <c r="EU22" s="152">
        <v>0</v>
      </c>
      <c r="EV22" s="152">
        <v>0</v>
      </c>
      <c r="EW22" s="152">
        <v>0</v>
      </c>
      <c r="EX22" s="152">
        <v>0</v>
      </c>
      <c r="EY22" s="152">
        <v>0</v>
      </c>
      <c r="EZ22" s="152">
        <v>0</v>
      </c>
      <c r="FA22" s="152">
        <v>0</v>
      </c>
      <c r="FB22" s="152">
        <v>0</v>
      </c>
      <c r="FC22" s="152">
        <v>0</v>
      </c>
      <c r="FD22" s="152">
        <v>0</v>
      </c>
      <c r="FE22" s="152">
        <v>0</v>
      </c>
      <c r="FF22" s="152">
        <v>0</v>
      </c>
      <c r="FG22" s="152">
        <v>0</v>
      </c>
      <c r="FH22" s="152">
        <v>0</v>
      </c>
      <c r="FI22" s="152">
        <v>0</v>
      </c>
      <c r="FJ22" s="152">
        <v>0</v>
      </c>
      <c r="FK22" s="152">
        <v>0</v>
      </c>
      <c r="FL22" s="152">
        <v>0</v>
      </c>
      <c r="FM22" s="152">
        <v>0</v>
      </c>
      <c r="FN22" s="152">
        <v>0</v>
      </c>
      <c r="FO22" s="152">
        <v>0</v>
      </c>
      <c r="FP22" s="152">
        <v>0</v>
      </c>
      <c r="FQ22" s="152">
        <v>0</v>
      </c>
      <c r="FR22" s="152">
        <v>0</v>
      </c>
      <c r="FS22" s="152">
        <v>0</v>
      </c>
      <c r="FT22" s="152">
        <v>0</v>
      </c>
      <c r="FU22" s="152">
        <v>63</v>
      </c>
      <c r="FV22" s="152">
        <v>63</v>
      </c>
      <c r="FW22" s="152">
        <v>63</v>
      </c>
      <c r="FX22" s="152">
        <v>63</v>
      </c>
      <c r="FY22" s="152">
        <v>63</v>
      </c>
      <c r="FZ22" s="152">
        <v>63</v>
      </c>
      <c r="GA22" s="152">
        <v>63</v>
      </c>
      <c r="GB22" s="152">
        <v>63</v>
      </c>
      <c r="GC22" s="152">
        <v>63</v>
      </c>
      <c r="GD22" s="152">
        <v>63</v>
      </c>
      <c r="GE22" s="152">
        <v>63</v>
      </c>
      <c r="GF22" s="152">
        <v>63</v>
      </c>
      <c r="GG22" s="152">
        <v>63</v>
      </c>
      <c r="GH22" s="152">
        <v>63</v>
      </c>
      <c r="GI22" s="152">
        <v>63</v>
      </c>
      <c r="GJ22" s="152">
        <v>63</v>
      </c>
      <c r="GK22" s="152">
        <v>63</v>
      </c>
      <c r="GL22" s="152">
        <v>63</v>
      </c>
      <c r="GM22" s="152">
        <v>63</v>
      </c>
      <c r="GN22" s="152">
        <v>63</v>
      </c>
      <c r="GO22" s="152">
        <v>63</v>
      </c>
      <c r="GP22" s="152">
        <v>63</v>
      </c>
      <c r="GQ22" s="152">
        <v>63</v>
      </c>
      <c r="GR22" s="152">
        <v>63</v>
      </c>
      <c r="GS22" s="152">
        <v>63</v>
      </c>
      <c r="GT22" s="152">
        <v>63</v>
      </c>
      <c r="GU22" s="152">
        <v>63</v>
      </c>
      <c r="GV22" s="152">
        <v>63</v>
      </c>
      <c r="GW22" s="152">
        <v>63</v>
      </c>
      <c r="GX22" s="152">
        <v>0</v>
      </c>
      <c r="GY22" s="152">
        <v>0</v>
      </c>
      <c r="GZ22" s="152">
        <v>0</v>
      </c>
      <c r="HA22" s="152">
        <v>0</v>
      </c>
      <c r="HB22" s="152">
        <v>0</v>
      </c>
      <c r="HC22" s="152">
        <v>0</v>
      </c>
      <c r="HD22" s="152">
        <v>0</v>
      </c>
      <c r="HE22" s="152">
        <v>0</v>
      </c>
      <c r="HF22" s="152">
        <v>0</v>
      </c>
      <c r="HG22" s="152">
        <v>0</v>
      </c>
      <c r="HH22" s="152">
        <v>63</v>
      </c>
      <c r="HI22" s="152">
        <v>63</v>
      </c>
      <c r="HJ22" s="152">
        <v>63</v>
      </c>
      <c r="HK22" s="152">
        <v>63</v>
      </c>
      <c r="HL22" s="152">
        <v>63</v>
      </c>
      <c r="HM22" s="152">
        <v>63</v>
      </c>
      <c r="HN22" s="152">
        <v>63</v>
      </c>
      <c r="HO22" s="152">
        <v>63</v>
      </c>
      <c r="HP22" s="152">
        <v>63</v>
      </c>
      <c r="HQ22" s="152">
        <v>63</v>
      </c>
      <c r="HR22" s="152">
        <v>63</v>
      </c>
      <c r="HS22" s="152">
        <v>63</v>
      </c>
      <c r="HT22" s="152">
        <v>0</v>
      </c>
      <c r="HU22" s="216"/>
      <c r="HV22" s="152">
        <v>0</v>
      </c>
      <c r="HW22" s="216"/>
      <c r="HX22" s="216"/>
      <c r="HY22" s="216"/>
      <c r="HZ22" s="216"/>
      <c r="IA22" s="216"/>
      <c r="IB22" s="216"/>
      <c r="IC22" s="216"/>
      <c r="ID22" s="216"/>
      <c r="IE22" s="216"/>
      <c r="IF22" s="216"/>
      <c r="IG22" s="216"/>
      <c r="IH22" s="216"/>
      <c r="II22" s="216"/>
      <c r="IJ22" s="216"/>
      <c r="IK22" s="216"/>
      <c r="IL22" s="216"/>
      <c r="IM22" s="216"/>
      <c r="IN22" s="216"/>
      <c r="IO22" s="216"/>
      <c r="IP22" s="216"/>
      <c r="IQ22" s="216"/>
      <c r="IR22" s="216"/>
      <c r="IS22" s="216"/>
      <c r="IT22" s="216"/>
      <c r="IU22" s="216"/>
      <c r="IV22" s="216"/>
      <c r="IW22" s="216"/>
      <c r="IX22" s="216"/>
      <c r="IY22" s="216"/>
      <c r="IZ22" s="216"/>
      <c r="JA22" s="216"/>
      <c r="JB22" s="216"/>
      <c r="JC22" s="216"/>
      <c r="JD22" s="216"/>
      <c r="JE22" s="216"/>
      <c r="JF22" s="216"/>
      <c r="JG22" s="216"/>
      <c r="JH22" s="216"/>
      <c r="JI22" s="216"/>
      <c r="JJ22" s="216"/>
      <c r="JK22" s="216"/>
      <c r="JL22" s="216"/>
      <c r="JM22" s="216"/>
      <c r="JN22" s="216"/>
      <c r="JO22" s="216"/>
      <c r="JP22" s="216"/>
      <c r="JQ22" s="216"/>
      <c r="JR22" s="216"/>
      <c r="JS22" s="216"/>
      <c r="JT22" s="216"/>
      <c r="JU22" s="216"/>
      <c r="JV22" s="216"/>
      <c r="JW22" s="216"/>
      <c r="JX22" s="216"/>
      <c r="JY22" s="216"/>
      <c r="JZ22" s="216"/>
      <c r="KA22" s="216"/>
      <c r="KB22" s="216"/>
      <c r="KC22" s="216"/>
      <c r="KD22" s="216"/>
      <c r="KE22" s="216"/>
      <c r="KF22" s="216"/>
      <c r="KG22" s="216"/>
      <c r="KH22" s="216"/>
      <c r="KI22" s="216"/>
      <c r="KJ22" s="216"/>
      <c r="KK22" s="216"/>
      <c r="KL22" s="216"/>
      <c r="KM22" s="216"/>
      <c r="KN22" s="216"/>
      <c r="KO22" s="216"/>
      <c r="KP22" s="216"/>
      <c r="KQ22" s="216"/>
      <c r="KR22" s="216"/>
      <c r="KS22" s="216"/>
      <c r="KT22" s="216"/>
      <c r="KU22" s="216"/>
      <c r="KV22" s="216"/>
      <c r="KW22" s="216"/>
      <c r="KX22" s="216"/>
      <c r="KY22" s="216"/>
      <c r="KZ22" s="216"/>
      <c r="LA22" s="216"/>
      <c r="LB22" s="216"/>
      <c r="LC22" s="216"/>
      <c r="LD22" s="216"/>
      <c r="LE22" s="216"/>
    </row>
    <row r="23" spans="1:317" x14ac:dyDescent="0.2">
      <c r="A23" s="179" t="s">
        <v>849</v>
      </c>
      <c r="B23" s="180" t="s">
        <v>922</v>
      </c>
      <c r="C23" s="181"/>
      <c r="D23" s="182">
        <v>0</v>
      </c>
      <c r="E23" s="182">
        <v>0</v>
      </c>
      <c r="F23" s="183" t="s">
        <v>1207</v>
      </c>
      <c r="G23" s="183">
        <v>0</v>
      </c>
      <c r="H23" s="183">
        <v>0</v>
      </c>
      <c r="I23" s="183">
        <v>0</v>
      </c>
      <c r="J23" s="183">
        <v>0</v>
      </c>
      <c r="K23" s="183" t="s">
        <v>1362</v>
      </c>
      <c r="L23" s="183">
        <v>0</v>
      </c>
      <c r="M23" s="183">
        <v>0</v>
      </c>
      <c r="N23" s="183" t="s">
        <v>881</v>
      </c>
      <c r="O23" s="183">
        <v>0</v>
      </c>
      <c r="P23" s="183">
        <v>0</v>
      </c>
      <c r="Q23" s="183"/>
      <c r="R23" s="183"/>
      <c r="S23" s="183"/>
      <c r="T23" s="183"/>
      <c r="U23" s="183"/>
      <c r="V23" s="183">
        <v>0</v>
      </c>
      <c r="W23" s="183">
        <v>0</v>
      </c>
      <c r="X23" s="183">
        <v>0</v>
      </c>
      <c r="Y23" s="184">
        <v>10.11</v>
      </c>
      <c r="Z23" s="184">
        <v>59.72</v>
      </c>
      <c r="AA23" s="184">
        <v>0</v>
      </c>
      <c r="AB23" s="185" t="s">
        <v>615</v>
      </c>
      <c r="AC23" s="185" t="s">
        <v>615</v>
      </c>
      <c r="AD23" s="186" t="s">
        <v>881</v>
      </c>
      <c r="AE23" s="186" t="s">
        <v>858</v>
      </c>
      <c r="AF23" s="187">
        <v>7</v>
      </c>
      <c r="AG23" s="187">
        <v>3</v>
      </c>
      <c r="AH23" s="187">
        <v>4</v>
      </c>
      <c r="AI23" s="188">
        <v>1</v>
      </c>
      <c r="AJ23" s="188" t="s">
        <v>615</v>
      </c>
      <c r="AK23" s="187" t="s">
        <v>1733</v>
      </c>
      <c r="AL23" s="87" t="s">
        <v>615</v>
      </c>
      <c r="AM23" s="189"/>
      <c r="AN23" s="187" t="s">
        <v>615</v>
      </c>
      <c r="AO23" s="13" t="s">
        <v>615</v>
      </c>
      <c r="AP23" s="187">
        <v>0</v>
      </c>
      <c r="AQ23" s="187">
        <v>0</v>
      </c>
      <c r="AR23" s="190">
        <v>0</v>
      </c>
      <c r="AS23" s="190">
        <v>0</v>
      </c>
      <c r="AT23" s="190">
        <v>0</v>
      </c>
      <c r="AU23" s="187">
        <v>0</v>
      </c>
      <c r="AV23" s="187">
        <v>0</v>
      </c>
      <c r="AW23" s="191"/>
      <c r="AX23" s="192"/>
      <c r="AY23" s="193">
        <v>42666</v>
      </c>
      <c r="AZ23" s="193"/>
      <c r="BA23" s="193"/>
      <c r="BB23" s="194"/>
      <c r="BC23" s="194"/>
      <c r="BD23" s="195"/>
      <c r="BE23" s="195" t="s">
        <v>532</v>
      </c>
      <c r="BF23" s="195"/>
      <c r="BG23" s="195">
        <v>11</v>
      </c>
      <c r="BH23" s="196" t="s">
        <v>547</v>
      </c>
      <c r="BI23" s="197">
        <v>1</v>
      </c>
      <c r="BJ23" s="198"/>
      <c r="BK23" s="199">
        <v>0</v>
      </c>
      <c r="BL23" s="13">
        <v>0</v>
      </c>
      <c r="BM23" s="13">
        <v>0</v>
      </c>
      <c r="BN23" s="13" t="s">
        <v>616</v>
      </c>
      <c r="BO23" s="13" t="s">
        <v>616</v>
      </c>
      <c r="BP23" s="200">
        <v>0</v>
      </c>
      <c r="BQ23" s="201"/>
      <c r="BR23" s="202"/>
      <c r="BS23" s="187">
        <v>1000000000</v>
      </c>
      <c r="BT23" s="203">
        <v>1</v>
      </c>
      <c r="BU23" s="204">
        <v>0</v>
      </c>
      <c r="BV23" s="203">
        <v>0</v>
      </c>
      <c r="BW23" s="205">
        <v>0</v>
      </c>
      <c r="BX23" s="205">
        <v>0</v>
      </c>
      <c r="BY23" s="205">
        <v>0</v>
      </c>
      <c r="BZ23" s="203">
        <v>0</v>
      </c>
      <c r="CA23" s="203">
        <v>0</v>
      </c>
      <c r="CB23" s="203">
        <v>1</v>
      </c>
      <c r="CC23" s="204">
        <v>0</v>
      </c>
      <c r="CD23" s="203">
        <v>0</v>
      </c>
      <c r="CE23" s="203">
        <v>0</v>
      </c>
      <c r="CF23" s="13">
        <v>0</v>
      </c>
      <c r="CG23" s="206">
        <v>0</v>
      </c>
      <c r="CH23" s="207">
        <v>0</v>
      </c>
      <c r="CI23" s="201"/>
      <c r="CJ23" s="208"/>
      <c r="CK23" s="209" t="s">
        <v>615</v>
      </c>
      <c r="CL23" s="210" t="s">
        <v>615</v>
      </c>
      <c r="CM23" s="207">
        <v>0</v>
      </c>
      <c r="CN23" s="207">
        <v>0</v>
      </c>
      <c r="CO23" s="204">
        <v>0</v>
      </c>
      <c r="CP23" s="204">
        <v>0</v>
      </c>
      <c r="CQ23" s="211"/>
      <c r="CR23" s="204">
        <v>1</v>
      </c>
      <c r="CS23" s="212">
        <v>42592</v>
      </c>
      <c r="CT23" s="212">
        <v>42780</v>
      </c>
      <c r="CU23" s="213">
        <v>42780</v>
      </c>
      <c r="CV23" s="214">
        <v>42829</v>
      </c>
      <c r="CW23" s="214" t="s">
        <v>615</v>
      </c>
      <c r="CX23" s="214" t="s">
        <v>615</v>
      </c>
      <c r="CY23" s="204">
        <v>0.20594543101542542</v>
      </c>
      <c r="CZ23" s="204">
        <v>0.97959183673469385</v>
      </c>
      <c r="DA23" s="203">
        <v>0</v>
      </c>
      <c r="DB23" s="204">
        <v>0</v>
      </c>
      <c r="DC23" s="204">
        <v>0</v>
      </c>
      <c r="DD23" s="204">
        <v>0</v>
      </c>
      <c r="DE23" s="204">
        <v>0</v>
      </c>
      <c r="DF23" s="215">
        <v>0.97959183673469385</v>
      </c>
      <c r="DG23" s="13" t="s">
        <v>615</v>
      </c>
      <c r="DH23" s="86">
        <v>21</v>
      </c>
      <c r="DI23" s="86"/>
      <c r="DJ23" s="86">
        <v>258</v>
      </c>
      <c r="DK23" s="86" t="s">
        <v>1511</v>
      </c>
      <c r="DL23" s="86" t="e">
        <v>#N/A</v>
      </c>
      <c r="DM23" s="86">
        <v>145</v>
      </c>
      <c r="DN23" s="86" t="e">
        <v>#N/A</v>
      </c>
      <c r="DO23" s="86">
        <v>429</v>
      </c>
      <c r="DP23" s="86">
        <v>5</v>
      </c>
      <c r="DQ23" s="86">
        <v>49</v>
      </c>
      <c r="DR23" s="146">
        <v>1</v>
      </c>
      <c r="DS23" s="146">
        <v>1</v>
      </c>
      <c r="DT23" s="146">
        <v>1</v>
      </c>
      <c r="DU23" s="146">
        <v>1</v>
      </c>
      <c r="DV23" s="146">
        <v>1</v>
      </c>
      <c r="DW23" s="146">
        <v>1</v>
      </c>
      <c r="DX23" s="146">
        <v>1</v>
      </c>
      <c r="DY23" s="146">
        <v>1</v>
      </c>
      <c r="DZ23" s="146">
        <v>1</v>
      </c>
      <c r="EA23" s="146">
        <v>1</v>
      </c>
      <c r="EB23" s="146">
        <v>1</v>
      </c>
      <c r="EC23" s="146">
        <v>1</v>
      </c>
      <c r="ED23" s="146">
        <v>1</v>
      </c>
      <c r="EE23" s="146">
        <v>1</v>
      </c>
      <c r="EF23" s="146">
        <v>1</v>
      </c>
      <c r="EG23" s="146">
        <v>1</v>
      </c>
      <c r="EH23" s="146">
        <v>1</v>
      </c>
      <c r="EI23" s="146">
        <v>1</v>
      </c>
      <c r="EJ23" s="146">
        <v>1</v>
      </c>
      <c r="EK23" s="146">
        <v>1</v>
      </c>
      <c r="EL23" s="146">
        <v>1</v>
      </c>
      <c r="EM23" s="146">
        <v>1</v>
      </c>
      <c r="EN23" s="146">
        <v>1</v>
      </c>
      <c r="EO23" s="146">
        <v>1</v>
      </c>
      <c r="EP23" s="146">
        <v>1</v>
      </c>
      <c r="EQ23" s="146">
        <v>1</v>
      </c>
      <c r="ER23" s="146">
        <v>1</v>
      </c>
      <c r="ES23" s="146">
        <v>1</v>
      </c>
      <c r="ET23" s="146">
        <v>1</v>
      </c>
      <c r="EU23" s="146">
        <v>1</v>
      </c>
      <c r="EV23" s="146">
        <v>1</v>
      </c>
      <c r="EW23" s="146">
        <v>1</v>
      </c>
      <c r="EX23" s="146">
        <v>1</v>
      </c>
      <c r="EY23" s="146">
        <v>1</v>
      </c>
      <c r="EZ23" s="146">
        <v>1</v>
      </c>
      <c r="FA23" s="146">
        <v>1</v>
      </c>
      <c r="FB23" s="146">
        <v>1</v>
      </c>
      <c r="FC23" s="146">
        <v>1</v>
      </c>
      <c r="FD23" s="146">
        <v>1</v>
      </c>
      <c r="FE23" s="146">
        <v>1</v>
      </c>
      <c r="FF23" s="146">
        <v>1</v>
      </c>
      <c r="FG23" s="146">
        <v>1</v>
      </c>
      <c r="FH23" s="146">
        <v>1</v>
      </c>
      <c r="FI23" s="146">
        <v>1</v>
      </c>
      <c r="FJ23" s="146">
        <v>1</v>
      </c>
      <c r="FK23" s="146">
        <v>1</v>
      </c>
      <c r="FL23" s="146">
        <v>1</v>
      </c>
      <c r="FM23" s="146">
        <v>1</v>
      </c>
      <c r="FN23" s="146">
        <v>1</v>
      </c>
      <c r="FO23" s="146">
        <v>1</v>
      </c>
      <c r="FP23" s="146">
        <v>1</v>
      </c>
      <c r="FQ23" s="146">
        <v>1</v>
      </c>
      <c r="FR23" s="146">
        <v>1</v>
      </c>
      <c r="FS23" s="146">
        <v>1</v>
      </c>
      <c r="FT23" s="146">
        <v>1</v>
      </c>
      <c r="FU23" s="146">
        <v>46</v>
      </c>
      <c r="FV23" s="146">
        <v>46</v>
      </c>
      <c r="FW23" s="146">
        <v>46</v>
      </c>
      <c r="FX23" s="146">
        <v>46</v>
      </c>
      <c r="FY23" s="146">
        <v>46</v>
      </c>
      <c r="FZ23" s="146">
        <v>46</v>
      </c>
      <c r="GA23" s="146">
        <v>46</v>
      </c>
      <c r="GB23" s="146">
        <v>46</v>
      </c>
      <c r="GC23" s="146">
        <v>46</v>
      </c>
      <c r="GD23" s="146">
        <v>46</v>
      </c>
      <c r="GE23" s="146">
        <v>46</v>
      </c>
      <c r="GF23" s="146">
        <v>46</v>
      </c>
      <c r="GG23" s="146">
        <v>46</v>
      </c>
      <c r="GH23" s="146">
        <v>46</v>
      </c>
      <c r="GI23" s="146">
        <v>46</v>
      </c>
      <c r="GJ23" s="146">
        <v>46</v>
      </c>
      <c r="GK23" s="146">
        <v>46</v>
      </c>
      <c r="GL23" s="146">
        <v>46</v>
      </c>
      <c r="GM23" s="146">
        <v>46</v>
      </c>
      <c r="GN23" s="146">
        <v>46</v>
      </c>
      <c r="GO23" s="146">
        <v>46</v>
      </c>
      <c r="GP23" s="146">
        <v>46</v>
      </c>
      <c r="GQ23" s="146">
        <v>46</v>
      </c>
      <c r="GR23" s="146">
        <v>46</v>
      </c>
      <c r="GS23" s="146">
        <v>46</v>
      </c>
      <c r="GT23" s="146">
        <v>46</v>
      </c>
      <c r="GU23" s="146">
        <v>46</v>
      </c>
      <c r="GV23" s="146">
        <v>46</v>
      </c>
      <c r="GW23" s="146">
        <v>46</v>
      </c>
      <c r="GX23" s="146">
        <v>46</v>
      </c>
      <c r="GY23" s="146">
        <v>46</v>
      </c>
      <c r="GZ23" s="146">
        <v>46</v>
      </c>
      <c r="HA23" s="146">
        <v>46</v>
      </c>
      <c r="HB23" s="146">
        <v>46</v>
      </c>
      <c r="HC23" s="146">
        <v>46</v>
      </c>
      <c r="HD23" s="146">
        <v>46</v>
      </c>
      <c r="HE23" s="146">
        <v>46</v>
      </c>
      <c r="HF23" s="146">
        <v>46</v>
      </c>
      <c r="HG23" s="146">
        <v>46</v>
      </c>
      <c r="HH23" s="146">
        <v>46</v>
      </c>
      <c r="HI23" s="146">
        <v>46</v>
      </c>
      <c r="HJ23" s="146">
        <v>46</v>
      </c>
      <c r="HK23" s="146">
        <v>46</v>
      </c>
      <c r="HL23" s="146">
        <v>46</v>
      </c>
      <c r="HM23" s="146">
        <v>46</v>
      </c>
      <c r="HN23" s="146">
        <v>46</v>
      </c>
      <c r="HO23" s="146">
        <v>46</v>
      </c>
      <c r="HP23" s="146">
        <v>46</v>
      </c>
      <c r="HQ23" s="146">
        <v>46</v>
      </c>
      <c r="HR23" s="146">
        <v>46</v>
      </c>
      <c r="HS23" s="146">
        <v>46</v>
      </c>
      <c r="HT23" s="146">
        <v>1</v>
      </c>
      <c r="HU23" s="151"/>
      <c r="HV23" s="146">
        <v>1</v>
      </c>
      <c r="HW23" s="151"/>
      <c r="HX23" s="151"/>
      <c r="HY23" s="151"/>
      <c r="HZ23" s="151"/>
      <c r="IA23" s="151"/>
      <c r="IB23" s="151"/>
      <c r="IC23" s="151"/>
      <c r="ID23" s="151"/>
      <c r="IE23" s="151"/>
      <c r="IF23" s="151"/>
      <c r="IG23" s="151"/>
      <c r="IH23" s="151"/>
      <c r="II23" s="151"/>
      <c r="IJ23" s="151"/>
      <c r="IK23" s="151"/>
      <c r="IL23" s="151"/>
      <c r="IM23" s="151"/>
      <c r="IN23" s="151"/>
      <c r="IO23" s="151"/>
      <c r="IP23" s="151"/>
      <c r="IQ23" s="151"/>
      <c r="IR23" s="151"/>
      <c r="IS23" s="151"/>
      <c r="IT23" s="151"/>
      <c r="IU23" s="151"/>
      <c r="IV23" s="151"/>
      <c r="IW23" s="151"/>
      <c r="IX23" s="151"/>
      <c r="IY23" s="151"/>
      <c r="IZ23" s="151"/>
      <c r="JA23" s="151"/>
      <c r="JB23" s="151"/>
      <c r="JC23" s="151"/>
      <c r="JD23" s="151"/>
      <c r="JE23" s="151"/>
      <c r="JF23" s="151"/>
      <c r="JG23" s="151"/>
      <c r="JH23" s="151"/>
      <c r="JI23" s="151"/>
      <c r="JJ23" s="151"/>
      <c r="JK23" s="151"/>
      <c r="JL23" s="151"/>
      <c r="JM23" s="151"/>
      <c r="JN23" s="151"/>
      <c r="JO23" s="151"/>
      <c r="JP23" s="151"/>
      <c r="JQ23" s="151"/>
      <c r="JR23" s="151"/>
      <c r="JS23" s="151"/>
      <c r="JT23" s="151"/>
      <c r="JU23" s="151"/>
      <c r="JV23" s="151"/>
      <c r="JW23" s="151"/>
      <c r="JX23" s="151"/>
      <c r="JY23" s="151"/>
      <c r="JZ23" s="151"/>
      <c r="KA23" s="151"/>
      <c r="KB23" s="151"/>
      <c r="KC23" s="151"/>
      <c r="KD23" s="151"/>
      <c r="KE23" s="151"/>
      <c r="KF23" s="151"/>
      <c r="KG23" s="151"/>
      <c r="KH23" s="151"/>
      <c r="KI23" s="151"/>
      <c r="KJ23" s="151"/>
      <c r="KK23" s="151"/>
      <c r="KL23" s="151"/>
      <c r="KM23" s="151"/>
      <c r="KN23" s="151"/>
      <c r="KO23" s="151"/>
      <c r="KP23" s="151"/>
      <c r="KQ23" s="151"/>
      <c r="KR23" s="151"/>
      <c r="KS23" s="151"/>
      <c r="KT23" s="151"/>
      <c r="KU23" s="151"/>
      <c r="KV23" s="151"/>
      <c r="KW23" s="151"/>
      <c r="KX23" s="151"/>
      <c r="KY23" s="151"/>
      <c r="KZ23" s="151"/>
      <c r="LA23" s="151"/>
      <c r="LB23" s="151"/>
      <c r="LC23" s="151"/>
      <c r="LD23" s="151"/>
      <c r="LE23" s="151"/>
    </row>
    <row r="24" spans="1:317" x14ac:dyDescent="0.2">
      <c r="A24" s="179" t="s">
        <v>849</v>
      </c>
      <c r="B24" s="180" t="s">
        <v>923</v>
      </c>
      <c r="C24" s="181"/>
      <c r="D24" s="182">
        <v>0</v>
      </c>
      <c r="E24" s="182">
        <v>0</v>
      </c>
      <c r="F24" s="183" t="s">
        <v>1208</v>
      </c>
      <c r="G24" s="183">
        <v>0</v>
      </c>
      <c r="H24" s="183">
        <v>0</v>
      </c>
      <c r="I24" s="183">
        <v>0</v>
      </c>
      <c r="J24" s="183">
        <v>0</v>
      </c>
      <c r="K24" s="183" t="s">
        <v>1362</v>
      </c>
      <c r="L24" s="183">
        <v>0</v>
      </c>
      <c r="M24" s="183">
        <v>0</v>
      </c>
      <c r="N24" s="183" t="s">
        <v>881</v>
      </c>
      <c r="O24" s="183">
        <v>0</v>
      </c>
      <c r="P24" s="183">
        <v>0</v>
      </c>
      <c r="Q24" s="183"/>
      <c r="R24" s="183"/>
      <c r="S24" s="183"/>
      <c r="T24" s="183"/>
      <c r="U24" s="183"/>
      <c r="V24" s="183">
        <v>0</v>
      </c>
      <c r="W24" s="183">
        <v>0</v>
      </c>
      <c r="X24" s="183">
        <v>0</v>
      </c>
      <c r="Y24" s="184">
        <v>12.92</v>
      </c>
      <c r="Z24" s="184">
        <v>96.71</v>
      </c>
      <c r="AA24" s="184">
        <v>0</v>
      </c>
      <c r="AB24" s="185" t="s">
        <v>615</v>
      </c>
      <c r="AC24" s="185" t="s">
        <v>615</v>
      </c>
      <c r="AD24" s="186" t="s">
        <v>881</v>
      </c>
      <c r="AE24" s="186" t="s">
        <v>858</v>
      </c>
      <c r="AF24" s="187">
        <v>7</v>
      </c>
      <c r="AG24" s="187">
        <v>3</v>
      </c>
      <c r="AH24" s="187">
        <v>4</v>
      </c>
      <c r="AI24" s="188">
        <v>1</v>
      </c>
      <c r="AJ24" s="188" t="s">
        <v>615</v>
      </c>
      <c r="AK24" s="187" t="s">
        <v>1736</v>
      </c>
      <c r="AL24" s="87" t="s">
        <v>615</v>
      </c>
      <c r="AM24" s="189"/>
      <c r="AN24" s="187" t="s">
        <v>615</v>
      </c>
      <c r="AO24" s="13" t="s">
        <v>615</v>
      </c>
      <c r="AP24" s="187">
        <v>0</v>
      </c>
      <c r="AQ24" s="187">
        <v>0</v>
      </c>
      <c r="AR24" s="190">
        <v>0</v>
      </c>
      <c r="AS24" s="190">
        <v>0</v>
      </c>
      <c r="AT24" s="190">
        <v>0</v>
      </c>
      <c r="AU24" s="187">
        <v>0</v>
      </c>
      <c r="AV24" s="187">
        <v>0</v>
      </c>
      <c r="AW24" s="191"/>
      <c r="AX24" s="192"/>
      <c r="AY24" s="193">
        <v>42666</v>
      </c>
      <c r="AZ24" s="193"/>
      <c r="BA24" s="193"/>
      <c r="BB24" s="194"/>
      <c r="BC24" s="194"/>
      <c r="BD24" s="195"/>
      <c r="BE24" s="195" t="s">
        <v>532</v>
      </c>
      <c r="BF24" s="195"/>
      <c r="BG24" s="195">
        <v>10</v>
      </c>
      <c r="BH24" s="196" t="s">
        <v>547</v>
      </c>
      <c r="BI24" s="197">
        <v>1</v>
      </c>
      <c r="BJ24" s="198"/>
      <c r="BK24" s="199">
        <v>0</v>
      </c>
      <c r="BL24" s="13">
        <v>0</v>
      </c>
      <c r="BM24" s="13">
        <v>0</v>
      </c>
      <c r="BN24" s="13" t="s">
        <v>616</v>
      </c>
      <c r="BO24" s="13" t="s">
        <v>616</v>
      </c>
      <c r="BP24" s="200">
        <v>0</v>
      </c>
      <c r="BQ24" s="201"/>
      <c r="BR24" s="202"/>
      <c r="BS24" s="187">
        <v>1000000000</v>
      </c>
      <c r="BT24" s="203">
        <v>0</v>
      </c>
      <c r="BU24" s="204">
        <v>0</v>
      </c>
      <c r="BV24" s="203">
        <v>0</v>
      </c>
      <c r="BW24" s="205">
        <v>0</v>
      </c>
      <c r="BX24" s="205">
        <v>0</v>
      </c>
      <c r="BY24" s="205">
        <v>0</v>
      </c>
      <c r="BZ24" s="203">
        <v>0</v>
      </c>
      <c r="CA24" s="203">
        <v>0</v>
      </c>
      <c r="CB24" s="203">
        <v>0</v>
      </c>
      <c r="CC24" s="204">
        <v>0</v>
      </c>
      <c r="CD24" s="203">
        <v>0</v>
      </c>
      <c r="CE24" s="203">
        <v>0</v>
      </c>
      <c r="CF24" s="13">
        <v>0</v>
      </c>
      <c r="CG24" s="206">
        <v>0</v>
      </c>
      <c r="CH24" s="207">
        <v>0</v>
      </c>
      <c r="CI24" s="201"/>
      <c r="CJ24" s="208"/>
      <c r="CK24" s="209" t="s">
        <v>615</v>
      </c>
      <c r="CL24" s="210" t="s">
        <v>615</v>
      </c>
      <c r="CM24" s="207">
        <v>0</v>
      </c>
      <c r="CN24" s="207">
        <v>0</v>
      </c>
      <c r="CO24" s="204">
        <v>0</v>
      </c>
      <c r="CP24" s="204">
        <v>0</v>
      </c>
      <c r="CQ24" s="211"/>
      <c r="CR24" s="204">
        <v>1</v>
      </c>
      <c r="CS24" s="212">
        <v>42531</v>
      </c>
      <c r="CT24" s="212">
        <v>42780</v>
      </c>
      <c r="CU24" s="213">
        <v>42780</v>
      </c>
      <c r="CV24" s="214">
        <v>42829</v>
      </c>
      <c r="CW24" s="214" t="s">
        <v>615</v>
      </c>
      <c r="CX24" s="214" t="s">
        <v>615</v>
      </c>
      <c r="CY24" s="204">
        <v>0.6014597093864944</v>
      </c>
      <c r="CZ24" s="204">
        <v>0.97959183673469385</v>
      </c>
      <c r="DA24" s="203">
        <v>0</v>
      </c>
      <c r="DB24" s="204">
        <v>0.24489795918367346</v>
      </c>
      <c r="DC24" s="204">
        <v>0</v>
      </c>
      <c r="DD24" s="204">
        <v>0</v>
      </c>
      <c r="DE24" s="204">
        <v>0</v>
      </c>
      <c r="DF24" s="215">
        <v>0.73469387755102045</v>
      </c>
      <c r="DG24" s="13" t="s">
        <v>615</v>
      </c>
      <c r="DH24" s="86">
        <v>22</v>
      </c>
      <c r="DI24" s="86"/>
      <c r="DJ24" s="86">
        <v>257</v>
      </c>
      <c r="DK24" s="86" t="s">
        <v>1712</v>
      </c>
      <c r="DL24" s="86" t="e">
        <v>#N/A</v>
      </c>
      <c r="DM24" s="86" t="e">
        <v>#N/A</v>
      </c>
      <c r="DN24" s="86" t="e">
        <v>#N/A</v>
      </c>
      <c r="DO24" s="86">
        <v>428</v>
      </c>
      <c r="DP24" s="86">
        <v>5</v>
      </c>
      <c r="DQ24" s="86">
        <v>49</v>
      </c>
      <c r="DR24" s="152">
        <v>0</v>
      </c>
      <c r="DS24" s="152">
        <v>0</v>
      </c>
      <c r="DT24" s="152">
        <v>0</v>
      </c>
      <c r="DU24" s="152">
        <v>0</v>
      </c>
      <c r="DV24" s="152">
        <v>0</v>
      </c>
      <c r="DW24" s="152">
        <v>0</v>
      </c>
      <c r="DX24" s="152">
        <v>0</v>
      </c>
      <c r="DY24" s="152">
        <v>0</v>
      </c>
      <c r="DZ24" s="152">
        <v>0</v>
      </c>
      <c r="EA24" s="152">
        <v>0</v>
      </c>
      <c r="EB24" s="152">
        <v>0</v>
      </c>
      <c r="EC24" s="152">
        <v>0</v>
      </c>
      <c r="ED24" s="152">
        <v>0</v>
      </c>
      <c r="EE24" s="152">
        <v>0</v>
      </c>
      <c r="EF24" s="152">
        <v>0</v>
      </c>
      <c r="EG24" s="152">
        <v>0</v>
      </c>
      <c r="EH24" s="152">
        <v>0</v>
      </c>
      <c r="EI24" s="152">
        <v>0</v>
      </c>
      <c r="EJ24" s="152">
        <v>0</v>
      </c>
      <c r="EK24" s="152">
        <v>0</v>
      </c>
      <c r="EL24" s="152">
        <v>0</v>
      </c>
      <c r="EM24" s="152">
        <v>0</v>
      </c>
      <c r="EN24" s="152">
        <v>0</v>
      </c>
      <c r="EO24" s="152">
        <v>0</v>
      </c>
      <c r="EP24" s="152">
        <v>0</v>
      </c>
      <c r="EQ24" s="152">
        <v>0</v>
      </c>
      <c r="ER24" s="152">
        <v>0</v>
      </c>
      <c r="ES24" s="152">
        <v>0</v>
      </c>
      <c r="ET24" s="152">
        <v>0</v>
      </c>
      <c r="EU24" s="152">
        <v>0</v>
      </c>
      <c r="EV24" s="152">
        <v>0</v>
      </c>
      <c r="EW24" s="152">
        <v>0</v>
      </c>
      <c r="EX24" s="152">
        <v>0</v>
      </c>
      <c r="EY24" s="152">
        <v>0</v>
      </c>
      <c r="EZ24" s="152">
        <v>0</v>
      </c>
      <c r="FA24" s="152">
        <v>0</v>
      </c>
      <c r="FB24" s="152">
        <v>0</v>
      </c>
      <c r="FC24" s="152">
        <v>0</v>
      </c>
      <c r="FD24" s="152">
        <v>0</v>
      </c>
      <c r="FE24" s="152">
        <v>0</v>
      </c>
      <c r="FF24" s="152">
        <v>0</v>
      </c>
      <c r="FG24" s="152">
        <v>0</v>
      </c>
      <c r="FH24" s="152">
        <v>0</v>
      </c>
      <c r="FI24" s="152">
        <v>0</v>
      </c>
      <c r="FJ24" s="152">
        <v>0</v>
      </c>
      <c r="FK24" s="152">
        <v>0</v>
      </c>
      <c r="FL24" s="152">
        <v>0</v>
      </c>
      <c r="FM24" s="152">
        <v>0</v>
      </c>
      <c r="FN24" s="152">
        <v>0</v>
      </c>
      <c r="FO24" s="152">
        <v>0</v>
      </c>
      <c r="FP24" s="152">
        <v>0</v>
      </c>
      <c r="FQ24" s="152">
        <v>0</v>
      </c>
      <c r="FR24" s="152">
        <v>0</v>
      </c>
      <c r="FS24" s="152">
        <v>0</v>
      </c>
      <c r="FT24" s="152">
        <v>0</v>
      </c>
      <c r="FU24" s="152">
        <v>41</v>
      </c>
      <c r="FV24" s="152">
        <v>41</v>
      </c>
      <c r="FW24" s="152">
        <v>41</v>
      </c>
      <c r="FX24" s="152">
        <v>41</v>
      </c>
      <c r="FY24" s="152">
        <v>41</v>
      </c>
      <c r="FZ24" s="152">
        <v>41</v>
      </c>
      <c r="GA24" s="152">
        <v>41</v>
      </c>
      <c r="GB24" s="152">
        <v>41</v>
      </c>
      <c r="GC24" s="152">
        <v>41</v>
      </c>
      <c r="GD24" s="152">
        <v>41</v>
      </c>
      <c r="GE24" s="152">
        <v>41</v>
      </c>
      <c r="GF24" s="152">
        <v>41</v>
      </c>
      <c r="GG24" s="152">
        <v>41</v>
      </c>
      <c r="GH24" s="152">
        <v>41</v>
      </c>
      <c r="GI24" s="152">
        <v>41</v>
      </c>
      <c r="GJ24" s="152">
        <v>41</v>
      </c>
      <c r="GK24" s="152">
        <v>41</v>
      </c>
      <c r="GL24" s="152">
        <v>41</v>
      </c>
      <c r="GM24" s="152">
        <v>41</v>
      </c>
      <c r="GN24" s="152">
        <v>41</v>
      </c>
      <c r="GO24" s="152">
        <v>41</v>
      </c>
      <c r="GP24" s="152">
        <v>41</v>
      </c>
      <c r="GQ24" s="152">
        <v>41</v>
      </c>
      <c r="GR24" s="152">
        <v>41</v>
      </c>
      <c r="GS24" s="152">
        <v>41</v>
      </c>
      <c r="GT24" s="152">
        <v>41</v>
      </c>
      <c r="GU24" s="152">
        <v>41</v>
      </c>
      <c r="GV24" s="152">
        <v>41</v>
      </c>
      <c r="GW24" s="152">
        <v>41</v>
      </c>
      <c r="GX24" s="152">
        <v>0</v>
      </c>
      <c r="GY24" s="152">
        <v>0</v>
      </c>
      <c r="GZ24" s="152">
        <v>0</v>
      </c>
      <c r="HA24" s="152">
        <v>0</v>
      </c>
      <c r="HB24" s="152">
        <v>0</v>
      </c>
      <c r="HC24" s="152">
        <v>0</v>
      </c>
      <c r="HD24" s="152">
        <v>0</v>
      </c>
      <c r="HE24" s="152">
        <v>0</v>
      </c>
      <c r="HF24" s="152">
        <v>0</v>
      </c>
      <c r="HG24" s="152">
        <v>0</v>
      </c>
      <c r="HH24" s="152">
        <v>31</v>
      </c>
      <c r="HI24" s="152">
        <v>31</v>
      </c>
      <c r="HJ24" s="152">
        <v>31</v>
      </c>
      <c r="HK24" s="152">
        <v>31</v>
      </c>
      <c r="HL24" s="152">
        <v>31</v>
      </c>
      <c r="HM24" s="152">
        <v>31</v>
      </c>
      <c r="HN24" s="152">
        <v>31</v>
      </c>
      <c r="HO24" s="152">
        <v>31</v>
      </c>
      <c r="HP24" s="152">
        <v>31</v>
      </c>
      <c r="HQ24" s="152">
        <v>31</v>
      </c>
      <c r="HR24" s="152">
        <v>31</v>
      </c>
      <c r="HS24" s="152">
        <v>31</v>
      </c>
      <c r="HT24" s="152">
        <v>0</v>
      </c>
      <c r="HU24" s="216"/>
      <c r="HV24" s="152">
        <v>0</v>
      </c>
      <c r="HW24" s="216"/>
      <c r="HX24" s="216"/>
      <c r="HY24" s="216"/>
      <c r="HZ24" s="216"/>
      <c r="IA24" s="216"/>
      <c r="IB24" s="216"/>
      <c r="IC24" s="216"/>
      <c r="ID24" s="216"/>
      <c r="IE24" s="216"/>
      <c r="IF24" s="216"/>
      <c r="IG24" s="216"/>
      <c r="IH24" s="216"/>
      <c r="II24" s="216"/>
      <c r="IJ24" s="216"/>
      <c r="IK24" s="216"/>
      <c r="IL24" s="216"/>
      <c r="IM24" s="216"/>
      <c r="IN24" s="216"/>
      <c r="IO24" s="216"/>
      <c r="IP24" s="216"/>
      <c r="IQ24" s="216"/>
      <c r="IR24" s="216"/>
      <c r="IS24" s="216"/>
      <c r="IT24" s="216"/>
      <c r="IU24" s="216"/>
      <c r="IV24" s="216"/>
      <c r="IW24" s="216"/>
      <c r="IX24" s="216"/>
      <c r="IY24" s="216"/>
      <c r="IZ24" s="216"/>
      <c r="JA24" s="216"/>
      <c r="JB24" s="216"/>
      <c r="JC24" s="216"/>
      <c r="JD24" s="216"/>
      <c r="JE24" s="216"/>
      <c r="JF24" s="216"/>
      <c r="JG24" s="216"/>
      <c r="JH24" s="216"/>
      <c r="JI24" s="216"/>
      <c r="JJ24" s="216"/>
      <c r="JK24" s="216"/>
      <c r="JL24" s="216"/>
      <c r="JM24" s="216"/>
      <c r="JN24" s="216"/>
      <c r="JO24" s="216"/>
      <c r="JP24" s="216"/>
      <c r="JQ24" s="216"/>
      <c r="JR24" s="216"/>
      <c r="JS24" s="216"/>
      <c r="JT24" s="216"/>
      <c r="JU24" s="216"/>
      <c r="JV24" s="216"/>
      <c r="JW24" s="216"/>
      <c r="JX24" s="216"/>
      <c r="JY24" s="216"/>
      <c r="JZ24" s="216"/>
      <c r="KA24" s="216"/>
      <c r="KB24" s="216"/>
      <c r="KC24" s="216"/>
      <c r="KD24" s="216"/>
      <c r="KE24" s="216"/>
      <c r="KF24" s="216"/>
      <c r="KG24" s="216"/>
      <c r="KH24" s="216"/>
      <c r="KI24" s="216"/>
      <c r="KJ24" s="216"/>
      <c r="KK24" s="216"/>
      <c r="KL24" s="216"/>
      <c r="KM24" s="216"/>
      <c r="KN24" s="216"/>
      <c r="KO24" s="216"/>
      <c r="KP24" s="216"/>
      <c r="KQ24" s="216"/>
      <c r="KR24" s="216"/>
      <c r="KS24" s="216"/>
      <c r="KT24" s="216"/>
      <c r="KU24" s="216"/>
      <c r="KV24" s="216"/>
      <c r="KW24" s="216"/>
      <c r="KX24" s="216"/>
      <c r="KY24" s="216"/>
      <c r="KZ24" s="216"/>
      <c r="LA24" s="216"/>
      <c r="LB24" s="216"/>
      <c r="LC24" s="216"/>
      <c r="LD24" s="216"/>
      <c r="LE24" s="216"/>
    </row>
    <row r="25" spans="1:317" x14ac:dyDescent="0.2">
      <c r="A25" s="179" t="s">
        <v>849</v>
      </c>
      <c r="B25" s="180" t="s">
        <v>924</v>
      </c>
      <c r="C25" s="181"/>
      <c r="D25" s="182">
        <v>0</v>
      </c>
      <c r="E25" s="182">
        <v>0</v>
      </c>
      <c r="F25" s="183" t="s">
        <v>1209</v>
      </c>
      <c r="G25" s="183">
        <v>0</v>
      </c>
      <c r="H25" s="183">
        <v>0</v>
      </c>
      <c r="I25" s="183">
        <v>0</v>
      </c>
      <c r="J25" s="183">
        <v>0</v>
      </c>
      <c r="K25" s="183" t="s">
        <v>1362</v>
      </c>
      <c r="L25" s="183">
        <v>0</v>
      </c>
      <c r="M25" s="183">
        <v>0</v>
      </c>
      <c r="N25" s="183" t="s">
        <v>881</v>
      </c>
      <c r="O25" s="183">
        <v>0</v>
      </c>
      <c r="P25" s="183">
        <v>0</v>
      </c>
      <c r="Q25" s="183"/>
      <c r="R25" s="183"/>
      <c r="S25" s="183"/>
      <c r="T25" s="183"/>
      <c r="U25" s="183"/>
      <c r="V25" s="183">
        <v>0</v>
      </c>
      <c r="W25" s="183">
        <v>0</v>
      </c>
      <c r="X25" s="183">
        <v>0</v>
      </c>
      <c r="Y25" s="184">
        <v>2.4500000000000002</v>
      </c>
      <c r="Z25" s="184">
        <v>0</v>
      </c>
      <c r="AA25" s="184">
        <v>0</v>
      </c>
      <c r="AB25" s="185" t="s">
        <v>615</v>
      </c>
      <c r="AC25" s="185" t="s">
        <v>615</v>
      </c>
      <c r="AD25" s="186" t="s">
        <v>881</v>
      </c>
      <c r="AE25" s="186" t="s">
        <v>858</v>
      </c>
      <c r="AF25" s="187">
        <v>7</v>
      </c>
      <c r="AG25" s="187">
        <v>3</v>
      </c>
      <c r="AH25" s="187">
        <v>4</v>
      </c>
      <c r="AI25" s="188">
        <v>1</v>
      </c>
      <c r="AJ25" s="188" t="s">
        <v>615</v>
      </c>
      <c r="AK25" s="187" t="s">
        <v>1736</v>
      </c>
      <c r="AL25" s="87" t="s">
        <v>615</v>
      </c>
      <c r="AM25" s="189"/>
      <c r="AN25" s="187" t="s">
        <v>615</v>
      </c>
      <c r="AO25" s="13" t="s">
        <v>615</v>
      </c>
      <c r="AP25" s="187">
        <v>0</v>
      </c>
      <c r="AQ25" s="187">
        <v>0</v>
      </c>
      <c r="AR25" s="190">
        <v>0</v>
      </c>
      <c r="AS25" s="190">
        <v>0</v>
      </c>
      <c r="AT25" s="190">
        <v>0</v>
      </c>
      <c r="AU25" s="187">
        <v>0</v>
      </c>
      <c r="AV25" s="187">
        <v>0</v>
      </c>
      <c r="AW25" s="191"/>
      <c r="AX25" s="192"/>
      <c r="AY25" s="193">
        <v>42666</v>
      </c>
      <c r="AZ25" s="193"/>
      <c r="BA25" s="193"/>
      <c r="BB25" s="194"/>
      <c r="BC25" s="194"/>
      <c r="BD25" s="195"/>
      <c r="BE25" s="195" t="s">
        <v>532</v>
      </c>
      <c r="BF25" s="195"/>
      <c r="BG25" s="195">
        <v>50</v>
      </c>
      <c r="BH25" s="196" t="s">
        <v>547</v>
      </c>
      <c r="BI25" s="197">
        <v>1</v>
      </c>
      <c r="BJ25" s="198"/>
      <c r="BK25" s="199">
        <v>0</v>
      </c>
      <c r="BL25" s="13">
        <v>0</v>
      </c>
      <c r="BM25" s="13">
        <v>0</v>
      </c>
      <c r="BN25" s="13" t="s">
        <v>616</v>
      </c>
      <c r="BO25" s="13" t="s">
        <v>616</v>
      </c>
      <c r="BP25" s="200">
        <v>0</v>
      </c>
      <c r="BQ25" s="201"/>
      <c r="BR25" s="202"/>
      <c r="BS25" s="187">
        <v>1000000000</v>
      </c>
      <c r="BT25" s="203">
        <v>3</v>
      </c>
      <c r="BU25" s="204">
        <v>0</v>
      </c>
      <c r="BV25" s="203">
        <v>0</v>
      </c>
      <c r="BW25" s="205">
        <v>0</v>
      </c>
      <c r="BX25" s="205">
        <v>0</v>
      </c>
      <c r="BY25" s="205">
        <v>0</v>
      </c>
      <c r="BZ25" s="203">
        <v>0</v>
      </c>
      <c r="CA25" s="203">
        <v>0</v>
      </c>
      <c r="CB25" s="203">
        <v>3</v>
      </c>
      <c r="CC25" s="204">
        <v>0</v>
      </c>
      <c r="CD25" s="203">
        <v>0</v>
      </c>
      <c r="CE25" s="203">
        <v>0</v>
      </c>
      <c r="CF25" s="13">
        <v>0</v>
      </c>
      <c r="CG25" s="206">
        <v>0</v>
      </c>
      <c r="CH25" s="207">
        <v>0</v>
      </c>
      <c r="CI25" s="201"/>
      <c r="CJ25" s="208"/>
      <c r="CK25" s="209" t="s">
        <v>615</v>
      </c>
      <c r="CL25" s="210" t="s">
        <v>615</v>
      </c>
      <c r="CM25" s="207">
        <v>0</v>
      </c>
      <c r="CN25" s="207">
        <v>0</v>
      </c>
      <c r="CO25" s="204">
        <v>0</v>
      </c>
      <c r="CP25" s="204">
        <v>0</v>
      </c>
      <c r="CQ25" s="211"/>
      <c r="CR25" s="204">
        <v>1</v>
      </c>
      <c r="CS25" s="212">
        <v>42531</v>
      </c>
      <c r="CT25" s="212">
        <v>42780</v>
      </c>
      <c r="CU25" s="213">
        <v>42780</v>
      </c>
      <c r="CV25" s="214">
        <v>42829</v>
      </c>
      <c r="CW25" s="214" t="s">
        <v>615</v>
      </c>
      <c r="CX25" s="214" t="s">
        <v>615</v>
      </c>
      <c r="CY25" s="204">
        <v>0.19342119347742912</v>
      </c>
      <c r="CZ25" s="204">
        <v>0.97959183673469385</v>
      </c>
      <c r="DA25" s="203">
        <v>0</v>
      </c>
      <c r="DB25" s="204">
        <v>0</v>
      </c>
      <c r="DC25" s="204">
        <v>0</v>
      </c>
      <c r="DD25" s="204">
        <v>0</v>
      </c>
      <c r="DE25" s="204">
        <v>0</v>
      </c>
      <c r="DF25" s="215">
        <v>0.97959183673469385</v>
      </c>
      <c r="DG25" s="13" t="s">
        <v>615</v>
      </c>
      <c r="DH25" s="86">
        <v>23</v>
      </c>
      <c r="DI25" s="86"/>
      <c r="DJ25" s="86">
        <v>256</v>
      </c>
      <c r="DK25" s="86" t="s">
        <v>1510</v>
      </c>
      <c r="DL25" s="86" t="e">
        <v>#N/A</v>
      </c>
      <c r="DM25" s="86">
        <v>142</v>
      </c>
      <c r="DN25" s="86" t="e">
        <v>#N/A</v>
      </c>
      <c r="DO25" s="86">
        <v>427</v>
      </c>
      <c r="DP25" s="86">
        <v>5</v>
      </c>
      <c r="DQ25" s="86">
        <v>49</v>
      </c>
      <c r="DR25" s="146">
        <v>3</v>
      </c>
      <c r="DS25" s="146">
        <v>3</v>
      </c>
      <c r="DT25" s="146">
        <v>3</v>
      </c>
      <c r="DU25" s="146">
        <v>3</v>
      </c>
      <c r="DV25" s="146">
        <v>3</v>
      </c>
      <c r="DW25" s="146">
        <v>3</v>
      </c>
      <c r="DX25" s="146">
        <v>3</v>
      </c>
      <c r="DY25" s="146">
        <v>3</v>
      </c>
      <c r="DZ25" s="146">
        <v>3</v>
      </c>
      <c r="EA25" s="146">
        <v>3</v>
      </c>
      <c r="EB25" s="146">
        <v>3</v>
      </c>
      <c r="EC25" s="146">
        <v>3</v>
      </c>
      <c r="ED25" s="146">
        <v>3</v>
      </c>
      <c r="EE25" s="146">
        <v>3</v>
      </c>
      <c r="EF25" s="146">
        <v>3</v>
      </c>
      <c r="EG25" s="146">
        <v>3</v>
      </c>
      <c r="EH25" s="146">
        <v>3</v>
      </c>
      <c r="EI25" s="146">
        <v>3</v>
      </c>
      <c r="EJ25" s="146">
        <v>3</v>
      </c>
      <c r="EK25" s="146">
        <v>3</v>
      </c>
      <c r="EL25" s="146">
        <v>3</v>
      </c>
      <c r="EM25" s="146">
        <v>3</v>
      </c>
      <c r="EN25" s="146">
        <v>3</v>
      </c>
      <c r="EO25" s="146">
        <v>3</v>
      </c>
      <c r="EP25" s="146">
        <v>3</v>
      </c>
      <c r="EQ25" s="146">
        <v>3</v>
      </c>
      <c r="ER25" s="146">
        <v>3</v>
      </c>
      <c r="ES25" s="146">
        <v>3</v>
      </c>
      <c r="ET25" s="146">
        <v>3</v>
      </c>
      <c r="EU25" s="146">
        <v>3</v>
      </c>
      <c r="EV25" s="146">
        <v>3</v>
      </c>
      <c r="EW25" s="146">
        <v>3</v>
      </c>
      <c r="EX25" s="146">
        <v>3</v>
      </c>
      <c r="EY25" s="146">
        <v>3</v>
      </c>
      <c r="EZ25" s="146">
        <v>3</v>
      </c>
      <c r="FA25" s="146">
        <v>3</v>
      </c>
      <c r="FB25" s="146">
        <v>3</v>
      </c>
      <c r="FC25" s="146">
        <v>3</v>
      </c>
      <c r="FD25" s="146">
        <v>3</v>
      </c>
      <c r="FE25" s="146">
        <v>3</v>
      </c>
      <c r="FF25" s="146">
        <v>3</v>
      </c>
      <c r="FG25" s="146">
        <v>3</v>
      </c>
      <c r="FH25" s="146">
        <v>3</v>
      </c>
      <c r="FI25" s="146">
        <v>3</v>
      </c>
      <c r="FJ25" s="146">
        <v>3</v>
      </c>
      <c r="FK25" s="146">
        <v>3</v>
      </c>
      <c r="FL25" s="146">
        <v>3</v>
      </c>
      <c r="FM25" s="146">
        <v>3</v>
      </c>
      <c r="FN25" s="146">
        <v>3</v>
      </c>
      <c r="FO25" s="146">
        <v>3</v>
      </c>
      <c r="FP25" s="146">
        <v>3</v>
      </c>
      <c r="FQ25" s="146">
        <v>3</v>
      </c>
      <c r="FR25" s="146">
        <v>3</v>
      </c>
      <c r="FS25" s="146">
        <v>3</v>
      </c>
      <c r="FT25" s="146">
        <v>3</v>
      </c>
      <c r="FU25" s="146">
        <v>38</v>
      </c>
      <c r="FV25" s="146">
        <v>38</v>
      </c>
      <c r="FW25" s="146">
        <v>38</v>
      </c>
      <c r="FX25" s="146">
        <v>38</v>
      </c>
      <c r="FY25" s="146">
        <v>38</v>
      </c>
      <c r="FZ25" s="146">
        <v>38</v>
      </c>
      <c r="GA25" s="146">
        <v>38</v>
      </c>
      <c r="GB25" s="146">
        <v>38</v>
      </c>
      <c r="GC25" s="146">
        <v>38</v>
      </c>
      <c r="GD25" s="146">
        <v>38</v>
      </c>
      <c r="GE25" s="146">
        <v>38</v>
      </c>
      <c r="GF25" s="146">
        <v>38</v>
      </c>
      <c r="GG25" s="146">
        <v>38</v>
      </c>
      <c r="GH25" s="146">
        <v>38</v>
      </c>
      <c r="GI25" s="146">
        <v>38</v>
      </c>
      <c r="GJ25" s="146">
        <v>38</v>
      </c>
      <c r="GK25" s="146">
        <v>38</v>
      </c>
      <c r="GL25" s="146">
        <v>38</v>
      </c>
      <c r="GM25" s="146">
        <v>38</v>
      </c>
      <c r="GN25" s="146">
        <v>38</v>
      </c>
      <c r="GO25" s="146">
        <v>38</v>
      </c>
      <c r="GP25" s="146">
        <v>38</v>
      </c>
      <c r="GQ25" s="146">
        <v>38</v>
      </c>
      <c r="GR25" s="146">
        <v>38</v>
      </c>
      <c r="GS25" s="146">
        <v>38</v>
      </c>
      <c r="GT25" s="146">
        <v>38</v>
      </c>
      <c r="GU25" s="146">
        <v>38</v>
      </c>
      <c r="GV25" s="146">
        <v>38</v>
      </c>
      <c r="GW25" s="146">
        <v>38</v>
      </c>
      <c r="GX25" s="146">
        <v>38</v>
      </c>
      <c r="GY25" s="146">
        <v>38</v>
      </c>
      <c r="GZ25" s="146">
        <v>38</v>
      </c>
      <c r="HA25" s="146">
        <v>38</v>
      </c>
      <c r="HB25" s="146">
        <v>38</v>
      </c>
      <c r="HC25" s="146">
        <v>38</v>
      </c>
      <c r="HD25" s="146">
        <v>38</v>
      </c>
      <c r="HE25" s="146">
        <v>38</v>
      </c>
      <c r="HF25" s="146">
        <v>38</v>
      </c>
      <c r="HG25" s="146">
        <v>38</v>
      </c>
      <c r="HH25" s="146">
        <v>38</v>
      </c>
      <c r="HI25" s="146">
        <v>38</v>
      </c>
      <c r="HJ25" s="146">
        <v>38</v>
      </c>
      <c r="HK25" s="146">
        <v>38</v>
      </c>
      <c r="HL25" s="146">
        <v>38</v>
      </c>
      <c r="HM25" s="146">
        <v>38</v>
      </c>
      <c r="HN25" s="146">
        <v>38</v>
      </c>
      <c r="HO25" s="146">
        <v>38</v>
      </c>
      <c r="HP25" s="146">
        <v>38</v>
      </c>
      <c r="HQ25" s="146">
        <v>38</v>
      </c>
      <c r="HR25" s="146">
        <v>38</v>
      </c>
      <c r="HS25" s="146">
        <v>38</v>
      </c>
      <c r="HT25" s="146">
        <v>3</v>
      </c>
      <c r="HU25" s="151"/>
      <c r="HV25" s="146">
        <v>3</v>
      </c>
      <c r="HW25" s="151"/>
      <c r="HX25" s="151"/>
      <c r="HY25" s="151"/>
      <c r="HZ25" s="151"/>
      <c r="IA25" s="151"/>
      <c r="IB25" s="151"/>
      <c r="IC25" s="151"/>
      <c r="ID25" s="151"/>
      <c r="IE25" s="151"/>
      <c r="IF25" s="151"/>
      <c r="IG25" s="151"/>
      <c r="IH25" s="151"/>
      <c r="II25" s="151"/>
      <c r="IJ25" s="151"/>
      <c r="IK25" s="151"/>
      <c r="IL25" s="151"/>
      <c r="IM25" s="151"/>
      <c r="IN25" s="151"/>
      <c r="IO25" s="151"/>
      <c r="IP25" s="151"/>
      <c r="IQ25" s="151"/>
      <c r="IR25" s="151"/>
      <c r="IS25" s="151"/>
      <c r="IT25" s="151"/>
      <c r="IU25" s="151"/>
      <c r="IV25" s="151"/>
      <c r="IW25" s="151"/>
      <c r="IX25" s="151"/>
      <c r="IY25" s="151"/>
      <c r="IZ25" s="151"/>
      <c r="JA25" s="151"/>
      <c r="JB25" s="151"/>
      <c r="JC25" s="151"/>
      <c r="JD25" s="151"/>
      <c r="JE25" s="151"/>
      <c r="JF25" s="151"/>
      <c r="JG25" s="151"/>
      <c r="JH25" s="151"/>
      <c r="JI25" s="151"/>
      <c r="JJ25" s="151"/>
      <c r="JK25" s="151"/>
      <c r="JL25" s="151"/>
      <c r="JM25" s="151"/>
      <c r="JN25" s="151"/>
      <c r="JO25" s="151"/>
      <c r="JP25" s="151"/>
      <c r="JQ25" s="151"/>
      <c r="JR25" s="151"/>
      <c r="JS25" s="151"/>
      <c r="JT25" s="151"/>
      <c r="JU25" s="151"/>
      <c r="JV25" s="151"/>
      <c r="JW25" s="151"/>
      <c r="JX25" s="151"/>
      <c r="JY25" s="151"/>
      <c r="JZ25" s="151"/>
      <c r="KA25" s="151"/>
      <c r="KB25" s="151"/>
      <c r="KC25" s="151"/>
      <c r="KD25" s="151"/>
      <c r="KE25" s="151"/>
      <c r="KF25" s="151"/>
      <c r="KG25" s="151"/>
      <c r="KH25" s="151"/>
      <c r="KI25" s="151"/>
      <c r="KJ25" s="151"/>
      <c r="KK25" s="151"/>
      <c r="KL25" s="151"/>
      <c r="KM25" s="151"/>
      <c r="KN25" s="151"/>
      <c r="KO25" s="151"/>
      <c r="KP25" s="151"/>
      <c r="KQ25" s="151"/>
      <c r="KR25" s="151"/>
      <c r="KS25" s="151"/>
      <c r="KT25" s="151"/>
      <c r="KU25" s="151"/>
      <c r="KV25" s="151"/>
      <c r="KW25" s="151"/>
      <c r="KX25" s="151"/>
      <c r="KY25" s="151"/>
      <c r="KZ25" s="151"/>
      <c r="LA25" s="151"/>
      <c r="LB25" s="151"/>
      <c r="LC25" s="151"/>
      <c r="LD25" s="151"/>
      <c r="LE25" s="151"/>
    </row>
    <row r="26" spans="1:317" x14ac:dyDescent="0.2">
      <c r="A26" s="179" t="s">
        <v>849</v>
      </c>
      <c r="B26" s="180" t="s">
        <v>925</v>
      </c>
      <c r="C26" s="181"/>
      <c r="D26" s="182">
        <v>0</v>
      </c>
      <c r="E26" s="182">
        <v>0</v>
      </c>
      <c r="F26" s="183" t="s">
        <v>1210</v>
      </c>
      <c r="G26" s="183">
        <v>0</v>
      </c>
      <c r="H26" s="183">
        <v>0</v>
      </c>
      <c r="I26" s="183">
        <v>0</v>
      </c>
      <c r="J26" s="183">
        <v>0</v>
      </c>
      <c r="K26" s="183" t="s">
        <v>1362</v>
      </c>
      <c r="L26" s="183">
        <v>0</v>
      </c>
      <c r="M26" s="183">
        <v>0</v>
      </c>
      <c r="N26" s="183" t="s">
        <v>881</v>
      </c>
      <c r="O26" s="183">
        <v>0</v>
      </c>
      <c r="P26" s="183">
        <v>0</v>
      </c>
      <c r="Q26" s="183"/>
      <c r="R26" s="183"/>
      <c r="S26" s="183"/>
      <c r="T26" s="183"/>
      <c r="U26" s="183"/>
      <c r="V26" s="183">
        <v>0</v>
      </c>
      <c r="W26" s="183">
        <v>0</v>
      </c>
      <c r="X26" s="183">
        <v>0</v>
      </c>
      <c r="Y26" s="184">
        <v>41.99</v>
      </c>
      <c r="Z26" s="184">
        <v>88.67</v>
      </c>
      <c r="AA26" s="184">
        <v>0</v>
      </c>
      <c r="AB26" s="185" t="s">
        <v>615</v>
      </c>
      <c r="AC26" s="185" t="s">
        <v>615</v>
      </c>
      <c r="AD26" s="186" t="s">
        <v>881</v>
      </c>
      <c r="AE26" s="186" t="s">
        <v>858</v>
      </c>
      <c r="AF26" s="187">
        <v>7</v>
      </c>
      <c r="AG26" s="187">
        <v>3</v>
      </c>
      <c r="AH26" s="187">
        <v>4</v>
      </c>
      <c r="AI26" s="188">
        <v>1</v>
      </c>
      <c r="AJ26" s="188" t="s">
        <v>617</v>
      </c>
      <c r="AK26" s="187" t="s">
        <v>1737</v>
      </c>
      <c r="AL26" s="87">
        <v>16</v>
      </c>
      <c r="AM26" s="189"/>
      <c r="AN26" s="187" t="s">
        <v>615</v>
      </c>
      <c r="AO26" s="13" t="s">
        <v>615</v>
      </c>
      <c r="AP26" s="187">
        <v>0</v>
      </c>
      <c r="AQ26" s="187">
        <v>0</v>
      </c>
      <c r="AR26" s="190">
        <v>0</v>
      </c>
      <c r="AS26" s="190">
        <v>0</v>
      </c>
      <c r="AT26" s="190">
        <v>0</v>
      </c>
      <c r="AU26" s="187">
        <v>12</v>
      </c>
      <c r="AV26" s="187">
        <v>0</v>
      </c>
      <c r="AW26" s="191"/>
      <c r="AX26" s="192"/>
      <c r="AY26" s="193">
        <v>42666</v>
      </c>
      <c r="AZ26" s="193"/>
      <c r="BA26" s="193">
        <v>42853</v>
      </c>
      <c r="BB26" s="194"/>
      <c r="BC26" s="194"/>
      <c r="BD26" s="195"/>
      <c r="BE26" s="195" t="s">
        <v>532</v>
      </c>
      <c r="BF26" s="195"/>
      <c r="BG26" s="195">
        <v>10</v>
      </c>
      <c r="BH26" s="196" t="s">
        <v>547</v>
      </c>
      <c r="BI26" s="197">
        <v>1</v>
      </c>
      <c r="BJ26" s="198"/>
      <c r="BK26" s="199">
        <v>12</v>
      </c>
      <c r="BL26" s="13">
        <v>8</v>
      </c>
      <c r="BM26" s="13">
        <v>4</v>
      </c>
      <c r="BN26" s="13" t="s">
        <v>621</v>
      </c>
      <c r="BO26" s="13" t="s">
        <v>621</v>
      </c>
      <c r="BP26" s="200">
        <v>11</v>
      </c>
      <c r="BQ26" s="201"/>
      <c r="BR26" s="202"/>
      <c r="BS26" s="187">
        <v>1000000000</v>
      </c>
      <c r="BT26" s="203">
        <v>0</v>
      </c>
      <c r="BU26" s="204">
        <v>1</v>
      </c>
      <c r="BV26" s="203">
        <v>0</v>
      </c>
      <c r="BW26" s="205">
        <v>0</v>
      </c>
      <c r="BX26" s="205">
        <v>0</v>
      </c>
      <c r="BY26" s="205">
        <v>0</v>
      </c>
      <c r="BZ26" s="203">
        <v>0</v>
      </c>
      <c r="CA26" s="203">
        <v>0</v>
      </c>
      <c r="CB26" s="203">
        <v>0</v>
      </c>
      <c r="CC26" s="204">
        <v>1</v>
      </c>
      <c r="CD26" s="203">
        <v>0</v>
      </c>
      <c r="CE26" s="203">
        <v>0</v>
      </c>
      <c r="CF26" s="13">
        <v>12</v>
      </c>
      <c r="CG26" s="206">
        <v>10</v>
      </c>
      <c r="CH26" s="207">
        <v>7</v>
      </c>
      <c r="CI26" s="201"/>
      <c r="CJ26" s="208"/>
      <c r="CK26" s="209" t="s">
        <v>615</v>
      </c>
      <c r="CL26" s="210" t="s">
        <v>615</v>
      </c>
      <c r="CM26" s="207">
        <v>186.72</v>
      </c>
      <c r="CN26" s="207">
        <v>0</v>
      </c>
      <c r="CO26" s="204">
        <v>0</v>
      </c>
      <c r="CP26" s="204">
        <v>7.6230394992004893</v>
      </c>
      <c r="CQ26" s="211"/>
      <c r="CR26" s="204">
        <v>1</v>
      </c>
      <c r="CS26" s="212">
        <v>42709</v>
      </c>
      <c r="CT26" s="212">
        <v>42780</v>
      </c>
      <c r="CU26" s="213">
        <v>42780</v>
      </c>
      <c r="CV26" s="214">
        <v>42829</v>
      </c>
      <c r="CW26" s="214" t="s">
        <v>615</v>
      </c>
      <c r="CX26" s="214" t="s">
        <v>615</v>
      </c>
      <c r="CY26" s="204">
        <v>0.58631245393946008</v>
      </c>
      <c r="CZ26" s="204">
        <v>0.97959183673469385</v>
      </c>
      <c r="DA26" s="203">
        <v>48</v>
      </c>
      <c r="DB26" s="204">
        <v>0.24489795918367346</v>
      </c>
      <c r="DC26" s="204">
        <v>0</v>
      </c>
      <c r="DD26" s="204">
        <v>0</v>
      </c>
      <c r="DE26" s="204">
        <v>0.73469387755102045</v>
      </c>
      <c r="DF26" s="215">
        <v>0</v>
      </c>
      <c r="DG26" s="13" t="s">
        <v>615</v>
      </c>
      <c r="DH26" s="86">
        <v>24</v>
      </c>
      <c r="DI26" s="86"/>
      <c r="DJ26" s="86">
        <v>255</v>
      </c>
      <c r="DK26" s="86" t="s">
        <v>1711</v>
      </c>
      <c r="DL26" s="86" t="e">
        <v>#N/A</v>
      </c>
      <c r="DM26" s="86" t="e">
        <v>#N/A</v>
      </c>
      <c r="DN26" s="86" t="e">
        <v>#N/A</v>
      </c>
      <c r="DO26" s="86">
        <v>426</v>
      </c>
      <c r="DP26" s="86">
        <v>5</v>
      </c>
      <c r="DQ26" s="86">
        <v>49</v>
      </c>
      <c r="DR26" s="166">
        <v>0</v>
      </c>
      <c r="DS26" s="166">
        <v>0</v>
      </c>
      <c r="DT26" s="166">
        <v>0</v>
      </c>
      <c r="DU26" s="166">
        <v>0</v>
      </c>
      <c r="DV26" s="166">
        <v>0</v>
      </c>
      <c r="DW26" s="166">
        <v>0</v>
      </c>
      <c r="DX26" s="166">
        <v>0</v>
      </c>
      <c r="DY26" s="166">
        <v>0</v>
      </c>
      <c r="DZ26" s="166">
        <v>0</v>
      </c>
      <c r="EA26" s="166">
        <v>0</v>
      </c>
      <c r="EB26" s="166">
        <v>0</v>
      </c>
      <c r="EC26" s="166">
        <v>0</v>
      </c>
      <c r="ED26" s="166">
        <v>0</v>
      </c>
      <c r="EE26" s="166">
        <v>0</v>
      </c>
      <c r="EF26" s="166">
        <v>0</v>
      </c>
      <c r="EG26" s="166">
        <v>0</v>
      </c>
      <c r="EH26" s="166">
        <v>0</v>
      </c>
      <c r="EI26" s="166">
        <v>0</v>
      </c>
      <c r="EJ26" s="166">
        <v>0</v>
      </c>
      <c r="EK26" s="166">
        <v>0</v>
      </c>
      <c r="EL26" s="166">
        <v>0</v>
      </c>
      <c r="EM26" s="166">
        <v>0</v>
      </c>
      <c r="EN26" s="166">
        <v>0</v>
      </c>
      <c r="EO26" s="166">
        <v>0</v>
      </c>
      <c r="EP26" s="166">
        <v>0</v>
      </c>
      <c r="EQ26" s="166">
        <v>0</v>
      </c>
      <c r="ER26" s="166">
        <v>0</v>
      </c>
      <c r="ES26" s="166">
        <v>0</v>
      </c>
      <c r="ET26" s="166">
        <v>0</v>
      </c>
      <c r="EU26" s="166">
        <v>0</v>
      </c>
      <c r="EV26" s="166">
        <v>0</v>
      </c>
      <c r="EW26" s="166">
        <v>0</v>
      </c>
      <c r="EX26" s="166">
        <v>0</v>
      </c>
      <c r="EY26" s="166">
        <v>0</v>
      </c>
      <c r="EZ26" s="166">
        <v>0</v>
      </c>
      <c r="FA26" s="166">
        <v>0</v>
      </c>
      <c r="FB26" s="166">
        <v>0</v>
      </c>
      <c r="FC26" s="166">
        <v>0</v>
      </c>
      <c r="FD26" s="166">
        <v>0</v>
      </c>
      <c r="FE26" s="166">
        <v>0</v>
      </c>
      <c r="FF26" s="166">
        <v>0</v>
      </c>
      <c r="FG26" s="166">
        <v>0</v>
      </c>
      <c r="FH26" s="166">
        <v>0</v>
      </c>
      <c r="FI26" s="166">
        <v>0</v>
      </c>
      <c r="FJ26" s="166">
        <v>0</v>
      </c>
      <c r="FK26" s="166">
        <v>0</v>
      </c>
      <c r="FL26" s="166">
        <v>0</v>
      </c>
      <c r="FM26" s="166">
        <v>0</v>
      </c>
      <c r="FN26" s="166">
        <v>0</v>
      </c>
      <c r="FO26" s="166">
        <v>0</v>
      </c>
      <c r="FP26" s="166">
        <v>0</v>
      </c>
      <c r="FQ26" s="166">
        <v>0</v>
      </c>
      <c r="FR26" s="166">
        <v>0</v>
      </c>
      <c r="FS26" s="166">
        <v>0</v>
      </c>
      <c r="FT26" s="166">
        <v>0</v>
      </c>
      <c r="FU26" s="164">
        <v>10</v>
      </c>
      <c r="FV26" s="164">
        <v>10</v>
      </c>
      <c r="FW26" s="164">
        <v>10</v>
      </c>
      <c r="FX26" s="164">
        <v>10</v>
      </c>
      <c r="FY26" s="164">
        <v>10</v>
      </c>
      <c r="FZ26" s="164">
        <v>10</v>
      </c>
      <c r="GA26" s="164">
        <v>10</v>
      </c>
      <c r="GB26" s="164">
        <v>10</v>
      </c>
      <c r="GC26" s="164">
        <v>10</v>
      </c>
      <c r="GD26" s="164">
        <v>10</v>
      </c>
      <c r="GE26" s="164">
        <v>10</v>
      </c>
      <c r="GF26" s="164">
        <v>10</v>
      </c>
      <c r="GG26" s="164">
        <v>10</v>
      </c>
      <c r="GH26" s="164">
        <v>10</v>
      </c>
      <c r="GI26" s="164">
        <v>10</v>
      </c>
      <c r="GJ26" s="164">
        <v>10</v>
      </c>
      <c r="GK26" s="164">
        <v>9</v>
      </c>
      <c r="GL26" s="164">
        <v>9</v>
      </c>
      <c r="GM26" s="164">
        <v>9</v>
      </c>
      <c r="GN26" s="164">
        <v>9</v>
      </c>
      <c r="GO26" s="164">
        <v>9</v>
      </c>
      <c r="GP26" s="164">
        <v>9</v>
      </c>
      <c r="GQ26" s="164">
        <v>9</v>
      </c>
      <c r="GR26" s="164">
        <v>9</v>
      </c>
      <c r="GS26" s="164">
        <v>9</v>
      </c>
      <c r="GT26" s="164">
        <v>9</v>
      </c>
      <c r="GU26" s="164">
        <v>9</v>
      </c>
      <c r="GV26" s="164">
        <v>9</v>
      </c>
      <c r="GW26" s="164">
        <v>9</v>
      </c>
      <c r="GX26" s="166">
        <v>0</v>
      </c>
      <c r="GY26" s="166">
        <v>0</v>
      </c>
      <c r="GZ26" s="166">
        <v>0</v>
      </c>
      <c r="HA26" s="166">
        <v>0</v>
      </c>
      <c r="HB26" s="166">
        <v>0</v>
      </c>
      <c r="HC26" s="166">
        <v>0</v>
      </c>
      <c r="HD26" s="166">
        <v>0</v>
      </c>
      <c r="HE26" s="166">
        <v>0</v>
      </c>
      <c r="HF26" s="166">
        <v>0</v>
      </c>
      <c r="HG26" s="166">
        <v>0</v>
      </c>
      <c r="HH26" s="164">
        <v>9</v>
      </c>
      <c r="HI26" s="164">
        <v>9</v>
      </c>
      <c r="HJ26" s="164">
        <v>9</v>
      </c>
      <c r="HK26" s="164">
        <v>9</v>
      </c>
      <c r="HL26" s="164">
        <v>9</v>
      </c>
      <c r="HM26" s="164">
        <v>9</v>
      </c>
      <c r="HN26" s="164">
        <v>9</v>
      </c>
      <c r="HO26" s="164">
        <v>9</v>
      </c>
      <c r="HP26" s="164">
        <v>9</v>
      </c>
      <c r="HQ26" s="164">
        <v>9</v>
      </c>
      <c r="HR26" s="164">
        <v>9</v>
      </c>
      <c r="HS26" s="164">
        <v>9</v>
      </c>
      <c r="HT26" s="166">
        <v>0</v>
      </c>
      <c r="HU26" s="216"/>
      <c r="HV26" s="166">
        <v>0</v>
      </c>
      <c r="HW26" s="216"/>
      <c r="HX26" s="216"/>
      <c r="HY26" s="216"/>
      <c r="HZ26" s="216"/>
      <c r="IA26" s="216"/>
      <c r="IB26" s="216"/>
      <c r="IC26" s="216"/>
      <c r="ID26" s="216"/>
      <c r="IE26" s="216"/>
      <c r="IF26" s="216"/>
      <c r="IG26" s="216"/>
      <c r="IH26" s="216"/>
      <c r="II26" s="216"/>
      <c r="IJ26" s="216"/>
      <c r="IK26" s="216"/>
      <c r="IL26" s="216"/>
      <c r="IM26" s="216"/>
      <c r="IN26" s="216"/>
      <c r="IO26" s="216"/>
      <c r="IP26" s="216"/>
      <c r="IQ26" s="216"/>
      <c r="IR26" s="216"/>
      <c r="IS26" s="216"/>
      <c r="IT26" s="216"/>
      <c r="IU26" s="216"/>
      <c r="IV26" s="216"/>
      <c r="IW26" s="216"/>
      <c r="IX26" s="216"/>
      <c r="IY26" s="216"/>
      <c r="IZ26" s="216"/>
      <c r="JA26" s="216"/>
      <c r="JB26" s="216"/>
      <c r="JC26" s="216"/>
      <c r="JD26" s="216"/>
      <c r="JE26" s="216"/>
      <c r="JF26" s="216"/>
      <c r="JG26" s="216"/>
      <c r="JH26" s="216"/>
      <c r="JI26" s="216"/>
      <c r="JJ26" s="216"/>
      <c r="JK26" s="216"/>
      <c r="JL26" s="216"/>
      <c r="JM26" s="216"/>
      <c r="JN26" s="216"/>
      <c r="JO26" s="216"/>
      <c r="JP26" s="216"/>
      <c r="JQ26" s="216"/>
      <c r="JR26" s="216"/>
      <c r="JS26" s="216"/>
      <c r="JT26" s="216"/>
      <c r="JU26" s="216"/>
      <c r="JV26" s="216"/>
      <c r="JW26" s="216"/>
      <c r="JX26" s="216"/>
      <c r="JY26" s="216"/>
      <c r="JZ26" s="216"/>
      <c r="KA26" s="216"/>
      <c r="KB26" s="216"/>
      <c r="KC26" s="216"/>
      <c r="KD26" s="216"/>
      <c r="KE26" s="216"/>
      <c r="KF26" s="216"/>
      <c r="KG26" s="216"/>
      <c r="KH26" s="216"/>
      <c r="KI26" s="216"/>
      <c r="KJ26" s="216"/>
      <c r="KK26" s="216"/>
      <c r="KL26" s="216"/>
      <c r="KM26" s="216"/>
      <c r="KN26" s="216"/>
      <c r="KO26" s="216"/>
      <c r="KP26" s="216"/>
      <c r="KQ26" s="216"/>
      <c r="KR26" s="216"/>
      <c r="KS26" s="216"/>
      <c r="KT26" s="216"/>
      <c r="KU26" s="216"/>
      <c r="KV26" s="216"/>
      <c r="KW26" s="216"/>
      <c r="KX26" s="216"/>
      <c r="KY26" s="216"/>
      <c r="KZ26" s="216"/>
      <c r="LA26" s="216"/>
      <c r="LB26" s="216"/>
      <c r="LC26" s="216"/>
      <c r="LD26" s="216"/>
      <c r="LE26" s="216"/>
    </row>
    <row r="27" spans="1:317" x14ac:dyDescent="0.2">
      <c r="A27" s="179" t="s">
        <v>849</v>
      </c>
      <c r="B27" s="180" t="s">
        <v>926</v>
      </c>
      <c r="C27" s="181"/>
      <c r="D27" s="182">
        <v>0</v>
      </c>
      <c r="E27" s="182">
        <v>0</v>
      </c>
      <c r="F27" s="183" t="s">
        <v>1211</v>
      </c>
      <c r="G27" s="183">
        <v>0</v>
      </c>
      <c r="H27" s="183">
        <v>0</v>
      </c>
      <c r="I27" s="183">
        <v>0</v>
      </c>
      <c r="J27" s="183">
        <v>0</v>
      </c>
      <c r="K27" s="183" t="s">
        <v>1364</v>
      </c>
      <c r="L27" s="183">
        <v>0</v>
      </c>
      <c r="M27" s="183">
        <v>0</v>
      </c>
      <c r="N27" s="183" t="s">
        <v>881</v>
      </c>
      <c r="O27" s="183">
        <v>0</v>
      </c>
      <c r="P27" s="183">
        <v>0</v>
      </c>
      <c r="Q27" s="183"/>
      <c r="R27" s="183"/>
      <c r="S27" s="183"/>
      <c r="T27" s="183"/>
      <c r="U27" s="183"/>
      <c r="V27" s="183">
        <v>0</v>
      </c>
      <c r="W27" s="183">
        <v>0</v>
      </c>
      <c r="X27" s="183">
        <v>0</v>
      </c>
      <c r="Y27" s="184">
        <v>48.02</v>
      </c>
      <c r="Z27" s="184">
        <v>204.14</v>
      </c>
      <c r="AA27" s="184">
        <v>0</v>
      </c>
      <c r="AB27" s="185" t="s">
        <v>615</v>
      </c>
      <c r="AC27" s="185" t="s">
        <v>615</v>
      </c>
      <c r="AD27" s="186" t="s">
        <v>881</v>
      </c>
      <c r="AE27" s="186" t="s">
        <v>858</v>
      </c>
      <c r="AF27" s="187">
        <v>7</v>
      </c>
      <c r="AG27" s="187">
        <v>3</v>
      </c>
      <c r="AH27" s="187">
        <v>4</v>
      </c>
      <c r="AI27" s="188">
        <v>1</v>
      </c>
      <c r="AJ27" s="188" t="s">
        <v>615</v>
      </c>
      <c r="AK27" s="187" t="s">
        <v>1736</v>
      </c>
      <c r="AL27" s="87" t="s">
        <v>615</v>
      </c>
      <c r="AM27" s="189"/>
      <c r="AN27" s="187" t="s">
        <v>615</v>
      </c>
      <c r="AO27" s="13" t="s">
        <v>615</v>
      </c>
      <c r="AP27" s="187">
        <v>0</v>
      </c>
      <c r="AQ27" s="187">
        <v>0</v>
      </c>
      <c r="AR27" s="190">
        <v>0</v>
      </c>
      <c r="AS27" s="190">
        <v>0</v>
      </c>
      <c r="AT27" s="190">
        <v>0</v>
      </c>
      <c r="AU27" s="187">
        <v>0</v>
      </c>
      <c r="AV27" s="187">
        <v>0</v>
      </c>
      <c r="AW27" s="191"/>
      <c r="AX27" s="192"/>
      <c r="AY27" s="193">
        <v>42666</v>
      </c>
      <c r="AZ27" s="193"/>
      <c r="BA27" s="193"/>
      <c r="BB27" s="194"/>
      <c r="BC27" s="194"/>
      <c r="BD27" s="195"/>
      <c r="BE27" s="195" t="s">
        <v>532</v>
      </c>
      <c r="BF27" s="195"/>
      <c r="BG27" s="195">
        <v>2</v>
      </c>
      <c r="BH27" s="196" t="s">
        <v>547</v>
      </c>
      <c r="BI27" s="197">
        <v>1</v>
      </c>
      <c r="BJ27" s="198"/>
      <c r="BK27" s="199">
        <v>0</v>
      </c>
      <c r="BL27" s="13">
        <v>0</v>
      </c>
      <c r="BM27" s="13">
        <v>0</v>
      </c>
      <c r="BN27" s="13" t="s">
        <v>616</v>
      </c>
      <c r="BO27" s="13" t="s">
        <v>616</v>
      </c>
      <c r="BP27" s="200">
        <v>0</v>
      </c>
      <c r="BQ27" s="201"/>
      <c r="BR27" s="202"/>
      <c r="BS27" s="187">
        <v>1000000000</v>
      </c>
      <c r="BT27" s="203">
        <v>0</v>
      </c>
      <c r="BU27" s="204">
        <v>0</v>
      </c>
      <c r="BV27" s="203">
        <v>0</v>
      </c>
      <c r="BW27" s="205">
        <v>0</v>
      </c>
      <c r="BX27" s="205">
        <v>0</v>
      </c>
      <c r="BY27" s="205">
        <v>0</v>
      </c>
      <c r="BZ27" s="203">
        <v>0</v>
      </c>
      <c r="CA27" s="203">
        <v>0</v>
      </c>
      <c r="CB27" s="203">
        <v>0</v>
      </c>
      <c r="CC27" s="204">
        <v>0</v>
      </c>
      <c r="CD27" s="203">
        <v>0</v>
      </c>
      <c r="CE27" s="203">
        <v>0</v>
      </c>
      <c r="CF27" s="13">
        <v>0</v>
      </c>
      <c r="CG27" s="206">
        <v>0</v>
      </c>
      <c r="CH27" s="207">
        <v>0</v>
      </c>
      <c r="CI27" s="201"/>
      <c r="CJ27" s="208"/>
      <c r="CK27" s="209" t="s">
        <v>615</v>
      </c>
      <c r="CL27" s="210" t="s">
        <v>615</v>
      </c>
      <c r="CM27" s="207">
        <v>0</v>
      </c>
      <c r="CN27" s="207">
        <v>0</v>
      </c>
      <c r="CO27" s="204">
        <v>0</v>
      </c>
      <c r="CP27" s="204">
        <v>0</v>
      </c>
      <c r="CQ27" s="211"/>
      <c r="CR27" s="204">
        <v>1</v>
      </c>
      <c r="CS27" s="212">
        <v>42531</v>
      </c>
      <c r="CT27" s="212">
        <v>42780</v>
      </c>
      <c r="CU27" s="213">
        <v>42780</v>
      </c>
      <c r="CV27" s="214">
        <v>42829</v>
      </c>
      <c r="CW27" s="214" t="s">
        <v>615</v>
      </c>
      <c r="CX27" s="214" t="s">
        <v>615</v>
      </c>
      <c r="CY27" s="204">
        <v>0.58345996599157823</v>
      </c>
      <c r="CZ27" s="204">
        <v>0.97959183673469385</v>
      </c>
      <c r="DA27" s="203">
        <v>0</v>
      </c>
      <c r="DB27" s="204">
        <v>0.24489795918367346</v>
      </c>
      <c r="DC27" s="204">
        <v>0</v>
      </c>
      <c r="DD27" s="204">
        <v>0</v>
      </c>
      <c r="DE27" s="204">
        <v>0</v>
      </c>
      <c r="DF27" s="215">
        <v>0.73469387755102045</v>
      </c>
      <c r="DG27" s="13" t="s">
        <v>615</v>
      </c>
      <c r="DH27" s="86">
        <v>25</v>
      </c>
      <c r="DI27" s="86"/>
      <c r="DJ27" s="86">
        <v>254</v>
      </c>
      <c r="DK27" s="86" t="s">
        <v>1710</v>
      </c>
      <c r="DL27" s="86" t="e">
        <v>#N/A</v>
      </c>
      <c r="DM27" s="86" t="e">
        <v>#N/A</v>
      </c>
      <c r="DN27" s="86" t="e">
        <v>#N/A</v>
      </c>
      <c r="DO27" s="86">
        <v>425</v>
      </c>
      <c r="DP27" s="86">
        <v>5</v>
      </c>
      <c r="DQ27" s="86">
        <v>49</v>
      </c>
      <c r="DR27" s="146">
        <v>0</v>
      </c>
      <c r="DS27" s="146">
        <v>0</v>
      </c>
      <c r="DT27" s="146">
        <v>0</v>
      </c>
      <c r="DU27" s="146">
        <v>0</v>
      </c>
      <c r="DV27" s="146">
        <v>0</v>
      </c>
      <c r="DW27" s="146">
        <v>0</v>
      </c>
      <c r="DX27" s="146">
        <v>0</v>
      </c>
      <c r="DY27" s="146">
        <v>0</v>
      </c>
      <c r="DZ27" s="146">
        <v>0</v>
      </c>
      <c r="EA27" s="146">
        <v>0</v>
      </c>
      <c r="EB27" s="146">
        <v>0</v>
      </c>
      <c r="EC27" s="146">
        <v>0</v>
      </c>
      <c r="ED27" s="146">
        <v>0</v>
      </c>
      <c r="EE27" s="146">
        <v>0</v>
      </c>
      <c r="EF27" s="146">
        <v>0</v>
      </c>
      <c r="EG27" s="146">
        <v>0</v>
      </c>
      <c r="EH27" s="146">
        <v>0</v>
      </c>
      <c r="EI27" s="146">
        <v>0</v>
      </c>
      <c r="EJ27" s="146">
        <v>0</v>
      </c>
      <c r="EK27" s="146">
        <v>0</v>
      </c>
      <c r="EL27" s="146">
        <v>0</v>
      </c>
      <c r="EM27" s="146">
        <v>0</v>
      </c>
      <c r="EN27" s="146">
        <v>0</v>
      </c>
      <c r="EO27" s="146">
        <v>0</v>
      </c>
      <c r="EP27" s="146">
        <v>0</v>
      </c>
      <c r="EQ27" s="146">
        <v>0</v>
      </c>
      <c r="ER27" s="146">
        <v>0</v>
      </c>
      <c r="ES27" s="146">
        <v>0</v>
      </c>
      <c r="ET27" s="146">
        <v>0</v>
      </c>
      <c r="EU27" s="146">
        <v>0</v>
      </c>
      <c r="EV27" s="146">
        <v>0</v>
      </c>
      <c r="EW27" s="146">
        <v>0</v>
      </c>
      <c r="EX27" s="146">
        <v>0</v>
      </c>
      <c r="EY27" s="146">
        <v>0</v>
      </c>
      <c r="EZ27" s="146">
        <v>0</v>
      </c>
      <c r="FA27" s="146">
        <v>0</v>
      </c>
      <c r="FB27" s="146">
        <v>0</v>
      </c>
      <c r="FC27" s="146">
        <v>0</v>
      </c>
      <c r="FD27" s="146">
        <v>0</v>
      </c>
      <c r="FE27" s="146">
        <v>0</v>
      </c>
      <c r="FF27" s="146">
        <v>0</v>
      </c>
      <c r="FG27" s="146">
        <v>0</v>
      </c>
      <c r="FH27" s="146">
        <v>0</v>
      </c>
      <c r="FI27" s="146">
        <v>0</v>
      </c>
      <c r="FJ27" s="146">
        <v>0</v>
      </c>
      <c r="FK27" s="146">
        <v>0</v>
      </c>
      <c r="FL27" s="146">
        <v>0</v>
      </c>
      <c r="FM27" s="146">
        <v>0</v>
      </c>
      <c r="FN27" s="146">
        <v>0</v>
      </c>
      <c r="FO27" s="146">
        <v>0</v>
      </c>
      <c r="FP27" s="146">
        <v>0</v>
      </c>
      <c r="FQ27" s="146">
        <v>0</v>
      </c>
      <c r="FR27" s="146">
        <v>0</v>
      </c>
      <c r="FS27" s="146">
        <v>0</v>
      </c>
      <c r="FT27" s="146">
        <v>0</v>
      </c>
      <c r="FU27" s="146">
        <v>4</v>
      </c>
      <c r="FV27" s="146">
        <v>4</v>
      </c>
      <c r="FW27" s="146">
        <v>4</v>
      </c>
      <c r="FX27" s="146">
        <v>4</v>
      </c>
      <c r="FY27" s="146">
        <v>4</v>
      </c>
      <c r="FZ27" s="146">
        <v>4</v>
      </c>
      <c r="GA27" s="146">
        <v>4</v>
      </c>
      <c r="GB27" s="146">
        <v>4</v>
      </c>
      <c r="GC27" s="146">
        <v>4</v>
      </c>
      <c r="GD27" s="146">
        <v>4</v>
      </c>
      <c r="GE27" s="146">
        <v>4</v>
      </c>
      <c r="GF27" s="146">
        <v>4</v>
      </c>
      <c r="GG27" s="146">
        <v>4</v>
      </c>
      <c r="GH27" s="146">
        <v>4</v>
      </c>
      <c r="GI27" s="146">
        <v>4</v>
      </c>
      <c r="GJ27" s="146">
        <v>4</v>
      </c>
      <c r="GK27" s="146">
        <v>4</v>
      </c>
      <c r="GL27" s="146">
        <v>4</v>
      </c>
      <c r="GM27" s="146">
        <v>4</v>
      </c>
      <c r="GN27" s="146">
        <v>4</v>
      </c>
      <c r="GO27" s="146">
        <v>4</v>
      </c>
      <c r="GP27" s="146">
        <v>4</v>
      </c>
      <c r="GQ27" s="146">
        <v>4</v>
      </c>
      <c r="GR27" s="146">
        <v>4</v>
      </c>
      <c r="GS27" s="146">
        <v>4</v>
      </c>
      <c r="GT27" s="146">
        <v>4</v>
      </c>
      <c r="GU27" s="146">
        <v>4</v>
      </c>
      <c r="GV27" s="146">
        <v>4</v>
      </c>
      <c r="GW27" s="146">
        <v>4</v>
      </c>
      <c r="GX27" s="146">
        <v>0</v>
      </c>
      <c r="GY27" s="146">
        <v>0</v>
      </c>
      <c r="GZ27" s="146">
        <v>0</v>
      </c>
      <c r="HA27" s="146">
        <v>0</v>
      </c>
      <c r="HB27" s="146">
        <v>0</v>
      </c>
      <c r="HC27" s="146">
        <v>0</v>
      </c>
      <c r="HD27" s="146">
        <v>0</v>
      </c>
      <c r="HE27" s="146">
        <v>0</v>
      </c>
      <c r="HF27" s="146">
        <v>0</v>
      </c>
      <c r="HG27" s="146">
        <v>0</v>
      </c>
      <c r="HH27" s="146">
        <v>4</v>
      </c>
      <c r="HI27" s="146">
        <v>4</v>
      </c>
      <c r="HJ27" s="146">
        <v>4</v>
      </c>
      <c r="HK27" s="146">
        <v>4</v>
      </c>
      <c r="HL27" s="146">
        <v>4</v>
      </c>
      <c r="HM27" s="146">
        <v>4</v>
      </c>
      <c r="HN27" s="146">
        <v>4</v>
      </c>
      <c r="HO27" s="146">
        <v>4</v>
      </c>
      <c r="HP27" s="146">
        <v>4</v>
      </c>
      <c r="HQ27" s="146">
        <v>4</v>
      </c>
      <c r="HR27" s="146">
        <v>4</v>
      </c>
      <c r="HS27" s="146">
        <v>4</v>
      </c>
      <c r="HT27" s="146">
        <v>0</v>
      </c>
      <c r="HU27" s="151"/>
      <c r="HV27" s="146">
        <v>0</v>
      </c>
      <c r="HW27" s="151"/>
      <c r="HX27" s="151"/>
      <c r="HY27" s="151"/>
      <c r="HZ27" s="151"/>
      <c r="IA27" s="151"/>
      <c r="IB27" s="151"/>
      <c r="IC27" s="151"/>
      <c r="ID27" s="151"/>
      <c r="IE27" s="151"/>
      <c r="IF27" s="151"/>
      <c r="IG27" s="151"/>
      <c r="IH27" s="151"/>
      <c r="II27" s="151"/>
      <c r="IJ27" s="151"/>
      <c r="IK27" s="151"/>
      <c r="IL27" s="151"/>
      <c r="IM27" s="151"/>
      <c r="IN27" s="151"/>
      <c r="IO27" s="151"/>
      <c r="IP27" s="151"/>
      <c r="IQ27" s="151"/>
      <c r="IR27" s="151"/>
      <c r="IS27" s="151"/>
      <c r="IT27" s="151"/>
      <c r="IU27" s="151"/>
      <c r="IV27" s="151"/>
      <c r="IW27" s="151"/>
      <c r="IX27" s="151"/>
      <c r="IY27" s="151"/>
      <c r="IZ27" s="151"/>
      <c r="JA27" s="151"/>
      <c r="JB27" s="151"/>
      <c r="JC27" s="151"/>
      <c r="JD27" s="151"/>
      <c r="JE27" s="151"/>
      <c r="JF27" s="151"/>
      <c r="JG27" s="151"/>
      <c r="JH27" s="151"/>
      <c r="JI27" s="151"/>
      <c r="JJ27" s="151"/>
      <c r="JK27" s="151"/>
      <c r="JL27" s="151"/>
      <c r="JM27" s="151"/>
      <c r="JN27" s="151"/>
      <c r="JO27" s="151"/>
      <c r="JP27" s="151"/>
      <c r="JQ27" s="151"/>
      <c r="JR27" s="151"/>
      <c r="JS27" s="151"/>
      <c r="JT27" s="151"/>
      <c r="JU27" s="151"/>
      <c r="JV27" s="151"/>
      <c r="JW27" s="151"/>
      <c r="JX27" s="151"/>
      <c r="JY27" s="151"/>
      <c r="JZ27" s="151"/>
      <c r="KA27" s="151"/>
      <c r="KB27" s="151"/>
      <c r="KC27" s="151"/>
      <c r="KD27" s="151"/>
      <c r="KE27" s="151"/>
      <c r="KF27" s="151"/>
      <c r="KG27" s="151"/>
      <c r="KH27" s="151"/>
      <c r="KI27" s="151"/>
      <c r="KJ27" s="151"/>
      <c r="KK27" s="151"/>
      <c r="KL27" s="151"/>
      <c r="KM27" s="151"/>
      <c r="KN27" s="151"/>
      <c r="KO27" s="151"/>
      <c r="KP27" s="151"/>
      <c r="KQ27" s="151"/>
      <c r="KR27" s="151"/>
      <c r="KS27" s="151"/>
      <c r="KT27" s="151"/>
      <c r="KU27" s="151"/>
      <c r="KV27" s="151"/>
      <c r="KW27" s="151"/>
      <c r="KX27" s="151"/>
      <c r="KY27" s="151"/>
      <c r="KZ27" s="151"/>
      <c r="LA27" s="151"/>
      <c r="LB27" s="151"/>
      <c r="LC27" s="151"/>
      <c r="LD27" s="151"/>
      <c r="LE27" s="151"/>
    </row>
    <row r="28" spans="1:317" x14ac:dyDescent="0.2">
      <c r="A28" s="179" t="s">
        <v>849</v>
      </c>
      <c r="B28" s="180" t="s">
        <v>927</v>
      </c>
      <c r="C28" s="181"/>
      <c r="D28" s="182">
        <v>0</v>
      </c>
      <c r="E28" s="182">
        <v>0</v>
      </c>
      <c r="F28" s="183" t="s">
        <v>1212</v>
      </c>
      <c r="G28" s="183">
        <v>0</v>
      </c>
      <c r="H28" s="183">
        <v>0</v>
      </c>
      <c r="I28" s="183">
        <v>0</v>
      </c>
      <c r="J28" s="183">
        <v>0</v>
      </c>
      <c r="K28" s="183" t="s">
        <v>1362</v>
      </c>
      <c r="L28" s="183">
        <v>0</v>
      </c>
      <c r="M28" s="183">
        <v>0</v>
      </c>
      <c r="N28" s="183" t="s">
        <v>881</v>
      </c>
      <c r="O28" s="183">
        <v>0</v>
      </c>
      <c r="P28" s="183">
        <v>0</v>
      </c>
      <c r="Q28" s="183"/>
      <c r="R28" s="183"/>
      <c r="S28" s="183"/>
      <c r="T28" s="183"/>
      <c r="U28" s="183"/>
      <c r="V28" s="183">
        <v>0</v>
      </c>
      <c r="W28" s="183">
        <v>0</v>
      </c>
      <c r="X28" s="183">
        <v>0</v>
      </c>
      <c r="Y28" s="184">
        <v>40.880000000000003</v>
      </c>
      <c r="Z28" s="184">
        <v>216.65</v>
      </c>
      <c r="AA28" s="184">
        <v>0</v>
      </c>
      <c r="AB28" s="185" t="s">
        <v>615</v>
      </c>
      <c r="AC28" s="185" t="s">
        <v>615</v>
      </c>
      <c r="AD28" s="186" t="s">
        <v>881</v>
      </c>
      <c r="AE28" s="186" t="s">
        <v>858</v>
      </c>
      <c r="AF28" s="187">
        <v>7</v>
      </c>
      <c r="AG28" s="187">
        <v>3</v>
      </c>
      <c r="AH28" s="187">
        <v>4</v>
      </c>
      <c r="AI28" s="188">
        <v>1</v>
      </c>
      <c r="AJ28" s="188" t="s">
        <v>617</v>
      </c>
      <c r="AK28" s="187" t="s">
        <v>1737</v>
      </c>
      <c r="AL28" s="87">
        <v>107</v>
      </c>
      <c r="AM28" s="189"/>
      <c r="AN28" s="187">
        <v>107</v>
      </c>
      <c r="AO28" s="13" t="s">
        <v>615</v>
      </c>
      <c r="AP28" s="187">
        <v>0</v>
      </c>
      <c r="AQ28" s="187">
        <v>0</v>
      </c>
      <c r="AR28" s="190">
        <v>0</v>
      </c>
      <c r="AS28" s="190">
        <v>0</v>
      </c>
      <c r="AT28" s="190">
        <v>0</v>
      </c>
      <c r="AU28" s="187">
        <v>12</v>
      </c>
      <c r="AV28" s="187">
        <v>0</v>
      </c>
      <c r="AW28" s="191"/>
      <c r="AX28" s="192"/>
      <c r="AY28" s="193">
        <v>42666</v>
      </c>
      <c r="AZ28" s="193"/>
      <c r="BA28" s="193"/>
      <c r="BB28" s="194"/>
      <c r="BC28" s="194"/>
      <c r="BD28" s="195"/>
      <c r="BE28" s="195" t="s">
        <v>532</v>
      </c>
      <c r="BF28" s="195"/>
      <c r="BG28" s="195">
        <v>5</v>
      </c>
      <c r="BH28" s="196" t="s">
        <v>547</v>
      </c>
      <c r="BI28" s="197">
        <v>1</v>
      </c>
      <c r="BJ28" s="198"/>
      <c r="BK28" s="199">
        <v>80</v>
      </c>
      <c r="BL28" s="13">
        <v>53</v>
      </c>
      <c r="BM28" s="13">
        <v>26</v>
      </c>
      <c r="BN28" s="13" t="s">
        <v>621</v>
      </c>
      <c r="BO28" s="13" t="s">
        <v>621</v>
      </c>
      <c r="BP28" s="200">
        <v>60</v>
      </c>
      <c r="BQ28" s="201"/>
      <c r="BR28" s="202"/>
      <c r="BS28" s="187">
        <v>1000000000</v>
      </c>
      <c r="BT28" s="203">
        <v>0</v>
      </c>
      <c r="BU28" s="204">
        <v>1</v>
      </c>
      <c r="BV28" s="203">
        <v>0</v>
      </c>
      <c r="BW28" s="205">
        <v>0</v>
      </c>
      <c r="BX28" s="205">
        <v>0</v>
      </c>
      <c r="BY28" s="205">
        <v>0</v>
      </c>
      <c r="BZ28" s="203">
        <v>0</v>
      </c>
      <c r="CA28" s="203">
        <v>0</v>
      </c>
      <c r="CB28" s="203">
        <v>0</v>
      </c>
      <c r="CC28" s="204">
        <v>1</v>
      </c>
      <c r="CD28" s="203">
        <v>0</v>
      </c>
      <c r="CE28" s="203">
        <v>0</v>
      </c>
      <c r="CF28" s="13">
        <v>80</v>
      </c>
      <c r="CG28" s="206">
        <v>80</v>
      </c>
      <c r="CH28" s="207">
        <v>46</v>
      </c>
      <c r="CI28" s="201"/>
      <c r="CJ28" s="208"/>
      <c r="CK28" s="209" t="s">
        <v>615</v>
      </c>
      <c r="CL28" s="210" t="s">
        <v>615</v>
      </c>
      <c r="CM28" s="207">
        <v>4570.0200000000004</v>
      </c>
      <c r="CN28" s="207">
        <v>0</v>
      </c>
      <c r="CO28" s="204">
        <v>0</v>
      </c>
      <c r="CP28" s="204">
        <v>29.483365949119374</v>
      </c>
      <c r="CQ28" s="211"/>
      <c r="CR28" s="204">
        <v>1</v>
      </c>
      <c r="CS28" s="212">
        <v>42709</v>
      </c>
      <c r="CT28" s="212">
        <v>42780</v>
      </c>
      <c r="CU28" s="213">
        <v>42780</v>
      </c>
      <c r="CV28" s="214">
        <v>42829</v>
      </c>
      <c r="CW28" s="214" t="s">
        <v>615</v>
      </c>
      <c r="CX28" s="214" t="s">
        <v>615</v>
      </c>
      <c r="CY28" s="204">
        <v>0.65223861584917608</v>
      </c>
      <c r="CZ28" s="204">
        <v>0.97959183673469385</v>
      </c>
      <c r="DA28" s="203">
        <v>329</v>
      </c>
      <c r="DB28" s="204">
        <v>0.24489795918367346</v>
      </c>
      <c r="DC28" s="204">
        <v>0.18367346938775511</v>
      </c>
      <c r="DD28" s="204">
        <v>0.55102040816326525</v>
      </c>
      <c r="DE28" s="204">
        <v>0</v>
      </c>
      <c r="DF28" s="215">
        <v>0</v>
      </c>
      <c r="DG28" s="13" t="s">
        <v>615</v>
      </c>
      <c r="DH28" s="86">
        <v>26</v>
      </c>
      <c r="DI28" s="86"/>
      <c r="DJ28" s="86">
        <v>253</v>
      </c>
      <c r="DK28" s="86" t="s">
        <v>1709</v>
      </c>
      <c r="DL28" s="86" t="e">
        <v>#N/A</v>
      </c>
      <c r="DM28" s="86" t="e">
        <v>#N/A</v>
      </c>
      <c r="DN28" s="86" t="e">
        <v>#N/A</v>
      </c>
      <c r="DO28" s="86">
        <v>424</v>
      </c>
      <c r="DP28" s="86">
        <v>5</v>
      </c>
      <c r="DQ28" s="86">
        <v>49</v>
      </c>
      <c r="DR28" s="166">
        <v>0</v>
      </c>
      <c r="DS28" s="166">
        <v>0</v>
      </c>
      <c r="DT28" s="166">
        <v>0</v>
      </c>
      <c r="DU28" s="166">
        <v>0</v>
      </c>
      <c r="DV28" s="166">
        <v>0</v>
      </c>
      <c r="DW28" s="166">
        <v>0</v>
      </c>
      <c r="DX28" s="166">
        <v>0</v>
      </c>
      <c r="DY28" s="166">
        <v>0</v>
      </c>
      <c r="DZ28" s="166">
        <v>0</v>
      </c>
      <c r="EA28" s="166">
        <v>0</v>
      </c>
      <c r="EB28" s="166">
        <v>0</v>
      </c>
      <c r="EC28" s="166">
        <v>0</v>
      </c>
      <c r="ED28" s="166">
        <v>0</v>
      </c>
      <c r="EE28" s="166">
        <v>0</v>
      </c>
      <c r="EF28" s="166">
        <v>0</v>
      </c>
      <c r="EG28" s="166">
        <v>0</v>
      </c>
      <c r="EH28" s="166">
        <v>0</v>
      </c>
      <c r="EI28" s="166">
        <v>0</v>
      </c>
      <c r="EJ28" s="166">
        <v>0</v>
      </c>
      <c r="EK28" s="166">
        <v>0</v>
      </c>
      <c r="EL28" s="166">
        <v>0</v>
      </c>
      <c r="EM28" s="166">
        <v>0</v>
      </c>
      <c r="EN28" s="166">
        <v>0</v>
      </c>
      <c r="EO28" s="166">
        <v>0</v>
      </c>
      <c r="EP28" s="166">
        <v>0</v>
      </c>
      <c r="EQ28" s="166">
        <v>0</v>
      </c>
      <c r="ER28" s="166">
        <v>0</v>
      </c>
      <c r="ES28" s="166">
        <v>0</v>
      </c>
      <c r="ET28" s="166">
        <v>0</v>
      </c>
      <c r="EU28" s="166">
        <v>0</v>
      </c>
      <c r="EV28" s="166">
        <v>0</v>
      </c>
      <c r="EW28" s="166">
        <v>0</v>
      </c>
      <c r="EX28" s="166">
        <v>0</v>
      </c>
      <c r="EY28" s="166">
        <v>0</v>
      </c>
      <c r="EZ28" s="166">
        <v>0</v>
      </c>
      <c r="FA28" s="166">
        <v>0</v>
      </c>
      <c r="FB28" s="166">
        <v>0</v>
      </c>
      <c r="FC28" s="166">
        <v>0</v>
      </c>
      <c r="FD28" s="166">
        <v>0</v>
      </c>
      <c r="FE28" s="166">
        <v>0</v>
      </c>
      <c r="FF28" s="166">
        <v>0</v>
      </c>
      <c r="FG28" s="166">
        <v>0</v>
      </c>
      <c r="FH28" s="166">
        <v>0</v>
      </c>
      <c r="FI28" s="166">
        <v>0</v>
      </c>
      <c r="FJ28" s="166">
        <v>0</v>
      </c>
      <c r="FK28" s="166">
        <v>0</v>
      </c>
      <c r="FL28" s="166">
        <v>0</v>
      </c>
      <c r="FM28" s="166">
        <v>0</v>
      </c>
      <c r="FN28" s="166">
        <v>0</v>
      </c>
      <c r="FO28" s="166">
        <v>0</v>
      </c>
      <c r="FP28" s="166">
        <v>0</v>
      </c>
      <c r="FQ28" s="166">
        <v>0</v>
      </c>
      <c r="FR28" s="166">
        <v>0</v>
      </c>
      <c r="FS28" s="166">
        <v>0</v>
      </c>
      <c r="FT28" s="166">
        <v>0</v>
      </c>
      <c r="FU28" s="164">
        <v>59</v>
      </c>
      <c r="FV28" s="164">
        <v>53</v>
      </c>
      <c r="FW28" s="164">
        <v>53</v>
      </c>
      <c r="FX28" s="164">
        <v>53</v>
      </c>
      <c r="FY28" s="164">
        <v>53</v>
      </c>
      <c r="FZ28" s="164">
        <v>53</v>
      </c>
      <c r="GA28" s="164">
        <v>53</v>
      </c>
      <c r="GB28" s="164">
        <v>53</v>
      </c>
      <c r="GC28" s="164">
        <v>48</v>
      </c>
      <c r="GD28" s="164">
        <v>48</v>
      </c>
      <c r="GE28" s="164">
        <v>48</v>
      </c>
      <c r="GF28" s="164">
        <v>48</v>
      </c>
      <c r="GG28" s="164">
        <v>48</v>
      </c>
      <c r="GH28" s="164">
        <v>48</v>
      </c>
      <c r="GI28" s="164">
        <v>48</v>
      </c>
      <c r="GJ28" s="164">
        <v>43</v>
      </c>
      <c r="GK28" s="168">
        <v>39</v>
      </c>
      <c r="GL28" s="168">
        <v>39</v>
      </c>
      <c r="GM28" s="168">
        <v>39</v>
      </c>
      <c r="GN28" s="168">
        <v>39</v>
      </c>
      <c r="GO28" s="168">
        <v>39</v>
      </c>
      <c r="GP28" s="168">
        <v>39</v>
      </c>
      <c r="GQ28" s="168">
        <v>39</v>
      </c>
      <c r="GR28" s="168">
        <v>39</v>
      </c>
      <c r="GS28" s="168">
        <v>39</v>
      </c>
      <c r="GT28" s="168">
        <v>39</v>
      </c>
      <c r="GU28" s="164">
        <v>41</v>
      </c>
      <c r="GV28" s="164">
        <v>41</v>
      </c>
      <c r="GW28" s="164">
        <v>41</v>
      </c>
      <c r="GX28" s="166">
        <v>0</v>
      </c>
      <c r="GY28" s="166">
        <v>0</v>
      </c>
      <c r="GZ28" s="166">
        <v>0</v>
      </c>
      <c r="HA28" s="166">
        <v>0</v>
      </c>
      <c r="HB28" s="166">
        <v>0</v>
      </c>
      <c r="HC28" s="166">
        <v>0</v>
      </c>
      <c r="HD28" s="166">
        <v>0</v>
      </c>
      <c r="HE28" s="166">
        <v>0</v>
      </c>
      <c r="HF28" s="166">
        <v>0</v>
      </c>
      <c r="HG28" s="166">
        <v>0</v>
      </c>
      <c r="HH28" s="168">
        <v>35</v>
      </c>
      <c r="HI28" s="168">
        <v>35</v>
      </c>
      <c r="HJ28" s="168">
        <v>35</v>
      </c>
      <c r="HK28" s="168">
        <v>26</v>
      </c>
      <c r="HL28" s="168">
        <v>26</v>
      </c>
      <c r="HM28" s="168">
        <v>26</v>
      </c>
      <c r="HN28" s="168">
        <v>26</v>
      </c>
      <c r="HO28" s="165">
        <v>25</v>
      </c>
      <c r="HP28" s="165">
        <v>25</v>
      </c>
      <c r="HQ28" s="165">
        <v>25</v>
      </c>
      <c r="HR28" s="165">
        <v>19</v>
      </c>
      <c r="HS28" s="165">
        <v>19</v>
      </c>
      <c r="HT28" s="166">
        <v>0</v>
      </c>
      <c r="HU28" s="216"/>
      <c r="HV28" s="166">
        <v>0</v>
      </c>
      <c r="HW28" s="216"/>
      <c r="HX28" s="216"/>
      <c r="HY28" s="216"/>
      <c r="HZ28" s="216"/>
      <c r="IA28" s="216"/>
      <c r="IB28" s="216"/>
      <c r="IC28" s="216"/>
      <c r="ID28" s="216"/>
      <c r="IE28" s="216"/>
      <c r="IF28" s="216"/>
      <c r="IG28" s="216"/>
      <c r="IH28" s="216"/>
      <c r="II28" s="216"/>
      <c r="IJ28" s="216"/>
      <c r="IK28" s="216"/>
      <c r="IL28" s="216"/>
      <c r="IM28" s="216"/>
      <c r="IN28" s="216"/>
      <c r="IO28" s="216"/>
      <c r="IP28" s="216"/>
      <c r="IQ28" s="216"/>
      <c r="IR28" s="216"/>
      <c r="IS28" s="216"/>
      <c r="IT28" s="216"/>
      <c r="IU28" s="216"/>
      <c r="IV28" s="216"/>
      <c r="IW28" s="216"/>
      <c r="IX28" s="216"/>
      <c r="IY28" s="216"/>
      <c r="IZ28" s="216"/>
      <c r="JA28" s="216"/>
      <c r="JB28" s="216"/>
      <c r="JC28" s="216"/>
      <c r="JD28" s="216"/>
      <c r="JE28" s="216"/>
      <c r="JF28" s="216"/>
      <c r="JG28" s="216"/>
      <c r="JH28" s="216"/>
      <c r="JI28" s="216"/>
      <c r="JJ28" s="216"/>
      <c r="JK28" s="216"/>
      <c r="JL28" s="216"/>
      <c r="JM28" s="216"/>
      <c r="JN28" s="216"/>
      <c r="JO28" s="216"/>
      <c r="JP28" s="216"/>
      <c r="JQ28" s="216"/>
      <c r="JR28" s="216"/>
      <c r="JS28" s="216"/>
      <c r="JT28" s="216"/>
      <c r="JU28" s="216"/>
      <c r="JV28" s="216"/>
      <c r="JW28" s="216"/>
      <c r="JX28" s="216"/>
      <c r="JY28" s="216"/>
      <c r="JZ28" s="216"/>
      <c r="KA28" s="216"/>
      <c r="KB28" s="216"/>
      <c r="KC28" s="216"/>
      <c r="KD28" s="216"/>
      <c r="KE28" s="216"/>
      <c r="KF28" s="216"/>
      <c r="KG28" s="216"/>
      <c r="KH28" s="216"/>
      <c r="KI28" s="216"/>
      <c r="KJ28" s="216"/>
      <c r="KK28" s="216"/>
      <c r="KL28" s="216"/>
      <c r="KM28" s="216"/>
      <c r="KN28" s="216"/>
      <c r="KO28" s="216"/>
      <c r="KP28" s="216"/>
      <c r="KQ28" s="216"/>
      <c r="KR28" s="216"/>
      <c r="KS28" s="216"/>
      <c r="KT28" s="216"/>
      <c r="KU28" s="216"/>
      <c r="KV28" s="216"/>
      <c r="KW28" s="216"/>
      <c r="KX28" s="216"/>
      <c r="KY28" s="216"/>
      <c r="KZ28" s="216"/>
      <c r="LA28" s="216"/>
      <c r="LB28" s="216"/>
      <c r="LC28" s="216"/>
      <c r="LD28" s="216"/>
      <c r="LE28" s="216"/>
    </row>
    <row r="29" spans="1:317" x14ac:dyDescent="0.2">
      <c r="A29" s="179" t="s">
        <v>849</v>
      </c>
      <c r="B29" s="180" t="s">
        <v>928</v>
      </c>
      <c r="C29" s="181"/>
      <c r="D29" s="182">
        <v>0</v>
      </c>
      <c r="E29" s="182">
        <v>0</v>
      </c>
      <c r="F29" s="183" t="s">
        <v>1213</v>
      </c>
      <c r="G29" s="183">
        <v>0</v>
      </c>
      <c r="H29" s="183">
        <v>0</v>
      </c>
      <c r="I29" s="183">
        <v>0</v>
      </c>
      <c r="J29" s="183">
        <v>0</v>
      </c>
      <c r="K29" s="183" t="s">
        <v>1362</v>
      </c>
      <c r="L29" s="183">
        <v>0</v>
      </c>
      <c r="M29" s="183">
        <v>0</v>
      </c>
      <c r="N29" s="183" t="s">
        <v>881</v>
      </c>
      <c r="O29" s="183">
        <v>0</v>
      </c>
      <c r="P29" s="183">
        <v>0</v>
      </c>
      <c r="Q29" s="183"/>
      <c r="R29" s="183"/>
      <c r="S29" s="183"/>
      <c r="T29" s="183"/>
      <c r="U29" s="183"/>
      <c r="V29" s="183">
        <v>0</v>
      </c>
      <c r="W29" s="183">
        <v>0</v>
      </c>
      <c r="X29" s="183">
        <v>0</v>
      </c>
      <c r="Y29" s="184">
        <v>40.479999999999997</v>
      </c>
      <c r="Z29" s="184">
        <v>154.44999999999999</v>
      </c>
      <c r="AA29" s="184">
        <v>0</v>
      </c>
      <c r="AB29" s="185" t="s">
        <v>615</v>
      </c>
      <c r="AC29" s="185" t="s">
        <v>615</v>
      </c>
      <c r="AD29" s="186" t="s">
        <v>881</v>
      </c>
      <c r="AE29" s="186" t="s">
        <v>858</v>
      </c>
      <c r="AF29" s="187">
        <v>7</v>
      </c>
      <c r="AG29" s="187">
        <v>3</v>
      </c>
      <c r="AH29" s="187">
        <v>4</v>
      </c>
      <c r="AI29" s="188">
        <v>1</v>
      </c>
      <c r="AJ29" s="188" t="s">
        <v>617</v>
      </c>
      <c r="AK29" s="187" t="s">
        <v>1737</v>
      </c>
      <c r="AL29" s="87">
        <v>54</v>
      </c>
      <c r="AM29" s="189"/>
      <c r="AN29" s="187">
        <v>54</v>
      </c>
      <c r="AO29" s="13" t="s">
        <v>615</v>
      </c>
      <c r="AP29" s="187">
        <v>1.0900000000000001</v>
      </c>
      <c r="AQ29" s="187">
        <v>12</v>
      </c>
      <c r="AR29" s="190">
        <v>9.1743119266055047</v>
      </c>
      <c r="AS29" s="190">
        <v>0.2293577981651376</v>
      </c>
      <c r="AT29" s="190">
        <v>0</v>
      </c>
      <c r="AU29" s="187">
        <v>0</v>
      </c>
      <c r="AV29" s="187">
        <v>0</v>
      </c>
      <c r="AW29" s="191"/>
      <c r="AX29" s="192"/>
      <c r="AY29" s="193">
        <v>42666</v>
      </c>
      <c r="AZ29" s="193"/>
      <c r="BA29" s="193"/>
      <c r="BB29" s="194"/>
      <c r="BC29" s="194"/>
      <c r="BD29" s="195"/>
      <c r="BE29" s="195" t="s">
        <v>532</v>
      </c>
      <c r="BF29" s="195"/>
      <c r="BG29" s="195">
        <v>5</v>
      </c>
      <c r="BH29" s="196" t="s">
        <v>547</v>
      </c>
      <c r="BI29" s="197">
        <v>1</v>
      </c>
      <c r="BJ29" s="198"/>
      <c r="BK29" s="199">
        <v>40</v>
      </c>
      <c r="BL29" s="13">
        <v>27</v>
      </c>
      <c r="BM29" s="13">
        <v>13</v>
      </c>
      <c r="BN29" s="13" t="s">
        <v>622</v>
      </c>
      <c r="BO29" s="13" t="s">
        <v>622</v>
      </c>
      <c r="BP29" s="200">
        <v>30</v>
      </c>
      <c r="BQ29" s="201"/>
      <c r="BR29" s="202"/>
      <c r="BS29" s="187">
        <v>1000000000</v>
      </c>
      <c r="BT29" s="203">
        <v>1</v>
      </c>
      <c r="BU29" s="204">
        <v>0.98</v>
      </c>
      <c r="BV29" s="203">
        <v>0</v>
      </c>
      <c r="BW29" s="205">
        <v>0</v>
      </c>
      <c r="BX29" s="205">
        <v>0</v>
      </c>
      <c r="BY29" s="205">
        <v>0</v>
      </c>
      <c r="BZ29" s="203">
        <v>0</v>
      </c>
      <c r="CA29" s="203">
        <v>0</v>
      </c>
      <c r="CB29" s="203">
        <v>1</v>
      </c>
      <c r="CC29" s="204">
        <v>0.98</v>
      </c>
      <c r="CD29" s="203">
        <v>0</v>
      </c>
      <c r="CE29" s="203">
        <v>0</v>
      </c>
      <c r="CF29" s="13">
        <v>39</v>
      </c>
      <c r="CG29" s="206">
        <v>40</v>
      </c>
      <c r="CH29" s="207">
        <v>23</v>
      </c>
      <c r="CI29" s="201"/>
      <c r="CJ29" s="208"/>
      <c r="CK29" s="209" t="s">
        <v>615</v>
      </c>
      <c r="CL29" s="210" t="s">
        <v>615</v>
      </c>
      <c r="CM29" s="207">
        <v>1367.6399999999999</v>
      </c>
      <c r="CN29" s="207">
        <v>0</v>
      </c>
      <c r="CO29" s="204">
        <v>0</v>
      </c>
      <c r="CP29" s="204">
        <v>19.306041784302657</v>
      </c>
      <c r="CQ29" s="211"/>
      <c r="CR29" s="204">
        <v>1</v>
      </c>
      <c r="CS29" s="212">
        <v>42709</v>
      </c>
      <c r="CT29" s="212">
        <v>42780</v>
      </c>
      <c r="CU29" s="213">
        <v>42780</v>
      </c>
      <c r="CV29" s="214">
        <v>42829</v>
      </c>
      <c r="CW29" s="214" t="s">
        <v>615</v>
      </c>
      <c r="CX29" s="214" t="s">
        <v>615</v>
      </c>
      <c r="CY29" s="204">
        <v>0.5353659737726354</v>
      </c>
      <c r="CZ29" s="204">
        <v>0.97959183673469374</v>
      </c>
      <c r="DA29" s="203">
        <v>132</v>
      </c>
      <c r="DB29" s="204">
        <v>0</v>
      </c>
      <c r="DC29" s="204">
        <v>0.36734693877551022</v>
      </c>
      <c r="DD29" s="204">
        <v>0.55102040816326525</v>
      </c>
      <c r="DE29" s="204">
        <v>6.1224489795918366E-2</v>
      </c>
      <c r="DF29" s="215">
        <v>0</v>
      </c>
      <c r="DG29" s="13" t="s">
        <v>615</v>
      </c>
      <c r="DH29" s="86">
        <v>27</v>
      </c>
      <c r="DI29" s="86"/>
      <c r="DJ29" s="86">
        <v>252</v>
      </c>
      <c r="DK29" s="86" t="s">
        <v>1461</v>
      </c>
      <c r="DL29" s="86">
        <v>62</v>
      </c>
      <c r="DM29" s="86">
        <v>136</v>
      </c>
      <c r="DN29" s="86" t="e">
        <v>#N/A</v>
      </c>
      <c r="DO29" s="86">
        <v>423</v>
      </c>
      <c r="DP29" s="86">
        <v>5</v>
      </c>
      <c r="DQ29" s="86">
        <v>49</v>
      </c>
      <c r="DR29" s="162">
        <v>15</v>
      </c>
      <c r="DS29" s="162">
        <v>15</v>
      </c>
      <c r="DT29" s="162">
        <v>15</v>
      </c>
      <c r="DU29" s="162">
        <v>15</v>
      </c>
      <c r="DV29" s="162">
        <v>15</v>
      </c>
      <c r="DW29" s="162">
        <v>15</v>
      </c>
      <c r="DX29" s="162">
        <v>15</v>
      </c>
      <c r="DY29" s="162">
        <v>15</v>
      </c>
      <c r="DZ29" s="162">
        <v>15</v>
      </c>
      <c r="EA29" s="163">
        <v>15</v>
      </c>
      <c r="EB29" s="140">
        <v>8</v>
      </c>
      <c r="EC29" s="140">
        <v>8</v>
      </c>
      <c r="ED29" s="140">
        <v>8</v>
      </c>
      <c r="EE29" s="140">
        <v>8</v>
      </c>
      <c r="EF29" s="140">
        <v>8</v>
      </c>
      <c r="EG29" s="140">
        <v>8</v>
      </c>
      <c r="EH29" s="140">
        <v>8</v>
      </c>
      <c r="EI29" s="140">
        <v>8</v>
      </c>
      <c r="EJ29" s="140">
        <v>8</v>
      </c>
      <c r="EK29" s="140">
        <v>8</v>
      </c>
      <c r="EL29" s="140">
        <v>8</v>
      </c>
      <c r="EM29" s="140">
        <v>8</v>
      </c>
      <c r="EN29" s="140">
        <v>8</v>
      </c>
      <c r="EO29" s="140">
        <v>8</v>
      </c>
      <c r="EP29" s="140">
        <v>8</v>
      </c>
      <c r="EQ29" s="140">
        <v>8</v>
      </c>
      <c r="ER29" s="140">
        <v>8</v>
      </c>
      <c r="ES29" s="140">
        <v>8</v>
      </c>
      <c r="ET29" s="140">
        <v>8</v>
      </c>
      <c r="EU29" s="140">
        <v>8</v>
      </c>
      <c r="EV29" s="140">
        <v>8</v>
      </c>
      <c r="EW29" s="140">
        <v>3</v>
      </c>
      <c r="EX29" s="140">
        <v>3</v>
      </c>
      <c r="EY29" s="140">
        <v>3</v>
      </c>
      <c r="EZ29" s="140">
        <v>3</v>
      </c>
      <c r="FA29" s="140">
        <v>3</v>
      </c>
      <c r="FB29" s="140">
        <v>1</v>
      </c>
      <c r="FC29" s="140">
        <v>1</v>
      </c>
      <c r="FD29" s="140">
        <v>1</v>
      </c>
      <c r="FE29" s="140">
        <v>1</v>
      </c>
      <c r="FF29" s="140">
        <v>1</v>
      </c>
      <c r="FG29" s="140">
        <v>1</v>
      </c>
      <c r="FH29" s="140">
        <v>1</v>
      </c>
      <c r="FI29" s="140">
        <v>1</v>
      </c>
      <c r="FJ29" s="140">
        <v>1</v>
      </c>
      <c r="FK29" s="140">
        <v>1</v>
      </c>
      <c r="FL29" s="140">
        <v>1</v>
      </c>
      <c r="FM29" s="140">
        <v>1</v>
      </c>
      <c r="FN29" s="140">
        <v>1</v>
      </c>
      <c r="FO29" s="140">
        <v>1</v>
      </c>
      <c r="FP29" s="140">
        <v>1</v>
      </c>
      <c r="FQ29" s="140">
        <v>1</v>
      </c>
      <c r="FR29" s="140">
        <v>1</v>
      </c>
      <c r="FS29" s="140">
        <v>1</v>
      </c>
      <c r="FT29" s="140">
        <v>1</v>
      </c>
      <c r="FU29" s="162">
        <v>29</v>
      </c>
      <c r="FV29" s="162">
        <v>29</v>
      </c>
      <c r="FW29" s="162">
        <v>29</v>
      </c>
      <c r="FX29" s="162">
        <v>29</v>
      </c>
      <c r="FY29" s="162">
        <v>29</v>
      </c>
      <c r="FZ29" s="162">
        <v>29</v>
      </c>
      <c r="GA29" s="162">
        <v>29</v>
      </c>
      <c r="GB29" s="162">
        <v>29</v>
      </c>
      <c r="GC29" s="162">
        <v>21</v>
      </c>
      <c r="GD29" s="162">
        <v>21</v>
      </c>
      <c r="GE29" s="162">
        <v>21</v>
      </c>
      <c r="GF29" s="162">
        <v>21</v>
      </c>
      <c r="GG29" s="162">
        <v>21</v>
      </c>
      <c r="GH29" s="162">
        <v>21</v>
      </c>
      <c r="GI29" s="162">
        <v>21</v>
      </c>
      <c r="GJ29" s="163">
        <v>15</v>
      </c>
      <c r="GK29" s="163">
        <v>15</v>
      </c>
      <c r="GL29" s="163">
        <v>15</v>
      </c>
      <c r="GM29" s="163">
        <v>15</v>
      </c>
      <c r="GN29" s="163">
        <v>15</v>
      </c>
      <c r="GO29" s="163">
        <v>15</v>
      </c>
      <c r="GP29" s="163">
        <v>15</v>
      </c>
      <c r="GQ29" s="163">
        <v>15</v>
      </c>
      <c r="GR29" s="163">
        <v>15</v>
      </c>
      <c r="GS29" s="163">
        <v>15</v>
      </c>
      <c r="GT29" s="163">
        <v>15</v>
      </c>
      <c r="GU29" s="163">
        <v>15</v>
      </c>
      <c r="GV29" s="163">
        <v>15</v>
      </c>
      <c r="GW29" s="163">
        <v>15</v>
      </c>
      <c r="GX29" s="163">
        <v>15</v>
      </c>
      <c r="GY29" s="163">
        <v>15</v>
      </c>
      <c r="GZ29" s="163">
        <v>15</v>
      </c>
      <c r="HA29" s="163">
        <v>15</v>
      </c>
      <c r="HB29" s="163">
        <v>15</v>
      </c>
      <c r="HC29" s="163">
        <v>15</v>
      </c>
      <c r="HD29" s="140">
        <v>5</v>
      </c>
      <c r="HE29" s="140">
        <v>5</v>
      </c>
      <c r="HF29" s="140">
        <v>5</v>
      </c>
      <c r="HG29" s="140">
        <v>5</v>
      </c>
      <c r="HH29" s="140">
        <v>5</v>
      </c>
      <c r="HI29" s="140">
        <v>5</v>
      </c>
      <c r="HJ29" s="140">
        <v>5</v>
      </c>
      <c r="HK29" s="140">
        <v>5</v>
      </c>
      <c r="HL29" s="140">
        <v>5</v>
      </c>
      <c r="HM29" s="140">
        <v>5</v>
      </c>
      <c r="HN29" s="140">
        <v>5</v>
      </c>
      <c r="HO29" s="140">
        <v>9</v>
      </c>
      <c r="HP29" s="140">
        <v>9</v>
      </c>
      <c r="HQ29" s="140">
        <v>9</v>
      </c>
      <c r="HR29" s="140">
        <v>9</v>
      </c>
      <c r="HS29" s="140">
        <v>9</v>
      </c>
      <c r="HT29" s="140">
        <v>1</v>
      </c>
      <c r="HU29" s="151"/>
      <c r="HV29" s="140">
        <v>1</v>
      </c>
      <c r="HW29" s="151"/>
      <c r="HX29" s="151"/>
      <c r="HY29" s="151"/>
      <c r="HZ29" s="151"/>
      <c r="IA29" s="151"/>
      <c r="IB29" s="151"/>
      <c r="IC29" s="151"/>
      <c r="ID29" s="151"/>
      <c r="IE29" s="151"/>
      <c r="IF29" s="151"/>
      <c r="IG29" s="151"/>
      <c r="IH29" s="151"/>
      <c r="II29" s="151"/>
      <c r="IJ29" s="151"/>
      <c r="IK29" s="151"/>
      <c r="IL29" s="151"/>
      <c r="IM29" s="151"/>
      <c r="IN29" s="151"/>
      <c r="IO29" s="151"/>
      <c r="IP29" s="151"/>
      <c r="IQ29" s="151"/>
      <c r="IR29" s="151"/>
      <c r="IS29" s="151"/>
      <c r="IT29" s="151"/>
      <c r="IU29" s="151"/>
      <c r="IV29" s="151"/>
      <c r="IW29" s="151"/>
      <c r="IX29" s="151"/>
      <c r="IY29" s="151"/>
      <c r="IZ29" s="151"/>
      <c r="JA29" s="151"/>
      <c r="JB29" s="151"/>
      <c r="JC29" s="151"/>
      <c r="JD29" s="151"/>
      <c r="JE29" s="151"/>
      <c r="JF29" s="151"/>
      <c r="JG29" s="151"/>
      <c r="JH29" s="151"/>
      <c r="JI29" s="151"/>
      <c r="JJ29" s="151"/>
      <c r="JK29" s="151"/>
      <c r="JL29" s="151"/>
      <c r="JM29" s="151"/>
      <c r="JN29" s="151"/>
      <c r="JO29" s="151"/>
      <c r="JP29" s="151"/>
      <c r="JQ29" s="151"/>
      <c r="JR29" s="151"/>
      <c r="JS29" s="151"/>
      <c r="JT29" s="151"/>
      <c r="JU29" s="151"/>
      <c r="JV29" s="151"/>
      <c r="JW29" s="151"/>
      <c r="JX29" s="151"/>
      <c r="JY29" s="151"/>
      <c r="JZ29" s="151"/>
      <c r="KA29" s="151"/>
      <c r="KB29" s="151"/>
      <c r="KC29" s="151"/>
      <c r="KD29" s="151"/>
      <c r="KE29" s="151"/>
      <c r="KF29" s="151"/>
      <c r="KG29" s="151"/>
      <c r="KH29" s="151"/>
      <c r="KI29" s="151"/>
      <c r="KJ29" s="151"/>
      <c r="KK29" s="151"/>
      <c r="KL29" s="151"/>
      <c r="KM29" s="151"/>
      <c r="KN29" s="151"/>
      <c r="KO29" s="151"/>
      <c r="KP29" s="151"/>
      <c r="KQ29" s="151"/>
      <c r="KR29" s="151"/>
      <c r="KS29" s="151"/>
      <c r="KT29" s="151"/>
      <c r="KU29" s="151"/>
      <c r="KV29" s="151"/>
      <c r="KW29" s="151"/>
      <c r="KX29" s="151"/>
      <c r="KY29" s="151"/>
      <c r="KZ29" s="151"/>
      <c r="LA29" s="151"/>
      <c r="LB29" s="151"/>
      <c r="LC29" s="151"/>
      <c r="LD29" s="151"/>
      <c r="LE29" s="151"/>
    </row>
    <row r="30" spans="1:317" x14ac:dyDescent="0.2">
      <c r="A30" s="179" t="s">
        <v>849</v>
      </c>
      <c r="B30" s="180" t="s">
        <v>929</v>
      </c>
      <c r="C30" s="181"/>
      <c r="D30" s="182">
        <v>0</v>
      </c>
      <c r="E30" s="182">
        <v>0</v>
      </c>
      <c r="F30" s="183" t="s">
        <v>1214</v>
      </c>
      <c r="G30" s="183">
        <v>0</v>
      </c>
      <c r="H30" s="183">
        <v>0</v>
      </c>
      <c r="I30" s="183">
        <v>0</v>
      </c>
      <c r="J30" s="183">
        <v>0</v>
      </c>
      <c r="K30" s="183" t="s">
        <v>1362</v>
      </c>
      <c r="L30" s="183">
        <v>0</v>
      </c>
      <c r="M30" s="183">
        <v>0</v>
      </c>
      <c r="N30" s="183" t="s">
        <v>881</v>
      </c>
      <c r="O30" s="183">
        <v>0</v>
      </c>
      <c r="P30" s="183">
        <v>0</v>
      </c>
      <c r="Q30" s="183"/>
      <c r="R30" s="183"/>
      <c r="S30" s="183"/>
      <c r="T30" s="183"/>
      <c r="U30" s="183"/>
      <c r="V30" s="183">
        <v>0</v>
      </c>
      <c r="W30" s="183">
        <v>0</v>
      </c>
      <c r="X30" s="183">
        <v>0</v>
      </c>
      <c r="Y30" s="184">
        <v>68.150000000000006</v>
      </c>
      <c r="Z30" s="184">
        <v>161.79</v>
      </c>
      <c r="AA30" s="184">
        <v>0</v>
      </c>
      <c r="AB30" s="185" t="s">
        <v>615</v>
      </c>
      <c r="AC30" s="185" t="s">
        <v>615</v>
      </c>
      <c r="AD30" s="186" t="s">
        <v>881</v>
      </c>
      <c r="AE30" s="186" t="s">
        <v>858</v>
      </c>
      <c r="AF30" s="187">
        <v>7</v>
      </c>
      <c r="AG30" s="187">
        <v>3</v>
      </c>
      <c r="AH30" s="187">
        <v>4</v>
      </c>
      <c r="AI30" s="188">
        <v>1</v>
      </c>
      <c r="AJ30" s="188" t="s">
        <v>617</v>
      </c>
      <c r="AK30" s="187" t="s">
        <v>1737</v>
      </c>
      <c r="AL30" s="87">
        <v>16</v>
      </c>
      <c r="AM30" s="189"/>
      <c r="AN30" s="187" t="s">
        <v>615</v>
      </c>
      <c r="AO30" s="13" t="s">
        <v>615</v>
      </c>
      <c r="AP30" s="187">
        <v>0</v>
      </c>
      <c r="AQ30" s="187">
        <v>0</v>
      </c>
      <c r="AR30" s="190">
        <v>0</v>
      </c>
      <c r="AS30" s="190">
        <v>0</v>
      </c>
      <c r="AT30" s="190">
        <v>0</v>
      </c>
      <c r="AU30" s="187">
        <v>12</v>
      </c>
      <c r="AV30" s="187">
        <v>0</v>
      </c>
      <c r="AW30" s="191"/>
      <c r="AX30" s="192"/>
      <c r="AY30" s="193">
        <v>42666</v>
      </c>
      <c r="AZ30" s="193"/>
      <c r="BA30" s="193">
        <v>42853</v>
      </c>
      <c r="BB30" s="194"/>
      <c r="BC30" s="194"/>
      <c r="BD30" s="195"/>
      <c r="BE30" s="195" t="s">
        <v>532</v>
      </c>
      <c r="BF30" s="195"/>
      <c r="BG30" s="195">
        <v>3</v>
      </c>
      <c r="BH30" s="196" t="s">
        <v>547</v>
      </c>
      <c r="BI30" s="197">
        <v>1</v>
      </c>
      <c r="BJ30" s="198"/>
      <c r="BK30" s="199">
        <v>12</v>
      </c>
      <c r="BL30" s="13">
        <v>8</v>
      </c>
      <c r="BM30" s="13">
        <v>4</v>
      </c>
      <c r="BN30" s="13" t="s">
        <v>621</v>
      </c>
      <c r="BO30" s="13" t="s">
        <v>621</v>
      </c>
      <c r="BP30" s="200">
        <v>0</v>
      </c>
      <c r="BQ30" s="201"/>
      <c r="BR30" s="202"/>
      <c r="BS30" s="187">
        <v>1000000000</v>
      </c>
      <c r="BT30" s="203">
        <v>0</v>
      </c>
      <c r="BU30" s="204">
        <v>1</v>
      </c>
      <c r="BV30" s="203">
        <v>0</v>
      </c>
      <c r="BW30" s="205">
        <v>0</v>
      </c>
      <c r="BX30" s="205">
        <v>0</v>
      </c>
      <c r="BY30" s="205">
        <v>0</v>
      </c>
      <c r="BZ30" s="203">
        <v>0</v>
      </c>
      <c r="CA30" s="203">
        <v>0</v>
      </c>
      <c r="CB30" s="203">
        <v>0</v>
      </c>
      <c r="CC30" s="204">
        <v>1</v>
      </c>
      <c r="CD30" s="203">
        <v>0</v>
      </c>
      <c r="CE30" s="203">
        <v>0</v>
      </c>
      <c r="CF30" s="13">
        <v>12</v>
      </c>
      <c r="CG30" s="206">
        <v>12</v>
      </c>
      <c r="CH30" s="207">
        <v>7</v>
      </c>
      <c r="CI30" s="201"/>
      <c r="CJ30" s="208"/>
      <c r="CK30" s="209" t="s">
        <v>615</v>
      </c>
      <c r="CL30" s="210" t="s">
        <v>615</v>
      </c>
      <c r="CM30" s="207">
        <v>374.55999999999995</v>
      </c>
      <c r="CN30" s="207">
        <v>0</v>
      </c>
      <c r="CO30" s="204">
        <v>0</v>
      </c>
      <c r="CP30" s="204">
        <v>9.4219054606435364</v>
      </c>
      <c r="CQ30" s="211"/>
      <c r="CR30" s="204">
        <v>1</v>
      </c>
      <c r="CS30" s="212">
        <v>42709</v>
      </c>
      <c r="CT30" s="212">
        <v>42780</v>
      </c>
      <c r="CU30" s="213">
        <v>42780</v>
      </c>
      <c r="CV30" s="214">
        <v>42829</v>
      </c>
      <c r="CW30" s="214" t="s">
        <v>615</v>
      </c>
      <c r="CX30" s="214" t="s">
        <v>615</v>
      </c>
      <c r="CY30" s="204">
        <v>0.61933435036193762</v>
      </c>
      <c r="CZ30" s="204">
        <v>0.97959183673469374</v>
      </c>
      <c r="DA30" s="203">
        <v>48</v>
      </c>
      <c r="DB30" s="204">
        <v>0.24489795918367346</v>
      </c>
      <c r="DC30" s="204">
        <v>0</v>
      </c>
      <c r="DD30" s="204">
        <v>0.67346938775510201</v>
      </c>
      <c r="DE30" s="204">
        <v>6.1224489795918366E-2</v>
      </c>
      <c r="DF30" s="215">
        <v>0</v>
      </c>
      <c r="DG30" s="13" t="s">
        <v>615</v>
      </c>
      <c r="DH30" s="86">
        <v>28</v>
      </c>
      <c r="DI30" s="86"/>
      <c r="DJ30" s="86">
        <v>251</v>
      </c>
      <c r="DK30" s="86" t="s">
        <v>1708</v>
      </c>
      <c r="DL30" s="86" t="e">
        <v>#N/A</v>
      </c>
      <c r="DM30" s="86" t="e">
        <v>#N/A</v>
      </c>
      <c r="DN30" s="86" t="e">
        <v>#N/A</v>
      </c>
      <c r="DO30" s="86">
        <v>422</v>
      </c>
      <c r="DP30" s="86">
        <v>5</v>
      </c>
      <c r="DQ30" s="86">
        <v>49</v>
      </c>
      <c r="DR30" s="152">
        <v>0</v>
      </c>
      <c r="DS30" s="152">
        <v>0</v>
      </c>
      <c r="DT30" s="152">
        <v>0</v>
      </c>
      <c r="DU30" s="152">
        <v>0</v>
      </c>
      <c r="DV30" s="152">
        <v>0</v>
      </c>
      <c r="DW30" s="152">
        <v>0</v>
      </c>
      <c r="DX30" s="152">
        <v>0</v>
      </c>
      <c r="DY30" s="152">
        <v>0</v>
      </c>
      <c r="DZ30" s="152">
        <v>0</v>
      </c>
      <c r="EA30" s="166">
        <v>0</v>
      </c>
      <c r="EB30" s="166">
        <v>0</v>
      </c>
      <c r="EC30" s="166">
        <v>0</v>
      </c>
      <c r="ED30" s="166">
        <v>0</v>
      </c>
      <c r="EE30" s="166">
        <v>0</v>
      </c>
      <c r="EF30" s="166">
        <v>0</v>
      </c>
      <c r="EG30" s="166">
        <v>0</v>
      </c>
      <c r="EH30" s="166">
        <v>0</v>
      </c>
      <c r="EI30" s="166">
        <v>0</v>
      </c>
      <c r="EJ30" s="166">
        <v>0</v>
      </c>
      <c r="EK30" s="166">
        <v>0</v>
      </c>
      <c r="EL30" s="166">
        <v>0</v>
      </c>
      <c r="EM30" s="166">
        <v>0</v>
      </c>
      <c r="EN30" s="166">
        <v>0</v>
      </c>
      <c r="EO30" s="166">
        <v>0</v>
      </c>
      <c r="EP30" s="166">
        <v>0</v>
      </c>
      <c r="EQ30" s="166">
        <v>0</v>
      </c>
      <c r="ER30" s="166">
        <v>0</v>
      </c>
      <c r="ES30" s="166">
        <v>0</v>
      </c>
      <c r="ET30" s="166">
        <v>0</v>
      </c>
      <c r="EU30" s="166">
        <v>0</v>
      </c>
      <c r="EV30" s="166">
        <v>0</v>
      </c>
      <c r="EW30" s="166">
        <v>0</v>
      </c>
      <c r="EX30" s="166">
        <v>0</v>
      </c>
      <c r="EY30" s="166">
        <v>0</v>
      </c>
      <c r="EZ30" s="166">
        <v>0</v>
      </c>
      <c r="FA30" s="166">
        <v>0</v>
      </c>
      <c r="FB30" s="166">
        <v>0</v>
      </c>
      <c r="FC30" s="166">
        <v>0</v>
      </c>
      <c r="FD30" s="166">
        <v>0</v>
      </c>
      <c r="FE30" s="166">
        <v>0</v>
      </c>
      <c r="FF30" s="166">
        <v>0</v>
      </c>
      <c r="FG30" s="166">
        <v>0</v>
      </c>
      <c r="FH30" s="166">
        <v>0</v>
      </c>
      <c r="FI30" s="166">
        <v>0</v>
      </c>
      <c r="FJ30" s="166">
        <v>0</v>
      </c>
      <c r="FK30" s="166">
        <v>0</v>
      </c>
      <c r="FL30" s="166">
        <v>0</v>
      </c>
      <c r="FM30" s="166">
        <v>0</v>
      </c>
      <c r="FN30" s="166">
        <v>0</v>
      </c>
      <c r="FO30" s="166">
        <v>0</v>
      </c>
      <c r="FP30" s="166">
        <v>0</v>
      </c>
      <c r="FQ30" s="166">
        <v>0</v>
      </c>
      <c r="FR30" s="166">
        <v>0</v>
      </c>
      <c r="FS30" s="166">
        <v>0</v>
      </c>
      <c r="FT30" s="166">
        <v>0</v>
      </c>
      <c r="FU30" s="164">
        <v>10</v>
      </c>
      <c r="FV30" s="164">
        <v>10</v>
      </c>
      <c r="FW30" s="164">
        <v>10</v>
      </c>
      <c r="FX30" s="164">
        <v>10</v>
      </c>
      <c r="FY30" s="164">
        <v>10</v>
      </c>
      <c r="FZ30" s="164">
        <v>10</v>
      </c>
      <c r="GA30" s="164">
        <v>10</v>
      </c>
      <c r="GB30" s="164">
        <v>10</v>
      </c>
      <c r="GC30" s="168">
        <v>8</v>
      </c>
      <c r="GD30" s="168">
        <v>8</v>
      </c>
      <c r="GE30" s="168">
        <v>8</v>
      </c>
      <c r="GF30" s="168">
        <v>8</v>
      </c>
      <c r="GG30" s="168">
        <v>8</v>
      </c>
      <c r="GH30" s="168">
        <v>8</v>
      </c>
      <c r="GI30" s="168">
        <v>8</v>
      </c>
      <c r="GJ30" s="168">
        <v>8</v>
      </c>
      <c r="GK30" s="168">
        <v>8</v>
      </c>
      <c r="GL30" s="168">
        <v>8</v>
      </c>
      <c r="GM30" s="168">
        <v>8</v>
      </c>
      <c r="GN30" s="168">
        <v>8</v>
      </c>
      <c r="GO30" s="168">
        <v>8</v>
      </c>
      <c r="GP30" s="168">
        <v>8</v>
      </c>
      <c r="GQ30" s="168">
        <v>8</v>
      </c>
      <c r="GR30" s="168">
        <v>8</v>
      </c>
      <c r="GS30" s="168">
        <v>8</v>
      </c>
      <c r="GT30" s="168">
        <v>8</v>
      </c>
      <c r="GU30" s="168">
        <v>8</v>
      </c>
      <c r="GV30" s="168">
        <v>8</v>
      </c>
      <c r="GW30" s="168">
        <v>8</v>
      </c>
      <c r="GX30" s="166">
        <v>0</v>
      </c>
      <c r="GY30" s="166">
        <v>0</v>
      </c>
      <c r="GZ30" s="166">
        <v>0</v>
      </c>
      <c r="HA30" s="166">
        <v>0</v>
      </c>
      <c r="HB30" s="166">
        <v>0</v>
      </c>
      <c r="HC30" s="166">
        <v>0</v>
      </c>
      <c r="HD30" s="166">
        <v>0</v>
      </c>
      <c r="HE30" s="166">
        <v>0</v>
      </c>
      <c r="HF30" s="166">
        <v>0</v>
      </c>
      <c r="HG30" s="166">
        <v>0</v>
      </c>
      <c r="HH30" s="168">
        <v>6</v>
      </c>
      <c r="HI30" s="168">
        <v>6</v>
      </c>
      <c r="HJ30" s="168">
        <v>6</v>
      </c>
      <c r="HK30" s="168">
        <v>6</v>
      </c>
      <c r="HL30" s="168">
        <v>6</v>
      </c>
      <c r="HM30" s="168">
        <v>6</v>
      </c>
      <c r="HN30" s="168">
        <v>6</v>
      </c>
      <c r="HO30" s="168">
        <v>6</v>
      </c>
      <c r="HP30" s="168">
        <v>5</v>
      </c>
      <c r="HQ30" s="168">
        <v>5</v>
      </c>
      <c r="HR30" s="168">
        <v>5</v>
      </c>
      <c r="HS30" s="168">
        <v>6</v>
      </c>
      <c r="HT30" s="166">
        <v>0</v>
      </c>
      <c r="HU30" s="216"/>
      <c r="HV30" s="166">
        <v>0</v>
      </c>
      <c r="HW30" s="216"/>
      <c r="HX30" s="216"/>
      <c r="HY30" s="216"/>
      <c r="HZ30" s="216"/>
      <c r="IA30" s="216"/>
      <c r="IB30" s="216"/>
      <c r="IC30" s="216"/>
      <c r="ID30" s="216"/>
      <c r="IE30" s="216"/>
      <c r="IF30" s="216"/>
      <c r="IG30" s="216"/>
      <c r="IH30" s="216"/>
      <c r="II30" s="216"/>
      <c r="IJ30" s="216"/>
      <c r="IK30" s="216"/>
      <c r="IL30" s="216"/>
      <c r="IM30" s="216"/>
      <c r="IN30" s="216"/>
      <c r="IO30" s="216"/>
      <c r="IP30" s="216"/>
      <c r="IQ30" s="216"/>
      <c r="IR30" s="216"/>
      <c r="IS30" s="216"/>
      <c r="IT30" s="216"/>
      <c r="IU30" s="216"/>
      <c r="IV30" s="216"/>
      <c r="IW30" s="216"/>
      <c r="IX30" s="216"/>
      <c r="IY30" s="216"/>
      <c r="IZ30" s="216"/>
      <c r="JA30" s="216"/>
      <c r="JB30" s="216"/>
      <c r="JC30" s="216"/>
      <c r="JD30" s="216"/>
      <c r="JE30" s="216"/>
      <c r="JF30" s="216"/>
      <c r="JG30" s="216"/>
      <c r="JH30" s="216"/>
      <c r="JI30" s="216"/>
      <c r="JJ30" s="216"/>
      <c r="JK30" s="216"/>
      <c r="JL30" s="216"/>
      <c r="JM30" s="216"/>
      <c r="JN30" s="216"/>
      <c r="JO30" s="216"/>
      <c r="JP30" s="216"/>
      <c r="JQ30" s="216"/>
      <c r="JR30" s="216"/>
      <c r="JS30" s="216"/>
      <c r="JT30" s="216"/>
      <c r="JU30" s="216"/>
      <c r="JV30" s="216"/>
      <c r="JW30" s="216"/>
      <c r="JX30" s="216"/>
      <c r="JY30" s="216"/>
      <c r="JZ30" s="216"/>
      <c r="KA30" s="216"/>
      <c r="KB30" s="216"/>
      <c r="KC30" s="216"/>
      <c r="KD30" s="216"/>
      <c r="KE30" s="216"/>
      <c r="KF30" s="216"/>
      <c r="KG30" s="216"/>
      <c r="KH30" s="216"/>
      <c r="KI30" s="216"/>
      <c r="KJ30" s="216"/>
      <c r="KK30" s="216"/>
      <c r="KL30" s="216"/>
      <c r="KM30" s="216"/>
      <c r="KN30" s="216"/>
      <c r="KO30" s="216"/>
      <c r="KP30" s="216"/>
      <c r="KQ30" s="216"/>
      <c r="KR30" s="216"/>
      <c r="KS30" s="216"/>
      <c r="KT30" s="216"/>
      <c r="KU30" s="216"/>
      <c r="KV30" s="216"/>
      <c r="KW30" s="216"/>
      <c r="KX30" s="216"/>
      <c r="KY30" s="216"/>
      <c r="KZ30" s="216"/>
      <c r="LA30" s="216"/>
      <c r="LB30" s="216"/>
      <c r="LC30" s="216"/>
      <c r="LD30" s="216"/>
      <c r="LE30" s="216"/>
    </row>
    <row r="31" spans="1:317" x14ac:dyDescent="0.2">
      <c r="A31" s="179" t="s">
        <v>849</v>
      </c>
      <c r="B31" s="180" t="s">
        <v>930</v>
      </c>
      <c r="C31" s="181"/>
      <c r="D31" s="182">
        <v>0</v>
      </c>
      <c r="E31" s="182">
        <v>0</v>
      </c>
      <c r="F31" s="183" t="s">
        <v>1215</v>
      </c>
      <c r="G31" s="183">
        <v>0</v>
      </c>
      <c r="H31" s="183">
        <v>0</v>
      </c>
      <c r="I31" s="183">
        <v>0</v>
      </c>
      <c r="J31" s="183">
        <v>0</v>
      </c>
      <c r="K31" s="183" t="s">
        <v>1362</v>
      </c>
      <c r="L31" s="183">
        <v>0</v>
      </c>
      <c r="M31" s="183">
        <v>0</v>
      </c>
      <c r="N31" s="183" t="s">
        <v>881</v>
      </c>
      <c r="O31" s="183">
        <v>0</v>
      </c>
      <c r="P31" s="183">
        <v>0</v>
      </c>
      <c r="Q31" s="183"/>
      <c r="R31" s="183"/>
      <c r="S31" s="183"/>
      <c r="T31" s="183"/>
      <c r="U31" s="183"/>
      <c r="V31" s="183">
        <v>0</v>
      </c>
      <c r="W31" s="183">
        <v>0</v>
      </c>
      <c r="X31" s="183">
        <v>0</v>
      </c>
      <c r="Y31" s="184">
        <v>13.25</v>
      </c>
      <c r="Z31" s="184">
        <v>146.72999999999999</v>
      </c>
      <c r="AA31" s="184">
        <v>0</v>
      </c>
      <c r="AB31" s="185" t="s">
        <v>615</v>
      </c>
      <c r="AC31" s="185" t="s">
        <v>615</v>
      </c>
      <c r="AD31" s="186" t="s">
        <v>881</v>
      </c>
      <c r="AE31" s="186" t="s">
        <v>858</v>
      </c>
      <c r="AF31" s="187">
        <v>7</v>
      </c>
      <c r="AG31" s="187">
        <v>3</v>
      </c>
      <c r="AH31" s="187">
        <v>4</v>
      </c>
      <c r="AI31" s="188">
        <v>1</v>
      </c>
      <c r="AJ31" s="188" t="s">
        <v>615</v>
      </c>
      <c r="AK31" s="187" t="s">
        <v>1733</v>
      </c>
      <c r="AL31" s="87" t="s">
        <v>615</v>
      </c>
      <c r="AM31" s="189"/>
      <c r="AN31" s="187" t="s">
        <v>615</v>
      </c>
      <c r="AO31" s="13" t="s">
        <v>615</v>
      </c>
      <c r="AP31" s="187">
        <v>0</v>
      </c>
      <c r="AQ31" s="187">
        <v>0</v>
      </c>
      <c r="AR31" s="190">
        <v>0</v>
      </c>
      <c r="AS31" s="190">
        <v>0</v>
      </c>
      <c r="AT31" s="190">
        <v>0</v>
      </c>
      <c r="AU31" s="187">
        <v>0</v>
      </c>
      <c r="AV31" s="187">
        <v>0</v>
      </c>
      <c r="AW31" s="191"/>
      <c r="AX31" s="192"/>
      <c r="AY31" s="193">
        <v>42666</v>
      </c>
      <c r="AZ31" s="193"/>
      <c r="BA31" s="193"/>
      <c r="BB31" s="194"/>
      <c r="BC31" s="194"/>
      <c r="BD31" s="195"/>
      <c r="BE31" s="195" t="s">
        <v>532</v>
      </c>
      <c r="BF31" s="195"/>
      <c r="BG31" s="195">
        <v>6</v>
      </c>
      <c r="BH31" s="196" t="s">
        <v>547</v>
      </c>
      <c r="BI31" s="197">
        <v>1</v>
      </c>
      <c r="BJ31" s="198"/>
      <c r="BK31" s="199">
        <v>0</v>
      </c>
      <c r="BL31" s="13">
        <v>0</v>
      </c>
      <c r="BM31" s="13">
        <v>0</v>
      </c>
      <c r="BN31" s="13" t="s">
        <v>616</v>
      </c>
      <c r="BO31" s="13" t="s">
        <v>616</v>
      </c>
      <c r="BP31" s="200">
        <v>0</v>
      </c>
      <c r="BQ31" s="201"/>
      <c r="BR31" s="202"/>
      <c r="BS31" s="187">
        <v>1000000000</v>
      </c>
      <c r="BT31" s="203">
        <v>0</v>
      </c>
      <c r="BU31" s="204">
        <v>0</v>
      </c>
      <c r="BV31" s="203">
        <v>0</v>
      </c>
      <c r="BW31" s="205">
        <v>0</v>
      </c>
      <c r="BX31" s="205">
        <v>0</v>
      </c>
      <c r="BY31" s="205">
        <v>0</v>
      </c>
      <c r="BZ31" s="203">
        <v>0</v>
      </c>
      <c r="CA31" s="203">
        <v>0</v>
      </c>
      <c r="CB31" s="203">
        <v>0</v>
      </c>
      <c r="CC31" s="204">
        <v>0</v>
      </c>
      <c r="CD31" s="203">
        <v>0</v>
      </c>
      <c r="CE31" s="203">
        <v>0</v>
      </c>
      <c r="CF31" s="13">
        <v>0</v>
      </c>
      <c r="CG31" s="206">
        <v>0</v>
      </c>
      <c r="CH31" s="207">
        <v>0</v>
      </c>
      <c r="CI31" s="201"/>
      <c r="CJ31" s="208"/>
      <c r="CK31" s="209" t="s">
        <v>615</v>
      </c>
      <c r="CL31" s="210" t="s">
        <v>615</v>
      </c>
      <c r="CM31" s="207">
        <v>0</v>
      </c>
      <c r="CN31" s="207">
        <v>0</v>
      </c>
      <c r="CO31" s="204">
        <v>0</v>
      </c>
      <c r="CP31" s="204">
        <v>0</v>
      </c>
      <c r="CQ31" s="211"/>
      <c r="CR31" s="204">
        <v>1</v>
      </c>
      <c r="CS31" s="212">
        <v>42592</v>
      </c>
      <c r="CT31" s="212">
        <v>42780</v>
      </c>
      <c r="CU31" s="213">
        <v>42780</v>
      </c>
      <c r="CV31" s="214">
        <v>42829</v>
      </c>
      <c r="CW31" s="214" t="s">
        <v>615</v>
      </c>
      <c r="CX31" s="214" t="s">
        <v>615</v>
      </c>
      <c r="CY31" s="204">
        <v>0.58345996599157823</v>
      </c>
      <c r="CZ31" s="204">
        <v>0.97959183673469385</v>
      </c>
      <c r="DA31" s="203">
        <v>0</v>
      </c>
      <c r="DB31" s="204">
        <v>0.24489795918367346</v>
      </c>
      <c r="DC31" s="204">
        <v>0</v>
      </c>
      <c r="DD31" s="204">
        <v>0</v>
      </c>
      <c r="DE31" s="204">
        <v>0</v>
      </c>
      <c r="DF31" s="215">
        <v>0.73469387755102045</v>
      </c>
      <c r="DG31" s="13" t="s">
        <v>615</v>
      </c>
      <c r="DH31" s="86">
        <v>29</v>
      </c>
      <c r="DI31" s="86"/>
      <c r="DJ31" s="86">
        <v>250</v>
      </c>
      <c r="DK31" s="86" t="s">
        <v>1707</v>
      </c>
      <c r="DL31" s="86" t="e">
        <v>#N/A</v>
      </c>
      <c r="DM31" s="86" t="e">
        <v>#N/A</v>
      </c>
      <c r="DN31" s="86" t="e">
        <v>#N/A</v>
      </c>
      <c r="DO31" s="86">
        <v>420</v>
      </c>
      <c r="DP31" s="86">
        <v>5</v>
      </c>
      <c r="DQ31" s="86">
        <v>49</v>
      </c>
      <c r="DR31" s="146">
        <v>0</v>
      </c>
      <c r="DS31" s="146">
        <v>0</v>
      </c>
      <c r="DT31" s="146">
        <v>0</v>
      </c>
      <c r="DU31" s="146">
        <v>0</v>
      </c>
      <c r="DV31" s="146">
        <v>0</v>
      </c>
      <c r="DW31" s="146">
        <v>0</v>
      </c>
      <c r="DX31" s="146">
        <v>0</v>
      </c>
      <c r="DY31" s="146">
        <v>0</v>
      </c>
      <c r="DZ31" s="146">
        <v>0</v>
      </c>
      <c r="EA31" s="146">
        <v>0</v>
      </c>
      <c r="EB31" s="146">
        <v>0</v>
      </c>
      <c r="EC31" s="146">
        <v>0</v>
      </c>
      <c r="ED31" s="146">
        <v>0</v>
      </c>
      <c r="EE31" s="146">
        <v>0</v>
      </c>
      <c r="EF31" s="146">
        <v>0</v>
      </c>
      <c r="EG31" s="146">
        <v>0</v>
      </c>
      <c r="EH31" s="146">
        <v>0</v>
      </c>
      <c r="EI31" s="146">
        <v>0</v>
      </c>
      <c r="EJ31" s="146">
        <v>0</v>
      </c>
      <c r="EK31" s="146">
        <v>0</v>
      </c>
      <c r="EL31" s="146">
        <v>0</v>
      </c>
      <c r="EM31" s="146">
        <v>0</v>
      </c>
      <c r="EN31" s="146">
        <v>0</v>
      </c>
      <c r="EO31" s="146">
        <v>0</v>
      </c>
      <c r="EP31" s="146">
        <v>0</v>
      </c>
      <c r="EQ31" s="146">
        <v>0</v>
      </c>
      <c r="ER31" s="146">
        <v>0</v>
      </c>
      <c r="ES31" s="146">
        <v>0</v>
      </c>
      <c r="ET31" s="146">
        <v>0</v>
      </c>
      <c r="EU31" s="146">
        <v>0</v>
      </c>
      <c r="EV31" s="146">
        <v>0</v>
      </c>
      <c r="EW31" s="146">
        <v>0</v>
      </c>
      <c r="EX31" s="146">
        <v>0</v>
      </c>
      <c r="EY31" s="146">
        <v>0</v>
      </c>
      <c r="EZ31" s="146">
        <v>0</v>
      </c>
      <c r="FA31" s="146">
        <v>0</v>
      </c>
      <c r="FB31" s="146">
        <v>0</v>
      </c>
      <c r="FC31" s="146">
        <v>0</v>
      </c>
      <c r="FD31" s="146">
        <v>0</v>
      </c>
      <c r="FE31" s="146">
        <v>0</v>
      </c>
      <c r="FF31" s="146">
        <v>0</v>
      </c>
      <c r="FG31" s="146">
        <v>0</v>
      </c>
      <c r="FH31" s="146">
        <v>0</v>
      </c>
      <c r="FI31" s="146">
        <v>0</v>
      </c>
      <c r="FJ31" s="146">
        <v>0</v>
      </c>
      <c r="FK31" s="146">
        <v>0</v>
      </c>
      <c r="FL31" s="146">
        <v>0</v>
      </c>
      <c r="FM31" s="146">
        <v>0</v>
      </c>
      <c r="FN31" s="146">
        <v>0</v>
      </c>
      <c r="FO31" s="146">
        <v>0</v>
      </c>
      <c r="FP31" s="146">
        <v>0</v>
      </c>
      <c r="FQ31" s="146">
        <v>0</v>
      </c>
      <c r="FR31" s="146">
        <v>0</v>
      </c>
      <c r="FS31" s="146">
        <v>0</v>
      </c>
      <c r="FT31" s="146">
        <v>0</v>
      </c>
      <c r="FU31" s="146">
        <v>4</v>
      </c>
      <c r="FV31" s="146">
        <v>4</v>
      </c>
      <c r="FW31" s="146">
        <v>4</v>
      </c>
      <c r="FX31" s="146">
        <v>4</v>
      </c>
      <c r="FY31" s="146">
        <v>4</v>
      </c>
      <c r="FZ31" s="146">
        <v>4</v>
      </c>
      <c r="GA31" s="146">
        <v>4</v>
      </c>
      <c r="GB31" s="146">
        <v>4</v>
      </c>
      <c r="GC31" s="146">
        <v>4</v>
      </c>
      <c r="GD31" s="146">
        <v>4</v>
      </c>
      <c r="GE31" s="146">
        <v>4</v>
      </c>
      <c r="GF31" s="146">
        <v>4</v>
      </c>
      <c r="GG31" s="146">
        <v>4</v>
      </c>
      <c r="GH31" s="146">
        <v>4</v>
      </c>
      <c r="GI31" s="146">
        <v>4</v>
      </c>
      <c r="GJ31" s="146">
        <v>4</v>
      </c>
      <c r="GK31" s="146">
        <v>4</v>
      </c>
      <c r="GL31" s="146">
        <v>4</v>
      </c>
      <c r="GM31" s="146">
        <v>4</v>
      </c>
      <c r="GN31" s="146">
        <v>4</v>
      </c>
      <c r="GO31" s="146">
        <v>4</v>
      </c>
      <c r="GP31" s="146">
        <v>4</v>
      </c>
      <c r="GQ31" s="146">
        <v>4</v>
      </c>
      <c r="GR31" s="146">
        <v>4</v>
      </c>
      <c r="GS31" s="146">
        <v>4</v>
      </c>
      <c r="GT31" s="146">
        <v>4</v>
      </c>
      <c r="GU31" s="146">
        <v>4</v>
      </c>
      <c r="GV31" s="146">
        <v>4</v>
      </c>
      <c r="GW31" s="146">
        <v>4</v>
      </c>
      <c r="GX31" s="146">
        <v>0</v>
      </c>
      <c r="GY31" s="146">
        <v>0</v>
      </c>
      <c r="GZ31" s="146">
        <v>0</v>
      </c>
      <c r="HA31" s="146">
        <v>0</v>
      </c>
      <c r="HB31" s="146">
        <v>0</v>
      </c>
      <c r="HC31" s="146">
        <v>0</v>
      </c>
      <c r="HD31" s="146">
        <v>0</v>
      </c>
      <c r="HE31" s="146">
        <v>0</v>
      </c>
      <c r="HF31" s="146">
        <v>0</v>
      </c>
      <c r="HG31" s="146">
        <v>0</v>
      </c>
      <c r="HH31" s="146">
        <v>4</v>
      </c>
      <c r="HI31" s="146">
        <v>4</v>
      </c>
      <c r="HJ31" s="146">
        <v>4</v>
      </c>
      <c r="HK31" s="146">
        <v>4</v>
      </c>
      <c r="HL31" s="146">
        <v>4</v>
      </c>
      <c r="HM31" s="146">
        <v>4</v>
      </c>
      <c r="HN31" s="146">
        <v>4</v>
      </c>
      <c r="HO31" s="146">
        <v>4</v>
      </c>
      <c r="HP31" s="146">
        <v>4</v>
      </c>
      <c r="HQ31" s="146">
        <v>4</v>
      </c>
      <c r="HR31" s="146">
        <v>4</v>
      </c>
      <c r="HS31" s="146">
        <v>4</v>
      </c>
      <c r="HT31" s="146">
        <v>0</v>
      </c>
      <c r="HU31" s="151"/>
      <c r="HV31" s="146">
        <v>0</v>
      </c>
      <c r="HW31" s="151"/>
      <c r="HX31" s="151"/>
      <c r="HY31" s="151"/>
      <c r="HZ31" s="151"/>
      <c r="IA31" s="151"/>
      <c r="IB31" s="151"/>
      <c r="IC31" s="151"/>
      <c r="ID31" s="151"/>
      <c r="IE31" s="151"/>
      <c r="IF31" s="151"/>
      <c r="IG31" s="151"/>
      <c r="IH31" s="151"/>
      <c r="II31" s="151"/>
      <c r="IJ31" s="151"/>
      <c r="IK31" s="151"/>
      <c r="IL31" s="151"/>
      <c r="IM31" s="151"/>
      <c r="IN31" s="151"/>
      <c r="IO31" s="151"/>
      <c r="IP31" s="151"/>
      <c r="IQ31" s="151"/>
      <c r="IR31" s="151"/>
      <c r="IS31" s="151"/>
      <c r="IT31" s="151"/>
      <c r="IU31" s="151"/>
      <c r="IV31" s="151"/>
      <c r="IW31" s="151"/>
      <c r="IX31" s="151"/>
      <c r="IY31" s="151"/>
      <c r="IZ31" s="151"/>
      <c r="JA31" s="151"/>
      <c r="JB31" s="151"/>
      <c r="JC31" s="151"/>
      <c r="JD31" s="151"/>
      <c r="JE31" s="151"/>
      <c r="JF31" s="151"/>
      <c r="JG31" s="151"/>
      <c r="JH31" s="151"/>
      <c r="JI31" s="151"/>
      <c r="JJ31" s="151"/>
      <c r="JK31" s="151"/>
      <c r="JL31" s="151"/>
      <c r="JM31" s="151"/>
      <c r="JN31" s="151"/>
      <c r="JO31" s="151"/>
      <c r="JP31" s="151"/>
      <c r="JQ31" s="151"/>
      <c r="JR31" s="151"/>
      <c r="JS31" s="151"/>
      <c r="JT31" s="151"/>
      <c r="JU31" s="151"/>
      <c r="JV31" s="151"/>
      <c r="JW31" s="151"/>
      <c r="JX31" s="151"/>
      <c r="JY31" s="151"/>
      <c r="JZ31" s="151"/>
      <c r="KA31" s="151"/>
      <c r="KB31" s="151"/>
      <c r="KC31" s="151"/>
      <c r="KD31" s="151"/>
      <c r="KE31" s="151"/>
      <c r="KF31" s="151"/>
      <c r="KG31" s="151"/>
      <c r="KH31" s="151"/>
      <c r="KI31" s="151"/>
      <c r="KJ31" s="151"/>
      <c r="KK31" s="151"/>
      <c r="KL31" s="151"/>
      <c r="KM31" s="151"/>
      <c r="KN31" s="151"/>
      <c r="KO31" s="151"/>
      <c r="KP31" s="151"/>
      <c r="KQ31" s="151"/>
      <c r="KR31" s="151"/>
      <c r="KS31" s="151"/>
      <c r="KT31" s="151"/>
      <c r="KU31" s="151"/>
      <c r="KV31" s="151"/>
      <c r="KW31" s="151"/>
      <c r="KX31" s="151"/>
      <c r="KY31" s="151"/>
      <c r="KZ31" s="151"/>
      <c r="LA31" s="151"/>
      <c r="LB31" s="151"/>
      <c r="LC31" s="151"/>
      <c r="LD31" s="151"/>
      <c r="LE31" s="151"/>
    </row>
    <row r="32" spans="1:317" x14ac:dyDescent="0.2">
      <c r="A32" s="179" t="s">
        <v>849</v>
      </c>
      <c r="B32" s="180" t="s">
        <v>931</v>
      </c>
      <c r="C32" s="181"/>
      <c r="D32" s="182">
        <v>0</v>
      </c>
      <c r="E32" s="182">
        <v>0</v>
      </c>
      <c r="F32" s="183" t="s">
        <v>1216</v>
      </c>
      <c r="G32" s="183">
        <v>0</v>
      </c>
      <c r="H32" s="183">
        <v>0</v>
      </c>
      <c r="I32" s="183">
        <v>0</v>
      </c>
      <c r="J32" s="183">
        <v>0</v>
      </c>
      <c r="K32" s="183" t="s">
        <v>1365</v>
      </c>
      <c r="L32" s="183">
        <v>0</v>
      </c>
      <c r="M32" s="183">
        <v>0</v>
      </c>
      <c r="N32" s="183" t="s">
        <v>881</v>
      </c>
      <c r="O32" s="183">
        <v>0</v>
      </c>
      <c r="P32" s="183">
        <v>0</v>
      </c>
      <c r="Q32" s="183"/>
      <c r="R32" s="183"/>
      <c r="S32" s="183"/>
      <c r="T32" s="183"/>
      <c r="U32" s="183"/>
      <c r="V32" s="183">
        <v>0</v>
      </c>
      <c r="W32" s="183">
        <v>0</v>
      </c>
      <c r="X32" s="183">
        <v>0</v>
      </c>
      <c r="Y32" s="184">
        <v>10.039999999999999</v>
      </c>
      <c r="Z32" s="184">
        <v>113.03</v>
      </c>
      <c r="AA32" s="184">
        <v>0</v>
      </c>
      <c r="AB32" s="185" t="s">
        <v>615</v>
      </c>
      <c r="AC32" s="185" t="s">
        <v>615</v>
      </c>
      <c r="AD32" s="186" t="s">
        <v>881</v>
      </c>
      <c r="AE32" s="186" t="s">
        <v>858</v>
      </c>
      <c r="AF32" s="187">
        <v>7</v>
      </c>
      <c r="AG32" s="187">
        <v>3</v>
      </c>
      <c r="AH32" s="187">
        <v>4</v>
      </c>
      <c r="AI32" s="188">
        <v>1</v>
      </c>
      <c r="AJ32" s="188" t="s">
        <v>615</v>
      </c>
      <c r="AK32" s="187" t="s">
        <v>1736</v>
      </c>
      <c r="AL32" s="87" t="s">
        <v>615</v>
      </c>
      <c r="AM32" s="189"/>
      <c r="AN32" s="187" t="s">
        <v>615</v>
      </c>
      <c r="AO32" s="13" t="s">
        <v>615</v>
      </c>
      <c r="AP32" s="187">
        <v>0</v>
      </c>
      <c r="AQ32" s="187">
        <v>0</v>
      </c>
      <c r="AR32" s="190">
        <v>0</v>
      </c>
      <c r="AS32" s="190">
        <v>0</v>
      </c>
      <c r="AT32" s="190">
        <v>0</v>
      </c>
      <c r="AU32" s="187">
        <v>0</v>
      </c>
      <c r="AV32" s="187">
        <v>0</v>
      </c>
      <c r="AW32" s="191"/>
      <c r="AX32" s="192"/>
      <c r="AY32" s="193">
        <v>42666</v>
      </c>
      <c r="AZ32" s="193"/>
      <c r="BA32" s="193"/>
      <c r="BB32" s="194"/>
      <c r="BC32" s="194"/>
      <c r="BD32" s="195"/>
      <c r="BE32" s="195" t="s">
        <v>532</v>
      </c>
      <c r="BF32" s="195"/>
      <c r="BG32" s="195">
        <v>7</v>
      </c>
      <c r="BH32" s="196" t="s">
        <v>547</v>
      </c>
      <c r="BI32" s="197">
        <v>1</v>
      </c>
      <c r="BJ32" s="198"/>
      <c r="BK32" s="199">
        <v>0</v>
      </c>
      <c r="BL32" s="13">
        <v>0</v>
      </c>
      <c r="BM32" s="13">
        <v>0</v>
      </c>
      <c r="BN32" s="13" t="s">
        <v>616</v>
      </c>
      <c r="BO32" s="13" t="s">
        <v>616</v>
      </c>
      <c r="BP32" s="200">
        <v>0</v>
      </c>
      <c r="BQ32" s="201"/>
      <c r="BR32" s="202"/>
      <c r="BS32" s="187">
        <v>1000000000</v>
      </c>
      <c r="BT32" s="203">
        <v>0</v>
      </c>
      <c r="BU32" s="204">
        <v>0</v>
      </c>
      <c r="BV32" s="203">
        <v>0</v>
      </c>
      <c r="BW32" s="205">
        <v>0</v>
      </c>
      <c r="BX32" s="205">
        <v>0</v>
      </c>
      <c r="BY32" s="205">
        <v>0</v>
      </c>
      <c r="BZ32" s="203">
        <v>0</v>
      </c>
      <c r="CA32" s="203">
        <v>0</v>
      </c>
      <c r="CB32" s="203">
        <v>0</v>
      </c>
      <c r="CC32" s="204">
        <v>0</v>
      </c>
      <c r="CD32" s="203">
        <v>0</v>
      </c>
      <c r="CE32" s="203">
        <v>0</v>
      </c>
      <c r="CF32" s="13">
        <v>0</v>
      </c>
      <c r="CG32" s="206">
        <v>0</v>
      </c>
      <c r="CH32" s="207">
        <v>0</v>
      </c>
      <c r="CI32" s="201"/>
      <c r="CJ32" s="208"/>
      <c r="CK32" s="209" t="s">
        <v>615</v>
      </c>
      <c r="CL32" s="210" t="s">
        <v>615</v>
      </c>
      <c r="CM32" s="207">
        <v>0</v>
      </c>
      <c r="CN32" s="207">
        <v>0</v>
      </c>
      <c r="CO32" s="204">
        <v>0</v>
      </c>
      <c r="CP32" s="204">
        <v>0</v>
      </c>
      <c r="CQ32" s="211"/>
      <c r="CR32" s="204">
        <v>1</v>
      </c>
      <c r="CS32" s="212">
        <v>42531</v>
      </c>
      <c r="CT32" s="212">
        <v>42780</v>
      </c>
      <c r="CU32" s="213">
        <v>42780</v>
      </c>
      <c r="CV32" s="214">
        <v>42829</v>
      </c>
      <c r="CW32" s="214" t="s">
        <v>615</v>
      </c>
      <c r="CX32" s="214" t="s">
        <v>615</v>
      </c>
      <c r="CY32" s="204">
        <v>0.58345996599157823</v>
      </c>
      <c r="CZ32" s="204">
        <v>0.97959183673469385</v>
      </c>
      <c r="DA32" s="203">
        <v>0</v>
      </c>
      <c r="DB32" s="204">
        <v>0.24489795918367346</v>
      </c>
      <c r="DC32" s="204">
        <v>0</v>
      </c>
      <c r="DD32" s="204">
        <v>0</v>
      </c>
      <c r="DE32" s="204">
        <v>0</v>
      </c>
      <c r="DF32" s="215">
        <v>0.73469387755102045</v>
      </c>
      <c r="DG32" s="13" t="s">
        <v>615</v>
      </c>
      <c r="DH32" s="86">
        <v>30</v>
      </c>
      <c r="DI32" s="86"/>
      <c r="DJ32" s="86">
        <v>249</v>
      </c>
      <c r="DK32" s="86" t="s">
        <v>1706</v>
      </c>
      <c r="DL32" s="86" t="e">
        <v>#N/A</v>
      </c>
      <c r="DM32" s="86" t="e">
        <v>#N/A</v>
      </c>
      <c r="DN32" s="86" t="e">
        <v>#N/A</v>
      </c>
      <c r="DO32" s="86">
        <v>419</v>
      </c>
      <c r="DP32" s="86">
        <v>5</v>
      </c>
      <c r="DQ32" s="86">
        <v>49</v>
      </c>
      <c r="DR32" s="152">
        <v>0</v>
      </c>
      <c r="DS32" s="152">
        <v>0</v>
      </c>
      <c r="DT32" s="152">
        <v>0</v>
      </c>
      <c r="DU32" s="152">
        <v>0</v>
      </c>
      <c r="DV32" s="152">
        <v>0</v>
      </c>
      <c r="DW32" s="152">
        <v>0</v>
      </c>
      <c r="DX32" s="152">
        <v>0</v>
      </c>
      <c r="DY32" s="152">
        <v>0</v>
      </c>
      <c r="DZ32" s="152">
        <v>0</v>
      </c>
      <c r="EA32" s="152">
        <v>0</v>
      </c>
      <c r="EB32" s="152">
        <v>0</v>
      </c>
      <c r="EC32" s="152">
        <v>0</v>
      </c>
      <c r="ED32" s="152">
        <v>0</v>
      </c>
      <c r="EE32" s="152">
        <v>0</v>
      </c>
      <c r="EF32" s="152">
        <v>0</v>
      </c>
      <c r="EG32" s="152">
        <v>0</v>
      </c>
      <c r="EH32" s="152">
        <v>0</v>
      </c>
      <c r="EI32" s="152">
        <v>0</v>
      </c>
      <c r="EJ32" s="152">
        <v>0</v>
      </c>
      <c r="EK32" s="152">
        <v>0</v>
      </c>
      <c r="EL32" s="152">
        <v>0</v>
      </c>
      <c r="EM32" s="152">
        <v>0</v>
      </c>
      <c r="EN32" s="152">
        <v>0</v>
      </c>
      <c r="EO32" s="152">
        <v>0</v>
      </c>
      <c r="EP32" s="152">
        <v>0</v>
      </c>
      <c r="EQ32" s="152">
        <v>0</v>
      </c>
      <c r="ER32" s="152">
        <v>0</v>
      </c>
      <c r="ES32" s="152">
        <v>0</v>
      </c>
      <c r="ET32" s="152">
        <v>0</v>
      </c>
      <c r="EU32" s="152">
        <v>0</v>
      </c>
      <c r="EV32" s="152">
        <v>0</v>
      </c>
      <c r="EW32" s="152">
        <v>0</v>
      </c>
      <c r="EX32" s="152">
        <v>0</v>
      </c>
      <c r="EY32" s="152">
        <v>0</v>
      </c>
      <c r="EZ32" s="152">
        <v>0</v>
      </c>
      <c r="FA32" s="152">
        <v>0</v>
      </c>
      <c r="FB32" s="152">
        <v>0</v>
      </c>
      <c r="FC32" s="152">
        <v>0</v>
      </c>
      <c r="FD32" s="152">
        <v>0</v>
      </c>
      <c r="FE32" s="152">
        <v>0</v>
      </c>
      <c r="FF32" s="152">
        <v>0</v>
      </c>
      <c r="FG32" s="152">
        <v>0</v>
      </c>
      <c r="FH32" s="152">
        <v>0</v>
      </c>
      <c r="FI32" s="152">
        <v>0</v>
      </c>
      <c r="FJ32" s="152">
        <v>0</v>
      </c>
      <c r="FK32" s="152">
        <v>0</v>
      </c>
      <c r="FL32" s="152">
        <v>0</v>
      </c>
      <c r="FM32" s="152">
        <v>0</v>
      </c>
      <c r="FN32" s="152">
        <v>0</v>
      </c>
      <c r="FO32" s="152">
        <v>0</v>
      </c>
      <c r="FP32" s="152">
        <v>0</v>
      </c>
      <c r="FQ32" s="152">
        <v>0</v>
      </c>
      <c r="FR32" s="152">
        <v>0</v>
      </c>
      <c r="FS32" s="152">
        <v>0</v>
      </c>
      <c r="FT32" s="152">
        <v>0</v>
      </c>
      <c r="FU32" s="152">
        <v>24</v>
      </c>
      <c r="FV32" s="152">
        <v>24</v>
      </c>
      <c r="FW32" s="152">
        <v>24</v>
      </c>
      <c r="FX32" s="152">
        <v>24</v>
      </c>
      <c r="FY32" s="152">
        <v>24</v>
      </c>
      <c r="FZ32" s="152">
        <v>24</v>
      </c>
      <c r="GA32" s="152">
        <v>24</v>
      </c>
      <c r="GB32" s="152">
        <v>24</v>
      </c>
      <c r="GC32" s="152">
        <v>24</v>
      </c>
      <c r="GD32" s="152">
        <v>24</v>
      </c>
      <c r="GE32" s="152">
        <v>24</v>
      </c>
      <c r="GF32" s="152">
        <v>24</v>
      </c>
      <c r="GG32" s="152">
        <v>24</v>
      </c>
      <c r="GH32" s="152">
        <v>24</v>
      </c>
      <c r="GI32" s="152">
        <v>24</v>
      </c>
      <c r="GJ32" s="152">
        <v>24</v>
      </c>
      <c r="GK32" s="152">
        <v>24</v>
      </c>
      <c r="GL32" s="152">
        <v>24</v>
      </c>
      <c r="GM32" s="152">
        <v>24</v>
      </c>
      <c r="GN32" s="152">
        <v>24</v>
      </c>
      <c r="GO32" s="152">
        <v>24</v>
      </c>
      <c r="GP32" s="152">
        <v>24</v>
      </c>
      <c r="GQ32" s="152">
        <v>24</v>
      </c>
      <c r="GR32" s="152">
        <v>24</v>
      </c>
      <c r="GS32" s="152">
        <v>24</v>
      </c>
      <c r="GT32" s="152">
        <v>24</v>
      </c>
      <c r="GU32" s="152">
        <v>24</v>
      </c>
      <c r="GV32" s="152">
        <v>24</v>
      </c>
      <c r="GW32" s="152">
        <v>24</v>
      </c>
      <c r="GX32" s="152">
        <v>0</v>
      </c>
      <c r="GY32" s="152">
        <v>0</v>
      </c>
      <c r="GZ32" s="152">
        <v>0</v>
      </c>
      <c r="HA32" s="152">
        <v>0</v>
      </c>
      <c r="HB32" s="152">
        <v>0</v>
      </c>
      <c r="HC32" s="152">
        <v>0</v>
      </c>
      <c r="HD32" s="152">
        <v>0</v>
      </c>
      <c r="HE32" s="152">
        <v>0</v>
      </c>
      <c r="HF32" s="152">
        <v>0</v>
      </c>
      <c r="HG32" s="152">
        <v>0</v>
      </c>
      <c r="HH32" s="152">
        <v>24</v>
      </c>
      <c r="HI32" s="152">
        <v>24</v>
      </c>
      <c r="HJ32" s="152">
        <v>24</v>
      </c>
      <c r="HK32" s="152">
        <v>24</v>
      </c>
      <c r="HL32" s="152">
        <v>24</v>
      </c>
      <c r="HM32" s="152">
        <v>24</v>
      </c>
      <c r="HN32" s="152">
        <v>24</v>
      </c>
      <c r="HO32" s="152">
        <v>24</v>
      </c>
      <c r="HP32" s="152">
        <v>24</v>
      </c>
      <c r="HQ32" s="152">
        <v>24</v>
      </c>
      <c r="HR32" s="152">
        <v>24</v>
      </c>
      <c r="HS32" s="152">
        <v>24</v>
      </c>
      <c r="HT32" s="152">
        <v>0</v>
      </c>
      <c r="HU32" s="216"/>
      <c r="HV32" s="152">
        <v>0</v>
      </c>
      <c r="HW32" s="216"/>
      <c r="HX32" s="216"/>
      <c r="HY32" s="216"/>
      <c r="HZ32" s="216"/>
      <c r="IA32" s="216"/>
      <c r="IB32" s="216"/>
      <c r="IC32" s="216"/>
      <c r="ID32" s="216"/>
      <c r="IE32" s="216"/>
      <c r="IF32" s="216"/>
      <c r="IG32" s="216"/>
      <c r="IH32" s="216"/>
      <c r="II32" s="216"/>
      <c r="IJ32" s="216"/>
      <c r="IK32" s="216"/>
      <c r="IL32" s="216"/>
      <c r="IM32" s="216"/>
      <c r="IN32" s="216"/>
      <c r="IO32" s="216"/>
      <c r="IP32" s="216"/>
      <c r="IQ32" s="216"/>
      <c r="IR32" s="216"/>
      <c r="IS32" s="216"/>
      <c r="IT32" s="216"/>
      <c r="IU32" s="216"/>
      <c r="IV32" s="216"/>
      <c r="IW32" s="216"/>
      <c r="IX32" s="216"/>
      <c r="IY32" s="216"/>
      <c r="IZ32" s="216"/>
      <c r="JA32" s="216"/>
      <c r="JB32" s="216"/>
      <c r="JC32" s="216"/>
      <c r="JD32" s="216"/>
      <c r="JE32" s="216"/>
      <c r="JF32" s="216"/>
      <c r="JG32" s="216"/>
      <c r="JH32" s="216"/>
      <c r="JI32" s="216"/>
      <c r="JJ32" s="216"/>
      <c r="JK32" s="216"/>
      <c r="JL32" s="216"/>
      <c r="JM32" s="216"/>
      <c r="JN32" s="216"/>
      <c r="JO32" s="216"/>
      <c r="JP32" s="216"/>
      <c r="JQ32" s="216"/>
      <c r="JR32" s="216"/>
      <c r="JS32" s="216"/>
      <c r="JT32" s="216"/>
      <c r="JU32" s="216"/>
      <c r="JV32" s="216"/>
      <c r="JW32" s="216"/>
      <c r="JX32" s="216"/>
      <c r="JY32" s="216"/>
      <c r="JZ32" s="216"/>
      <c r="KA32" s="216"/>
      <c r="KB32" s="216"/>
      <c r="KC32" s="216"/>
      <c r="KD32" s="216"/>
      <c r="KE32" s="216"/>
      <c r="KF32" s="216"/>
      <c r="KG32" s="216"/>
      <c r="KH32" s="216"/>
      <c r="KI32" s="216"/>
      <c r="KJ32" s="216"/>
      <c r="KK32" s="216"/>
      <c r="KL32" s="216"/>
      <c r="KM32" s="216"/>
      <c r="KN32" s="216"/>
      <c r="KO32" s="216"/>
      <c r="KP32" s="216"/>
      <c r="KQ32" s="216"/>
      <c r="KR32" s="216"/>
      <c r="KS32" s="216"/>
      <c r="KT32" s="216"/>
      <c r="KU32" s="216"/>
      <c r="KV32" s="216"/>
      <c r="KW32" s="216"/>
      <c r="KX32" s="216"/>
      <c r="KY32" s="216"/>
      <c r="KZ32" s="216"/>
      <c r="LA32" s="216"/>
      <c r="LB32" s="216"/>
      <c r="LC32" s="216"/>
      <c r="LD32" s="216"/>
      <c r="LE32" s="216"/>
    </row>
    <row r="33" spans="1:317" x14ac:dyDescent="0.2">
      <c r="A33" s="179" t="s">
        <v>849</v>
      </c>
      <c r="B33" s="180" t="s">
        <v>932</v>
      </c>
      <c r="C33" s="181"/>
      <c r="D33" s="182">
        <v>0</v>
      </c>
      <c r="E33" s="182">
        <v>0</v>
      </c>
      <c r="F33" s="183" t="s">
        <v>1217</v>
      </c>
      <c r="G33" s="183">
        <v>0</v>
      </c>
      <c r="H33" s="183">
        <v>0</v>
      </c>
      <c r="I33" s="183">
        <v>0</v>
      </c>
      <c r="J33" s="183">
        <v>0</v>
      </c>
      <c r="K33" s="183" t="s">
        <v>1366</v>
      </c>
      <c r="L33" s="183">
        <v>0</v>
      </c>
      <c r="M33" s="183">
        <v>0</v>
      </c>
      <c r="N33" s="183" t="s">
        <v>881</v>
      </c>
      <c r="O33" s="183">
        <v>0</v>
      </c>
      <c r="P33" s="183">
        <v>0</v>
      </c>
      <c r="Q33" s="183"/>
      <c r="R33" s="183"/>
      <c r="S33" s="183"/>
      <c r="T33" s="183"/>
      <c r="U33" s="183"/>
      <c r="V33" s="183">
        <v>0</v>
      </c>
      <c r="W33" s="183">
        <v>0</v>
      </c>
      <c r="X33" s="183">
        <v>0</v>
      </c>
      <c r="Y33" s="184">
        <v>22.57</v>
      </c>
      <c r="Z33" s="184">
        <v>123.59</v>
      </c>
      <c r="AA33" s="184">
        <v>0</v>
      </c>
      <c r="AB33" s="185" t="s">
        <v>615</v>
      </c>
      <c r="AC33" s="185" t="s">
        <v>615</v>
      </c>
      <c r="AD33" s="186" t="s">
        <v>881</v>
      </c>
      <c r="AE33" s="186" t="s">
        <v>858</v>
      </c>
      <c r="AF33" s="187">
        <v>7</v>
      </c>
      <c r="AG33" s="187">
        <v>3</v>
      </c>
      <c r="AH33" s="187">
        <v>4</v>
      </c>
      <c r="AI33" s="188">
        <v>1</v>
      </c>
      <c r="AJ33" s="188" t="s">
        <v>615</v>
      </c>
      <c r="AK33" s="187" t="s">
        <v>1737</v>
      </c>
      <c r="AL33" s="87" t="s">
        <v>615</v>
      </c>
      <c r="AM33" s="189"/>
      <c r="AN33" s="187" t="s">
        <v>615</v>
      </c>
      <c r="AO33" s="13" t="s">
        <v>615</v>
      </c>
      <c r="AP33" s="187">
        <v>0</v>
      </c>
      <c r="AQ33" s="187">
        <v>0</v>
      </c>
      <c r="AR33" s="190">
        <v>0</v>
      </c>
      <c r="AS33" s="190">
        <v>0</v>
      </c>
      <c r="AT33" s="190">
        <v>0</v>
      </c>
      <c r="AU33" s="187">
        <v>0</v>
      </c>
      <c r="AV33" s="187">
        <v>0</v>
      </c>
      <c r="AW33" s="191"/>
      <c r="AX33" s="192"/>
      <c r="AY33" s="193">
        <v>42666</v>
      </c>
      <c r="AZ33" s="193"/>
      <c r="BA33" s="193"/>
      <c r="BB33" s="194"/>
      <c r="BC33" s="194"/>
      <c r="BD33" s="195"/>
      <c r="BE33" s="195" t="s">
        <v>532</v>
      </c>
      <c r="BF33" s="195"/>
      <c r="BG33" s="195">
        <v>5</v>
      </c>
      <c r="BH33" s="196" t="s">
        <v>547</v>
      </c>
      <c r="BI33" s="197">
        <v>1</v>
      </c>
      <c r="BJ33" s="198"/>
      <c r="BK33" s="199">
        <v>0</v>
      </c>
      <c r="BL33" s="13">
        <v>0</v>
      </c>
      <c r="BM33" s="13">
        <v>0</v>
      </c>
      <c r="BN33" s="13" t="s">
        <v>616</v>
      </c>
      <c r="BO33" s="13" t="s">
        <v>616</v>
      </c>
      <c r="BP33" s="200">
        <v>12</v>
      </c>
      <c r="BQ33" s="201"/>
      <c r="BR33" s="202"/>
      <c r="BS33" s="187">
        <v>1000000000</v>
      </c>
      <c r="BT33" s="203">
        <v>0</v>
      </c>
      <c r="BU33" s="204">
        <v>0</v>
      </c>
      <c r="BV33" s="203">
        <v>0</v>
      </c>
      <c r="BW33" s="205">
        <v>0</v>
      </c>
      <c r="BX33" s="205">
        <v>0</v>
      </c>
      <c r="BY33" s="205">
        <v>0</v>
      </c>
      <c r="BZ33" s="203">
        <v>0</v>
      </c>
      <c r="CA33" s="203">
        <v>0</v>
      </c>
      <c r="CB33" s="203">
        <v>0</v>
      </c>
      <c r="CC33" s="204">
        <v>0</v>
      </c>
      <c r="CD33" s="203">
        <v>0</v>
      </c>
      <c r="CE33" s="203">
        <v>0</v>
      </c>
      <c r="CF33" s="13">
        <v>0</v>
      </c>
      <c r="CG33" s="206">
        <v>0</v>
      </c>
      <c r="CH33" s="207">
        <v>0</v>
      </c>
      <c r="CI33" s="201"/>
      <c r="CJ33" s="208"/>
      <c r="CK33" s="209" t="s">
        <v>615</v>
      </c>
      <c r="CL33" s="210" t="s">
        <v>615</v>
      </c>
      <c r="CM33" s="207">
        <v>0</v>
      </c>
      <c r="CN33" s="207">
        <v>0</v>
      </c>
      <c r="CO33" s="204">
        <v>0</v>
      </c>
      <c r="CP33" s="204">
        <v>0</v>
      </c>
      <c r="CQ33" s="211"/>
      <c r="CR33" s="204">
        <v>1</v>
      </c>
      <c r="CS33" s="212">
        <v>42709</v>
      </c>
      <c r="CT33" s="212">
        <v>42780</v>
      </c>
      <c r="CU33" s="213">
        <v>42780</v>
      </c>
      <c r="CV33" s="214">
        <v>42829</v>
      </c>
      <c r="CW33" s="214" t="s">
        <v>615</v>
      </c>
      <c r="CX33" s="214" t="s">
        <v>615</v>
      </c>
      <c r="CY33" s="204">
        <v>0.58345996599157823</v>
      </c>
      <c r="CZ33" s="204">
        <v>0.97959183673469385</v>
      </c>
      <c r="DA33" s="203">
        <v>0</v>
      </c>
      <c r="DB33" s="204">
        <v>0.24489795918367346</v>
      </c>
      <c r="DC33" s="204">
        <v>0</v>
      </c>
      <c r="DD33" s="204">
        <v>0</v>
      </c>
      <c r="DE33" s="204">
        <v>0</v>
      </c>
      <c r="DF33" s="215">
        <v>0.73469387755102045</v>
      </c>
      <c r="DG33" s="13" t="s">
        <v>615</v>
      </c>
      <c r="DH33" s="86">
        <v>31</v>
      </c>
      <c r="DI33" s="86"/>
      <c r="DJ33" s="86">
        <v>248</v>
      </c>
      <c r="DK33" s="86" t="s">
        <v>1705</v>
      </c>
      <c r="DL33" s="86" t="e">
        <v>#N/A</v>
      </c>
      <c r="DM33" s="86" t="e">
        <v>#N/A</v>
      </c>
      <c r="DN33" s="86" t="e">
        <v>#N/A</v>
      </c>
      <c r="DO33" s="86">
        <v>418</v>
      </c>
      <c r="DP33" s="86">
        <v>5</v>
      </c>
      <c r="DQ33" s="86">
        <v>49</v>
      </c>
      <c r="DR33" s="160">
        <v>0</v>
      </c>
      <c r="DS33" s="160">
        <v>0</v>
      </c>
      <c r="DT33" s="160">
        <v>0</v>
      </c>
      <c r="DU33" s="160">
        <v>0</v>
      </c>
      <c r="DV33" s="160">
        <v>0</v>
      </c>
      <c r="DW33" s="160">
        <v>0</v>
      </c>
      <c r="DX33" s="160">
        <v>0</v>
      </c>
      <c r="DY33" s="160">
        <v>0</v>
      </c>
      <c r="DZ33" s="160">
        <v>0</v>
      </c>
      <c r="EA33" s="160">
        <v>0</v>
      </c>
      <c r="EB33" s="160">
        <v>0</v>
      </c>
      <c r="EC33" s="160">
        <v>0</v>
      </c>
      <c r="ED33" s="160">
        <v>0</v>
      </c>
      <c r="EE33" s="160">
        <v>0</v>
      </c>
      <c r="EF33" s="160">
        <v>0</v>
      </c>
      <c r="EG33" s="160">
        <v>0</v>
      </c>
      <c r="EH33" s="160">
        <v>0</v>
      </c>
      <c r="EI33" s="160">
        <v>0</v>
      </c>
      <c r="EJ33" s="160">
        <v>0</v>
      </c>
      <c r="EK33" s="160">
        <v>0</v>
      </c>
      <c r="EL33" s="160">
        <v>0</v>
      </c>
      <c r="EM33" s="160">
        <v>0</v>
      </c>
      <c r="EN33" s="160">
        <v>0</v>
      </c>
      <c r="EO33" s="160">
        <v>0</v>
      </c>
      <c r="EP33" s="160">
        <v>0</v>
      </c>
      <c r="EQ33" s="160">
        <v>0</v>
      </c>
      <c r="ER33" s="160">
        <v>0</v>
      </c>
      <c r="ES33" s="160">
        <v>0</v>
      </c>
      <c r="ET33" s="160">
        <v>0</v>
      </c>
      <c r="EU33" s="160">
        <v>0</v>
      </c>
      <c r="EV33" s="160">
        <v>0</v>
      </c>
      <c r="EW33" s="160">
        <v>0</v>
      </c>
      <c r="EX33" s="160">
        <v>0</v>
      </c>
      <c r="EY33" s="160">
        <v>0</v>
      </c>
      <c r="EZ33" s="160">
        <v>0</v>
      </c>
      <c r="FA33" s="160">
        <v>0</v>
      </c>
      <c r="FB33" s="160">
        <v>0</v>
      </c>
      <c r="FC33" s="160">
        <v>0</v>
      </c>
      <c r="FD33" s="160">
        <v>0</v>
      </c>
      <c r="FE33" s="160">
        <v>0</v>
      </c>
      <c r="FF33" s="160">
        <v>0</v>
      </c>
      <c r="FG33" s="160">
        <v>0</v>
      </c>
      <c r="FH33" s="160">
        <v>0</v>
      </c>
      <c r="FI33" s="160">
        <v>0</v>
      </c>
      <c r="FJ33" s="160">
        <v>0</v>
      </c>
      <c r="FK33" s="160">
        <v>0</v>
      </c>
      <c r="FL33" s="160">
        <v>0</v>
      </c>
      <c r="FM33" s="160">
        <v>0</v>
      </c>
      <c r="FN33" s="160">
        <v>0</v>
      </c>
      <c r="FO33" s="160">
        <v>0</v>
      </c>
      <c r="FP33" s="160">
        <v>0</v>
      </c>
      <c r="FQ33" s="160">
        <v>0</v>
      </c>
      <c r="FR33" s="160">
        <v>0</v>
      </c>
      <c r="FS33" s="160">
        <v>0</v>
      </c>
      <c r="FT33" s="160">
        <v>0</v>
      </c>
      <c r="FU33" s="162">
        <v>12</v>
      </c>
      <c r="FV33" s="162">
        <v>12</v>
      </c>
      <c r="FW33" s="162">
        <v>12</v>
      </c>
      <c r="FX33" s="162">
        <v>12</v>
      </c>
      <c r="FY33" s="162">
        <v>12</v>
      </c>
      <c r="FZ33" s="162">
        <v>12</v>
      </c>
      <c r="GA33" s="162">
        <v>12</v>
      </c>
      <c r="GB33" s="162">
        <v>12</v>
      </c>
      <c r="GC33" s="162">
        <v>12</v>
      </c>
      <c r="GD33" s="162">
        <v>12</v>
      </c>
      <c r="GE33" s="162">
        <v>12</v>
      </c>
      <c r="GF33" s="162">
        <v>12</v>
      </c>
      <c r="GG33" s="162">
        <v>12</v>
      </c>
      <c r="GH33" s="162">
        <v>12</v>
      </c>
      <c r="GI33" s="162">
        <v>12</v>
      </c>
      <c r="GJ33" s="162">
        <v>12</v>
      </c>
      <c r="GK33" s="162">
        <v>12</v>
      </c>
      <c r="GL33" s="162">
        <v>12</v>
      </c>
      <c r="GM33" s="162">
        <v>12</v>
      </c>
      <c r="GN33" s="162">
        <v>12</v>
      </c>
      <c r="GO33" s="162">
        <v>12</v>
      </c>
      <c r="GP33" s="162">
        <v>12</v>
      </c>
      <c r="GQ33" s="162">
        <v>12</v>
      </c>
      <c r="GR33" s="162">
        <v>12</v>
      </c>
      <c r="GS33" s="162">
        <v>12</v>
      </c>
      <c r="GT33" s="162">
        <v>12</v>
      </c>
      <c r="GU33" s="162">
        <v>12</v>
      </c>
      <c r="GV33" s="162">
        <v>12</v>
      </c>
      <c r="GW33" s="162">
        <v>12</v>
      </c>
      <c r="GX33" s="160">
        <v>0</v>
      </c>
      <c r="GY33" s="160">
        <v>0</v>
      </c>
      <c r="GZ33" s="160">
        <v>0</v>
      </c>
      <c r="HA33" s="160">
        <v>0</v>
      </c>
      <c r="HB33" s="160">
        <v>0</v>
      </c>
      <c r="HC33" s="160">
        <v>0</v>
      </c>
      <c r="HD33" s="160">
        <v>0</v>
      </c>
      <c r="HE33" s="160">
        <v>0</v>
      </c>
      <c r="HF33" s="160">
        <v>0</v>
      </c>
      <c r="HG33" s="160">
        <v>0</v>
      </c>
      <c r="HH33" s="162">
        <v>12</v>
      </c>
      <c r="HI33" s="146">
        <v>12</v>
      </c>
      <c r="HJ33" s="146">
        <v>12</v>
      </c>
      <c r="HK33" s="146">
        <v>12</v>
      </c>
      <c r="HL33" s="146">
        <v>12</v>
      </c>
      <c r="HM33" s="146">
        <v>12</v>
      </c>
      <c r="HN33" s="146">
        <v>12</v>
      </c>
      <c r="HO33" s="146">
        <v>12</v>
      </c>
      <c r="HP33" s="146">
        <v>12</v>
      </c>
      <c r="HQ33" s="146">
        <v>12</v>
      </c>
      <c r="HR33" s="146">
        <v>12</v>
      </c>
      <c r="HS33" s="146">
        <v>12</v>
      </c>
      <c r="HT33" s="146">
        <v>0</v>
      </c>
      <c r="HU33" s="151"/>
      <c r="HV33" s="146">
        <v>0</v>
      </c>
      <c r="HW33" s="151"/>
      <c r="HX33" s="151"/>
      <c r="HY33" s="151"/>
      <c r="HZ33" s="151"/>
      <c r="IA33" s="151"/>
      <c r="IB33" s="151"/>
      <c r="IC33" s="151"/>
      <c r="ID33" s="151"/>
      <c r="IE33" s="151"/>
      <c r="IF33" s="151"/>
      <c r="IG33" s="151"/>
      <c r="IH33" s="151"/>
      <c r="II33" s="151"/>
      <c r="IJ33" s="151"/>
      <c r="IK33" s="151"/>
      <c r="IL33" s="151"/>
      <c r="IM33" s="151"/>
      <c r="IN33" s="151"/>
      <c r="IO33" s="151"/>
      <c r="IP33" s="151"/>
      <c r="IQ33" s="151"/>
      <c r="IR33" s="151"/>
      <c r="IS33" s="151"/>
      <c r="IT33" s="151"/>
      <c r="IU33" s="151"/>
      <c r="IV33" s="151"/>
      <c r="IW33" s="151"/>
      <c r="IX33" s="151"/>
      <c r="IY33" s="151"/>
      <c r="IZ33" s="151"/>
      <c r="JA33" s="151"/>
      <c r="JB33" s="151"/>
      <c r="JC33" s="151"/>
      <c r="JD33" s="151"/>
      <c r="JE33" s="151"/>
      <c r="JF33" s="151"/>
      <c r="JG33" s="151"/>
      <c r="JH33" s="151"/>
      <c r="JI33" s="151"/>
      <c r="JJ33" s="151"/>
      <c r="JK33" s="151"/>
      <c r="JL33" s="151"/>
      <c r="JM33" s="151"/>
      <c r="JN33" s="151"/>
      <c r="JO33" s="151"/>
      <c r="JP33" s="151"/>
      <c r="JQ33" s="151"/>
      <c r="JR33" s="151"/>
      <c r="JS33" s="151"/>
      <c r="JT33" s="151"/>
      <c r="JU33" s="151"/>
      <c r="JV33" s="151"/>
      <c r="JW33" s="151"/>
      <c r="JX33" s="151"/>
      <c r="JY33" s="151"/>
      <c r="JZ33" s="151"/>
      <c r="KA33" s="151"/>
      <c r="KB33" s="151"/>
      <c r="KC33" s="151"/>
      <c r="KD33" s="151"/>
      <c r="KE33" s="151"/>
      <c r="KF33" s="151"/>
      <c r="KG33" s="151"/>
      <c r="KH33" s="151"/>
      <c r="KI33" s="151"/>
      <c r="KJ33" s="151"/>
      <c r="KK33" s="151"/>
      <c r="KL33" s="151"/>
      <c r="KM33" s="151"/>
      <c r="KN33" s="151"/>
      <c r="KO33" s="151"/>
      <c r="KP33" s="151"/>
      <c r="KQ33" s="151"/>
      <c r="KR33" s="151"/>
      <c r="KS33" s="151"/>
      <c r="KT33" s="151"/>
      <c r="KU33" s="151"/>
      <c r="KV33" s="151"/>
      <c r="KW33" s="151"/>
      <c r="KX33" s="151"/>
      <c r="KY33" s="151"/>
      <c r="KZ33" s="151"/>
      <c r="LA33" s="151"/>
      <c r="LB33" s="151"/>
      <c r="LC33" s="151"/>
      <c r="LD33" s="151"/>
      <c r="LE33" s="151"/>
    </row>
    <row r="34" spans="1:317" x14ac:dyDescent="0.2">
      <c r="A34" s="179" t="s">
        <v>849</v>
      </c>
      <c r="B34" s="180" t="s">
        <v>933</v>
      </c>
      <c r="C34" s="181"/>
      <c r="D34" s="182">
        <v>0</v>
      </c>
      <c r="E34" s="182">
        <v>0</v>
      </c>
      <c r="F34" s="183" t="s">
        <v>1218</v>
      </c>
      <c r="G34" s="183">
        <v>0</v>
      </c>
      <c r="H34" s="183">
        <v>0</v>
      </c>
      <c r="I34" s="183">
        <v>0</v>
      </c>
      <c r="J34" s="183">
        <v>0</v>
      </c>
      <c r="K34" s="183" t="s">
        <v>1362</v>
      </c>
      <c r="L34" s="183">
        <v>0</v>
      </c>
      <c r="M34" s="183">
        <v>0</v>
      </c>
      <c r="N34" s="183" t="s">
        <v>881</v>
      </c>
      <c r="O34" s="183">
        <v>0</v>
      </c>
      <c r="P34" s="183">
        <v>0</v>
      </c>
      <c r="Q34" s="183"/>
      <c r="R34" s="183"/>
      <c r="S34" s="183"/>
      <c r="T34" s="183"/>
      <c r="U34" s="183"/>
      <c r="V34" s="183">
        <v>0</v>
      </c>
      <c r="W34" s="183">
        <v>0</v>
      </c>
      <c r="X34" s="183">
        <v>0</v>
      </c>
      <c r="Y34" s="184">
        <v>32.74</v>
      </c>
      <c r="Z34" s="184">
        <v>120.85</v>
      </c>
      <c r="AA34" s="184">
        <v>0</v>
      </c>
      <c r="AB34" s="185" t="s">
        <v>615</v>
      </c>
      <c r="AC34" s="185" t="s">
        <v>615</v>
      </c>
      <c r="AD34" s="186" t="s">
        <v>881</v>
      </c>
      <c r="AE34" s="186" t="s">
        <v>858</v>
      </c>
      <c r="AF34" s="187">
        <v>7</v>
      </c>
      <c r="AG34" s="187">
        <v>3</v>
      </c>
      <c r="AH34" s="187">
        <v>4</v>
      </c>
      <c r="AI34" s="188">
        <v>1</v>
      </c>
      <c r="AJ34" s="188" t="s">
        <v>615</v>
      </c>
      <c r="AK34" s="187" t="s">
        <v>1733</v>
      </c>
      <c r="AL34" s="87" t="s">
        <v>615</v>
      </c>
      <c r="AM34" s="189"/>
      <c r="AN34" s="187" t="s">
        <v>615</v>
      </c>
      <c r="AO34" s="13" t="s">
        <v>615</v>
      </c>
      <c r="AP34" s="187">
        <v>0</v>
      </c>
      <c r="AQ34" s="187">
        <v>0</v>
      </c>
      <c r="AR34" s="190">
        <v>0</v>
      </c>
      <c r="AS34" s="190">
        <v>0</v>
      </c>
      <c r="AT34" s="190">
        <v>0</v>
      </c>
      <c r="AU34" s="187">
        <v>0</v>
      </c>
      <c r="AV34" s="187">
        <v>0</v>
      </c>
      <c r="AW34" s="191"/>
      <c r="AX34" s="192"/>
      <c r="AY34" s="193">
        <v>42666</v>
      </c>
      <c r="AZ34" s="193"/>
      <c r="BA34" s="193"/>
      <c r="BB34" s="194"/>
      <c r="BC34" s="194"/>
      <c r="BD34" s="195"/>
      <c r="BE34" s="195" t="s">
        <v>532</v>
      </c>
      <c r="BF34" s="195"/>
      <c r="BG34" s="195">
        <v>14</v>
      </c>
      <c r="BH34" s="196" t="s">
        <v>547</v>
      </c>
      <c r="BI34" s="197">
        <v>1</v>
      </c>
      <c r="BJ34" s="198"/>
      <c r="BK34" s="199">
        <v>0</v>
      </c>
      <c r="BL34" s="13">
        <v>0</v>
      </c>
      <c r="BM34" s="13">
        <v>0</v>
      </c>
      <c r="BN34" s="13" t="s">
        <v>616</v>
      </c>
      <c r="BO34" s="13" t="s">
        <v>616</v>
      </c>
      <c r="BP34" s="200">
        <v>0</v>
      </c>
      <c r="BQ34" s="201"/>
      <c r="BR34" s="202"/>
      <c r="BS34" s="187">
        <v>1000000000</v>
      </c>
      <c r="BT34" s="203">
        <v>0</v>
      </c>
      <c r="BU34" s="204">
        <v>0</v>
      </c>
      <c r="BV34" s="203">
        <v>0</v>
      </c>
      <c r="BW34" s="205">
        <v>0</v>
      </c>
      <c r="BX34" s="205">
        <v>0</v>
      </c>
      <c r="BY34" s="205">
        <v>0</v>
      </c>
      <c r="BZ34" s="203">
        <v>0</v>
      </c>
      <c r="CA34" s="203">
        <v>0</v>
      </c>
      <c r="CB34" s="203">
        <v>0</v>
      </c>
      <c r="CC34" s="204">
        <v>0</v>
      </c>
      <c r="CD34" s="203">
        <v>0</v>
      </c>
      <c r="CE34" s="203">
        <v>0</v>
      </c>
      <c r="CF34" s="13">
        <v>0</v>
      </c>
      <c r="CG34" s="206">
        <v>0</v>
      </c>
      <c r="CH34" s="207">
        <v>0</v>
      </c>
      <c r="CI34" s="201"/>
      <c r="CJ34" s="208"/>
      <c r="CK34" s="209" t="s">
        <v>615</v>
      </c>
      <c r="CL34" s="210" t="s">
        <v>615</v>
      </c>
      <c r="CM34" s="207">
        <v>0</v>
      </c>
      <c r="CN34" s="207">
        <v>0</v>
      </c>
      <c r="CO34" s="204">
        <v>0</v>
      </c>
      <c r="CP34" s="204">
        <v>0</v>
      </c>
      <c r="CQ34" s="211"/>
      <c r="CR34" s="204">
        <v>1</v>
      </c>
      <c r="CS34" s="212">
        <v>42592</v>
      </c>
      <c r="CT34" s="212">
        <v>42780</v>
      </c>
      <c r="CU34" s="213">
        <v>42780</v>
      </c>
      <c r="CV34" s="214">
        <v>42829</v>
      </c>
      <c r="CW34" s="214" t="s">
        <v>615</v>
      </c>
      <c r="CX34" s="214" t="s">
        <v>615</v>
      </c>
      <c r="CY34" s="204">
        <v>1</v>
      </c>
      <c r="CZ34" s="204">
        <v>0.97959183673469385</v>
      </c>
      <c r="DA34" s="203">
        <v>0</v>
      </c>
      <c r="DB34" s="204">
        <v>0.97959183673469385</v>
      </c>
      <c r="DC34" s="204">
        <v>0</v>
      </c>
      <c r="DD34" s="204">
        <v>0</v>
      </c>
      <c r="DE34" s="204">
        <v>0</v>
      </c>
      <c r="DF34" s="215">
        <v>0</v>
      </c>
      <c r="DG34" s="13" t="s">
        <v>615</v>
      </c>
      <c r="DH34" s="86">
        <v>32</v>
      </c>
      <c r="DI34" s="86"/>
      <c r="DJ34" s="86">
        <v>247</v>
      </c>
      <c r="DK34" s="86" t="s">
        <v>1704</v>
      </c>
      <c r="DL34" s="86" t="e">
        <v>#N/A</v>
      </c>
      <c r="DM34" s="86" t="e">
        <v>#N/A</v>
      </c>
      <c r="DN34" s="86" t="e">
        <v>#N/A</v>
      </c>
      <c r="DO34" s="86">
        <v>417</v>
      </c>
      <c r="DP34" s="86">
        <v>5</v>
      </c>
      <c r="DQ34" s="86">
        <v>49</v>
      </c>
      <c r="DR34" s="152">
        <v>0</v>
      </c>
      <c r="DS34" s="152">
        <v>0</v>
      </c>
      <c r="DT34" s="152">
        <v>0</v>
      </c>
      <c r="DU34" s="152">
        <v>0</v>
      </c>
      <c r="DV34" s="152">
        <v>0</v>
      </c>
      <c r="DW34" s="152">
        <v>0</v>
      </c>
      <c r="DX34" s="152">
        <v>0</v>
      </c>
      <c r="DY34" s="152">
        <v>0</v>
      </c>
      <c r="DZ34" s="152">
        <v>0</v>
      </c>
      <c r="EA34" s="152">
        <v>0</v>
      </c>
      <c r="EB34" s="152">
        <v>0</v>
      </c>
      <c r="EC34" s="152">
        <v>0</v>
      </c>
      <c r="ED34" s="152">
        <v>0</v>
      </c>
      <c r="EE34" s="152">
        <v>0</v>
      </c>
      <c r="EF34" s="152">
        <v>0</v>
      </c>
      <c r="EG34" s="152">
        <v>0</v>
      </c>
      <c r="EH34" s="152">
        <v>0</v>
      </c>
      <c r="EI34" s="152">
        <v>0</v>
      </c>
      <c r="EJ34" s="152">
        <v>0</v>
      </c>
      <c r="EK34" s="152">
        <v>0</v>
      </c>
      <c r="EL34" s="152">
        <v>0</v>
      </c>
      <c r="EM34" s="152">
        <v>0</v>
      </c>
      <c r="EN34" s="152">
        <v>0</v>
      </c>
      <c r="EO34" s="152">
        <v>0</v>
      </c>
      <c r="EP34" s="152">
        <v>0</v>
      </c>
      <c r="EQ34" s="152">
        <v>0</v>
      </c>
      <c r="ER34" s="152">
        <v>0</v>
      </c>
      <c r="ES34" s="152">
        <v>0</v>
      </c>
      <c r="ET34" s="152">
        <v>0</v>
      </c>
      <c r="EU34" s="152">
        <v>0</v>
      </c>
      <c r="EV34" s="152">
        <v>0</v>
      </c>
      <c r="EW34" s="152">
        <v>0</v>
      </c>
      <c r="EX34" s="152">
        <v>0</v>
      </c>
      <c r="EY34" s="152">
        <v>0</v>
      </c>
      <c r="EZ34" s="152">
        <v>0</v>
      </c>
      <c r="FA34" s="152">
        <v>0</v>
      </c>
      <c r="FB34" s="152">
        <v>0</v>
      </c>
      <c r="FC34" s="152">
        <v>0</v>
      </c>
      <c r="FD34" s="152">
        <v>0</v>
      </c>
      <c r="FE34" s="152">
        <v>0</v>
      </c>
      <c r="FF34" s="152">
        <v>0</v>
      </c>
      <c r="FG34" s="152">
        <v>0</v>
      </c>
      <c r="FH34" s="152">
        <v>0</v>
      </c>
      <c r="FI34" s="152">
        <v>0</v>
      </c>
      <c r="FJ34" s="152">
        <v>0</v>
      </c>
      <c r="FK34" s="152">
        <v>0</v>
      </c>
      <c r="FL34" s="152">
        <v>0</v>
      </c>
      <c r="FM34" s="152">
        <v>0</v>
      </c>
      <c r="FN34" s="152">
        <v>0</v>
      </c>
      <c r="FO34" s="152">
        <v>0</v>
      </c>
      <c r="FP34" s="152">
        <v>0</v>
      </c>
      <c r="FQ34" s="152">
        <v>0</v>
      </c>
      <c r="FR34" s="152">
        <v>0</v>
      </c>
      <c r="FS34" s="152">
        <v>0</v>
      </c>
      <c r="FT34" s="152">
        <v>0</v>
      </c>
      <c r="FU34" s="152">
        <v>0</v>
      </c>
      <c r="FV34" s="152">
        <v>0</v>
      </c>
      <c r="FW34" s="152">
        <v>0</v>
      </c>
      <c r="FX34" s="152">
        <v>0</v>
      </c>
      <c r="FY34" s="152">
        <v>0</v>
      </c>
      <c r="FZ34" s="152">
        <v>0</v>
      </c>
      <c r="GA34" s="152">
        <v>0</v>
      </c>
      <c r="GB34" s="152">
        <v>0</v>
      </c>
      <c r="GC34" s="152">
        <v>0</v>
      </c>
      <c r="GD34" s="152">
        <v>0</v>
      </c>
      <c r="GE34" s="152">
        <v>0</v>
      </c>
      <c r="GF34" s="152">
        <v>0</v>
      </c>
      <c r="GG34" s="152">
        <v>0</v>
      </c>
      <c r="GH34" s="152">
        <v>0</v>
      </c>
      <c r="GI34" s="152">
        <v>0</v>
      </c>
      <c r="GJ34" s="152">
        <v>0</v>
      </c>
      <c r="GK34" s="152">
        <v>0</v>
      </c>
      <c r="GL34" s="152">
        <v>0</v>
      </c>
      <c r="GM34" s="152">
        <v>0</v>
      </c>
      <c r="GN34" s="152">
        <v>0</v>
      </c>
      <c r="GO34" s="152">
        <v>0</v>
      </c>
      <c r="GP34" s="152">
        <v>0</v>
      </c>
      <c r="GQ34" s="152">
        <v>0</v>
      </c>
      <c r="GR34" s="152">
        <v>0</v>
      </c>
      <c r="GS34" s="152">
        <v>0</v>
      </c>
      <c r="GT34" s="152">
        <v>0</v>
      </c>
      <c r="GU34" s="152">
        <v>0</v>
      </c>
      <c r="GV34" s="152">
        <v>0</v>
      </c>
      <c r="GW34" s="152">
        <v>0</v>
      </c>
      <c r="GX34" s="152">
        <v>0</v>
      </c>
      <c r="GY34" s="152">
        <v>0</v>
      </c>
      <c r="GZ34" s="152">
        <v>0</v>
      </c>
      <c r="HA34" s="152">
        <v>0</v>
      </c>
      <c r="HB34" s="152">
        <v>0</v>
      </c>
      <c r="HC34" s="152">
        <v>0</v>
      </c>
      <c r="HD34" s="152">
        <v>0</v>
      </c>
      <c r="HE34" s="152">
        <v>0</v>
      </c>
      <c r="HF34" s="152">
        <v>0</v>
      </c>
      <c r="HG34" s="152">
        <v>0</v>
      </c>
      <c r="HH34" s="152">
        <v>0</v>
      </c>
      <c r="HI34" s="152">
        <v>0</v>
      </c>
      <c r="HJ34" s="152">
        <v>0</v>
      </c>
      <c r="HK34" s="152">
        <v>0</v>
      </c>
      <c r="HL34" s="152">
        <v>0</v>
      </c>
      <c r="HM34" s="152">
        <v>0</v>
      </c>
      <c r="HN34" s="152">
        <v>0</v>
      </c>
      <c r="HO34" s="152">
        <v>0</v>
      </c>
      <c r="HP34" s="152">
        <v>0</v>
      </c>
      <c r="HQ34" s="152">
        <v>0</v>
      </c>
      <c r="HR34" s="152">
        <v>0</v>
      </c>
      <c r="HS34" s="152">
        <v>0</v>
      </c>
      <c r="HT34" s="152">
        <v>0</v>
      </c>
      <c r="HU34" s="216"/>
      <c r="HV34" s="152">
        <v>0</v>
      </c>
      <c r="HW34" s="216"/>
      <c r="HX34" s="216"/>
      <c r="HY34" s="216"/>
      <c r="HZ34" s="216"/>
      <c r="IA34" s="216"/>
      <c r="IB34" s="216"/>
      <c r="IC34" s="216"/>
      <c r="ID34" s="216"/>
      <c r="IE34" s="216"/>
      <c r="IF34" s="216"/>
      <c r="IG34" s="216"/>
      <c r="IH34" s="216"/>
      <c r="II34" s="216"/>
      <c r="IJ34" s="216"/>
      <c r="IK34" s="216"/>
      <c r="IL34" s="216"/>
      <c r="IM34" s="216"/>
      <c r="IN34" s="216"/>
      <c r="IO34" s="216"/>
      <c r="IP34" s="216"/>
      <c r="IQ34" s="216"/>
      <c r="IR34" s="216"/>
      <c r="IS34" s="216"/>
      <c r="IT34" s="216"/>
      <c r="IU34" s="216"/>
      <c r="IV34" s="216"/>
      <c r="IW34" s="216"/>
      <c r="IX34" s="216"/>
      <c r="IY34" s="216"/>
      <c r="IZ34" s="216"/>
      <c r="JA34" s="216"/>
      <c r="JB34" s="216"/>
      <c r="JC34" s="216"/>
      <c r="JD34" s="216"/>
      <c r="JE34" s="216"/>
      <c r="JF34" s="216"/>
      <c r="JG34" s="216"/>
      <c r="JH34" s="216"/>
      <c r="JI34" s="216"/>
      <c r="JJ34" s="216"/>
      <c r="JK34" s="216"/>
      <c r="JL34" s="216"/>
      <c r="JM34" s="216"/>
      <c r="JN34" s="216"/>
      <c r="JO34" s="216"/>
      <c r="JP34" s="216"/>
      <c r="JQ34" s="216"/>
      <c r="JR34" s="216"/>
      <c r="JS34" s="216"/>
      <c r="JT34" s="216"/>
      <c r="JU34" s="216"/>
      <c r="JV34" s="216"/>
      <c r="JW34" s="216"/>
      <c r="JX34" s="216"/>
      <c r="JY34" s="216"/>
      <c r="JZ34" s="216"/>
      <c r="KA34" s="216"/>
      <c r="KB34" s="216"/>
      <c r="KC34" s="216"/>
      <c r="KD34" s="216"/>
      <c r="KE34" s="216"/>
      <c r="KF34" s="216"/>
      <c r="KG34" s="216"/>
      <c r="KH34" s="216"/>
      <c r="KI34" s="216"/>
      <c r="KJ34" s="216"/>
      <c r="KK34" s="216"/>
      <c r="KL34" s="216"/>
      <c r="KM34" s="216"/>
      <c r="KN34" s="216"/>
      <c r="KO34" s="216"/>
      <c r="KP34" s="216"/>
      <c r="KQ34" s="216"/>
      <c r="KR34" s="216"/>
      <c r="KS34" s="216"/>
      <c r="KT34" s="216"/>
      <c r="KU34" s="216"/>
      <c r="KV34" s="216"/>
      <c r="KW34" s="216"/>
      <c r="KX34" s="216"/>
      <c r="KY34" s="216"/>
      <c r="KZ34" s="216"/>
      <c r="LA34" s="216"/>
      <c r="LB34" s="216"/>
      <c r="LC34" s="216"/>
      <c r="LD34" s="216"/>
      <c r="LE34" s="216"/>
    </row>
    <row r="35" spans="1:317" x14ac:dyDescent="0.2">
      <c r="A35" s="179" t="s">
        <v>849</v>
      </c>
      <c r="B35" s="180" t="s">
        <v>934</v>
      </c>
      <c r="C35" s="181"/>
      <c r="D35" s="182">
        <v>0</v>
      </c>
      <c r="E35" s="182">
        <v>0</v>
      </c>
      <c r="F35" s="183" t="s">
        <v>1219</v>
      </c>
      <c r="G35" s="183">
        <v>0</v>
      </c>
      <c r="H35" s="183">
        <v>0</v>
      </c>
      <c r="I35" s="183">
        <v>0</v>
      </c>
      <c r="J35" s="183">
        <v>0</v>
      </c>
      <c r="K35" s="183" t="s">
        <v>1358</v>
      </c>
      <c r="L35" s="183">
        <v>0</v>
      </c>
      <c r="M35" s="183">
        <v>0</v>
      </c>
      <c r="N35" s="183" t="s">
        <v>881</v>
      </c>
      <c r="O35" s="183">
        <v>0</v>
      </c>
      <c r="P35" s="183">
        <v>0</v>
      </c>
      <c r="Q35" s="183"/>
      <c r="R35" s="183"/>
      <c r="S35" s="183"/>
      <c r="T35" s="183"/>
      <c r="U35" s="183"/>
      <c r="V35" s="183">
        <v>0</v>
      </c>
      <c r="W35" s="183">
        <v>0</v>
      </c>
      <c r="X35" s="183">
        <v>0</v>
      </c>
      <c r="Y35" s="184">
        <v>0.71</v>
      </c>
      <c r="Z35" s="184">
        <v>3.5</v>
      </c>
      <c r="AA35" s="184">
        <v>0</v>
      </c>
      <c r="AB35" s="185" t="s">
        <v>615</v>
      </c>
      <c r="AC35" s="185" t="s">
        <v>615</v>
      </c>
      <c r="AD35" s="186" t="s">
        <v>881</v>
      </c>
      <c r="AE35" s="186" t="s">
        <v>858</v>
      </c>
      <c r="AF35" s="187">
        <v>7</v>
      </c>
      <c r="AG35" s="187">
        <v>3</v>
      </c>
      <c r="AH35" s="187">
        <v>4</v>
      </c>
      <c r="AI35" s="188">
        <v>1</v>
      </c>
      <c r="AJ35" s="188" t="s">
        <v>615</v>
      </c>
      <c r="AK35" s="187" t="s">
        <v>1737</v>
      </c>
      <c r="AL35" s="87" t="s">
        <v>615</v>
      </c>
      <c r="AM35" s="189"/>
      <c r="AN35" s="187" t="s">
        <v>615</v>
      </c>
      <c r="AO35" s="13" t="s">
        <v>615</v>
      </c>
      <c r="AP35" s="187">
        <v>0</v>
      </c>
      <c r="AQ35" s="187">
        <v>0</v>
      </c>
      <c r="AR35" s="190">
        <v>0</v>
      </c>
      <c r="AS35" s="190">
        <v>0</v>
      </c>
      <c r="AT35" s="190">
        <v>0</v>
      </c>
      <c r="AU35" s="187">
        <v>0</v>
      </c>
      <c r="AV35" s="187">
        <v>0</v>
      </c>
      <c r="AW35" s="191"/>
      <c r="AX35" s="192"/>
      <c r="AY35" s="193">
        <v>42666</v>
      </c>
      <c r="AZ35" s="193"/>
      <c r="BA35" s="193"/>
      <c r="BB35" s="194"/>
      <c r="BC35" s="194"/>
      <c r="BD35" s="195"/>
      <c r="BE35" s="195" t="s">
        <v>532</v>
      </c>
      <c r="BF35" s="195"/>
      <c r="BG35" s="195">
        <v>100</v>
      </c>
      <c r="BH35" s="196" t="s">
        <v>547</v>
      </c>
      <c r="BI35" s="197">
        <v>1</v>
      </c>
      <c r="BJ35" s="198"/>
      <c r="BK35" s="199">
        <v>0</v>
      </c>
      <c r="BL35" s="13">
        <v>0</v>
      </c>
      <c r="BM35" s="13">
        <v>0</v>
      </c>
      <c r="BN35" s="13" t="s">
        <v>616</v>
      </c>
      <c r="BO35" s="13" t="s">
        <v>616</v>
      </c>
      <c r="BP35" s="200">
        <v>210</v>
      </c>
      <c r="BQ35" s="201"/>
      <c r="BR35" s="202"/>
      <c r="BS35" s="187">
        <v>1000000000</v>
      </c>
      <c r="BT35" s="203">
        <v>0</v>
      </c>
      <c r="BU35" s="204">
        <v>0</v>
      </c>
      <c r="BV35" s="203">
        <v>0</v>
      </c>
      <c r="BW35" s="205">
        <v>0</v>
      </c>
      <c r="BX35" s="205">
        <v>0</v>
      </c>
      <c r="BY35" s="205">
        <v>0</v>
      </c>
      <c r="BZ35" s="203">
        <v>0</v>
      </c>
      <c r="CA35" s="203">
        <v>0</v>
      </c>
      <c r="CB35" s="203">
        <v>0</v>
      </c>
      <c r="CC35" s="204">
        <v>0</v>
      </c>
      <c r="CD35" s="203">
        <v>0</v>
      </c>
      <c r="CE35" s="203">
        <v>0</v>
      </c>
      <c r="CF35" s="13">
        <v>0</v>
      </c>
      <c r="CG35" s="206">
        <v>0</v>
      </c>
      <c r="CH35" s="207">
        <v>0</v>
      </c>
      <c r="CI35" s="201"/>
      <c r="CJ35" s="208"/>
      <c r="CK35" s="209" t="s">
        <v>615</v>
      </c>
      <c r="CL35" s="210" t="s">
        <v>615</v>
      </c>
      <c r="CM35" s="207">
        <v>0</v>
      </c>
      <c r="CN35" s="207">
        <v>0</v>
      </c>
      <c r="CO35" s="204">
        <v>0</v>
      </c>
      <c r="CP35" s="204">
        <v>0</v>
      </c>
      <c r="CQ35" s="211"/>
      <c r="CR35" s="204">
        <v>1</v>
      </c>
      <c r="CS35" s="212">
        <v>42709</v>
      </c>
      <c r="CT35" s="212">
        <v>42780</v>
      </c>
      <c r="CU35" s="213">
        <v>42780</v>
      </c>
      <c r="CV35" s="214">
        <v>42829</v>
      </c>
      <c r="CW35" s="214" t="s">
        <v>615</v>
      </c>
      <c r="CX35" s="214" t="s">
        <v>615</v>
      </c>
      <c r="CY35" s="204">
        <v>0.21072097724187003</v>
      </c>
      <c r="CZ35" s="204">
        <v>0.97959183673469397</v>
      </c>
      <c r="DA35" s="203">
        <v>0</v>
      </c>
      <c r="DB35" s="204">
        <v>4.0816326530612242E-2</v>
      </c>
      <c r="DC35" s="204">
        <v>0</v>
      </c>
      <c r="DD35" s="204">
        <v>0</v>
      </c>
      <c r="DE35" s="204">
        <v>0</v>
      </c>
      <c r="DF35" s="215">
        <v>0.93877551020408168</v>
      </c>
      <c r="DG35" s="13" t="s">
        <v>615</v>
      </c>
      <c r="DH35" s="86">
        <v>33</v>
      </c>
      <c r="DI35" s="86"/>
      <c r="DJ35" s="86">
        <v>246</v>
      </c>
      <c r="DK35" s="86" t="s">
        <v>1703</v>
      </c>
      <c r="DL35" s="86" t="e">
        <v>#N/A</v>
      </c>
      <c r="DM35" s="86" t="e">
        <v>#N/A</v>
      </c>
      <c r="DN35" s="86" t="e">
        <v>#N/A</v>
      </c>
      <c r="DO35" s="86">
        <v>416</v>
      </c>
      <c r="DP35" s="86">
        <v>5</v>
      </c>
      <c r="DQ35" s="86">
        <v>49</v>
      </c>
      <c r="DR35" s="160">
        <v>0</v>
      </c>
      <c r="DS35" s="160">
        <v>0</v>
      </c>
      <c r="DT35" s="160">
        <v>0</v>
      </c>
      <c r="DU35" s="160">
        <v>0</v>
      </c>
      <c r="DV35" s="160">
        <v>0</v>
      </c>
      <c r="DW35" s="160">
        <v>0</v>
      </c>
      <c r="DX35" s="160">
        <v>0</v>
      </c>
      <c r="DY35" s="160">
        <v>0</v>
      </c>
      <c r="DZ35" s="160">
        <v>0</v>
      </c>
      <c r="EA35" s="146">
        <v>0</v>
      </c>
      <c r="EB35" s="146">
        <v>0</v>
      </c>
      <c r="EC35" s="146">
        <v>0</v>
      </c>
      <c r="ED35" s="146">
        <v>0</v>
      </c>
      <c r="EE35" s="146">
        <v>0</v>
      </c>
      <c r="EF35" s="146">
        <v>0</v>
      </c>
      <c r="EG35" s="146">
        <v>0</v>
      </c>
      <c r="EH35" s="146">
        <v>0</v>
      </c>
      <c r="EI35" s="146">
        <v>0</v>
      </c>
      <c r="EJ35" s="146">
        <v>0</v>
      </c>
      <c r="EK35" s="146">
        <v>0</v>
      </c>
      <c r="EL35" s="146">
        <v>0</v>
      </c>
      <c r="EM35" s="146">
        <v>0</v>
      </c>
      <c r="EN35" s="146">
        <v>0</v>
      </c>
      <c r="EO35" s="146">
        <v>0</v>
      </c>
      <c r="EP35" s="146">
        <v>0</v>
      </c>
      <c r="EQ35" s="146">
        <v>0</v>
      </c>
      <c r="ER35" s="146">
        <v>0</v>
      </c>
      <c r="ES35" s="146">
        <v>0</v>
      </c>
      <c r="ET35" s="146">
        <v>0</v>
      </c>
      <c r="EU35" s="146">
        <v>0</v>
      </c>
      <c r="EV35" s="146">
        <v>0</v>
      </c>
      <c r="EW35" s="146">
        <v>0</v>
      </c>
      <c r="EX35" s="146">
        <v>0</v>
      </c>
      <c r="EY35" s="146">
        <v>0</v>
      </c>
      <c r="EZ35" s="146">
        <v>0</v>
      </c>
      <c r="FA35" s="146">
        <v>0</v>
      </c>
      <c r="FB35" s="146">
        <v>0</v>
      </c>
      <c r="FC35" s="146">
        <v>0</v>
      </c>
      <c r="FD35" s="146">
        <v>0</v>
      </c>
      <c r="FE35" s="146">
        <v>0</v>
      </c>
      <c r="FF35" s="146">
        <v>0</v>
      </c>
      <c r="FG35" s="146">
        <v>0</v>
      </c>
      <c r="FH35" s="146">
        <v>0</v>
      </c>
      <c r="FI35" s="146">
        <v>0</v>
      </c>
      <c r="FJ35" s="146">
        <v>0</v>
      </c>
      <c r="FK35" s="146">
        <v>0</v>
      </c>
      <c r="FL35" s="146">
        <v>0</v>
      </c>
      <c r="FM35" s="146">
        <v>0</v>
      </c>
      <c r="FN35" s="146">
        <v>0</v>
      </c>
      <c r="FO35" s="146">
        <v>0</v>
      </c>
      <c r="FP35" s="146">
        <v>0</v>
      </c>
      <c r="FQ35" s="146">
        <v>0</v>
      </c>
      <c r="FR35" s="146">
        <v>0</v>
      </c>
      <c r="FS35" s="146">
        <v>0</v>
      </c>
      <c r="FT35" s="146">
        <v>0</v>
      </c>
      <c r="FU35" s="146">
        <v>1210</v>
      </c>
      <c r="FV35" s="146">
        <v>1210</v>
      </c>
      <c r="FW35" s="146">
        <v>1210</v>
      </c>
      <c r="FX35" s="146">
        <v>1210</v>
      </c>
      <c r="FY35" s="146">
        <v>1210</v>
      </c>
      <c r="FZ35" s="146">
        <v>1210</v>
      </c>
      <c r="GA35" s="146">
        <v>1210</v>
      </c>
      <c r="GB35" s="146">
        <v>1210</v>
      </c>
      <c r="GC35" s="146">
        <v>1210</v>
      </c>
      <c r="GD35" s="146">
        <v>1210</v>
      </c>
      <c r="GE35" s="146">
        <v>1210</v>
      </c>
      <c r="GF35" s="146">
        <v>1210</v>
      </c>
      <c r="GG35" s="146">
        <v>1210</v>
      </c>
      <c r="GH35" s="146">
        <v>1210</v>
      </c>
      <c r="GI35" s="146">
        <v>1210</v>
      </c>
      <c r="GJ35" s="146">
        <v>1210</v>
      </c>
      <c r="GK35" s="146">
        <v>1210</v>
      </c>
      <c r="GL35" s="146">
        <v>1210</v>
      </c>
      <c r="GM35" s="146">
        <v>1210</v>
      </c>
      <c r="GN35" s="146">
        <v>1210</v>
      </c>
      <c r="GO35" s="146">
        <v>1210</v>
      </c>
      <c r="GP35" s="146">
        <v>1210</v>
      </c>
      <c r="GQ35" s="146">
        <v>1210</v>
      </c>
      <c r="GR35" s="146">
        <v>1210</v>
      </c>
      <c r="GS35" s="146">
        <v>1210</v>
      </c>
      <c r="GT35" s="146">
        <v>1210</v>
      </c>
      <c r="GU35" s="146">
        <v>1210</v>
      </c>
      <c r="GV35" s="146">
        <v>1210</v>
      </c>
      <c r="GW35" s="146">
        <v>1210</v>
      </c>
      <c r="GX35" s="146">
        <v>1210</v>
      </c>
      <c r="GY35" s="146">
        <v>1210</v>
      </c>
      <c r="GZ35" s="146">
        <v>1210</v>
      </c>
      <c r="HA35" s="146">
        <v>1210</v>
      </c>
      <c r="HB35" s="146">
        <v>1210</v>
      </c>
      <c r="HC35" s="146">
        <v>1210</v>
      </c>
      <c r="HD35" s="146">
        <v>1210</v>
      </c>
      <c r="HE35" s="146">
        <v>1210</v>
      </c>
      <c r="HF35" s="146">
        <v>1210</v>
      </c>
      <c r="HG35" s="146">
        <v>1210</v>
      </c>
      <c r="HH35" s="146">
        <v>1210</v>
      </c>
      <c r="HI35" s="146">
        <v>1210</v>
      </c>
      <c r="HJ35" s="146">
        <v>1210</v>
      </c>
      <c r="HK35" s="146">
        <v>1210</v>
      </c>
      <c r="HL35" s="146">
        <v>1210</v>
      </c>
      <c r="HM35" s="146">
        <v>1210</v>
      </c>
      <c r="HN35" s="146">
        <v>1210</v>
      </c>
      <c r="HO35" s="146">
        <v>1210</v>
      </c>
      <c r="HP35" s="146">
        <v>1210</v>
      </c>
      <c r="HQ35" s="146">
        <v>1210</v>
      </c>
      <c r="HR35" s="146">
        <v>1210</v>
      </c>
      <c r="HS35" s="146">
        <v>1210</v>
      </c>
      <c r="HT35" s="146">
        <v>0</v>
      </c>
      <c r="HU35" s="151"/>
      <c r="HV35" s="146">
        <v>0</v>
      </c>
      <c r="HW35" s="151"/>
      <c r="HX35" s="151"/>
      <c r="HY35" s="151"/>
      <c r="HZ35" s="151"/>
      <c r="IA35" s="151"/>
      <c r="IB35" s="151"/>
      <c r="IC35" s="151"/>
      <c r="ID35" s="151"/>
      <c r="IE35" s="151"/>
      <c r="IF35" s="151"/>
      <c r="IG35" s="151"/>
      <c r="IH35" s="151"/>
      <c r="II35" s="151"/>
      <c r="IJ35" s="151"/>
      <c r="IK35" s="151"/>
      <c r="IL35" s="151"/>
      <c r="IM35" s="151"/>
      <c r="IN35" s="151"/>
      <c r="IO35" s="151"/>
      <c r="IP35" s="151"/>
      <c r="IQ35" s="151"/>
      <c r="IR35" s="151"/>
      <c r="IS35" s="151"/>
      <c r="IT35" s="151"/>
      <c r="IU35" s="151"/>
      <c r="IV35" s="151"/>
      <c r="IW35" s="151"/>
      <c r="IX35" s="151"/>
      <c r="IY35" s="151"/>
      <c r="IZ35" s="151"/>
      <c r="JA35" s="151"/>
      <c r="JB35" s="151"/>
      <c r="JC35" s="151"/>
      <c r="JD35" s="151"/>
      <c r="JE35" s="151"/>
      <c r="JF35" s="151"/>
      <c r="JG35" s="151"/>
      <c r="JH35" s="151"/>
      <c r="JI35" s="151"/>
      <c r="JJ35" s="151"/>
      <c r="JK35" s="151"/>
      <c r="JL35" s="151"/>
      <c r="JM35" s="151"/>
      <c r="JN35" s="151"/>
      <c r="JO35" s="151"/>
      <c r="JP35" s="151"/>
      <c r="JQ35" s="151"/>
      <c r="JR35" s="151"/>
      <c r="JS35" s="151"/>
      <c r="JT35" s="151"/>
      <c r="JU35" s="151"/>
      <c r="JV35" s="151"/>
      <c r="JW35" s="151"/>
      <c r="JX35" s="151"/>
      <c r="JY35" s="151"/>
      <c r="JZ35" s="151"/>
      <c r="KA35" s="151"/>
      <c r="KB35" s="151"/>
      <c r="KC35" s="151"/>
      <c r="KD35" s="151"/>
      <c r="KE35" s="151"/>
      <c r="KF35" s="151"/>
      <c r="KG35" s="151"/>
      <c r="KH35" s="151"/>
      <c r="KI35" s="151"/>
      <c r="KJ35" s="151"/>
      <c r="KK35" s="151"/>
      <c r="KL35" s="151"/>
      <c r="KM35" s="151"/>
      <c r="KN35" s="151"/>
      <c r="KO35" s="151"/>
      <c r="KP35" s="151"/>
      <c r="KQ35" s="151"/>
      <c r="KR35" s="151"/>
      <c r="KS35" s="151"/>
      <c r="KT35" s="151"/>
      <c r="KU35" s="151"/>
      <c r="KV35" s="151"/>
      <c r="KW35" s="151"/>
      <c r="KX35" s="151"/>
      <c r="KY35" s="151"/>
      <c r="KZ35" s="151"/>
      <c r="LA35" s="151"/>
      <c r="LB35" s="151"/>
      <c r="LC35" s="151"/>
      <c r="LD35" s="151"/>
      <c r="LE35" s="151"/>
    </row>
    <row r="36" spans="1:317" x14ac:dyDescent="0.2">
      <c r="A36" s="179" t="s">
        <v>849</v>
      </c>
      <c r="B36" s="180" t="s">
        <v>935</v>
      </c>
      <c r="C36" s="181"/>
      <c r="D36" s="182">
        <v>0</v>
      </c>
      <c r="E36" s="182">
        <v>0</v>
      </c>
      <c r="F36" s="183" t="s">
        <v>1220</v>
      </c>
      <c r="G36" s="183">
        <v>0</v>
      </c>
      <c r="H36" s="183">
        <v>0</v>
      </c>
      <c r="I36" s="183">
        <v>0</v>
      </c>
      <c r="J36" s="183">
        <v>0</v>
      </c>
      <c r="K36" s="183" t="s">
        <v>1367</v>
      </c>
      <c r="L36" s="183">
        <v>0</v>
      </c>
      <c r="M36" s="183">
        <v>0</v>
      </c>
      <c r="N36" s="183" t="s">
        <v>881</v>
      </c>
      <c r="O36" s="183">
        <v>0</v>
      </c>
      <c r="P36" s="183">
        <v>0</v>
      </c>
      <c r="Q36" s="183"/>
      <c r="R36" s="183"/>
      <c r="S36" s="183"/>
      <c r="T36" s="183"/>
      <c r="U36" s="183"/>
      <c r="V36" s="183">
        <v>0</v>
      </c>
      <c r="W36" s="183">
        <v>0</v>
      </c>
      <c r="X36" s="183">
        <v>0</v>
      </c>
      <c r="Y36" s="184">
        <v>1.45</v>
      </c>
      <c r="Z36" s="184">
        <v>10</v>
      </c>
      <c r="AA36" s="184">
        <v>0</v>
      </c>
      <c r="AB36" s="185" t="s">
        <v>615</v>
      </c>
      <c r="AC36" s="185" t="s">
        <v>615</v>
      </c>
      <c r="AD36" s="186" t="s">
        <v>881</v>
      </c>
      <c r="AE36" s="186" t="s">
        <v>858</v>
      </c>
      <c r="AF36" s="187">
        <v>7</v>
      </c>
      <c r="AG36" s="187">
        <v>3</v>
      </c>
      <c r="AH36" s="187">
        <v>4</v>
      </c>
      <c r="AI36" s="188">
        <v>1</v>
      </c>
      <c r="AJ36" s="188" t="s">
        <v>615</v>
      </c>
      <c r="AK36" s="187" t="s">
        <v>1733</v>
      </c>
      <c r="AL36" s="87" t="s">
        <v>615</v>
      </c>
      <c r="AM36" s="189"/>
      <c r="AN36" s="187" t="s">
        <v>615</v>
      </c>
      <c r="AO36" s="13" t="s">
        <v>615</v>
      </c>
      <c r="AP36" s="187">
        <v>0</v>
      </c>
      <c r="AQ36" s="187">
        <v>0</v>
      </c>
      <c r="AR36" s="190">
        <v>0</v>
      </c>
      <c r="AS36" s="190">
        <v>0</v>
      </c>
      <c r="AT36" s="190">
        <v>0</v>
      </c>
      <c r="AU36" s="187">
        <v>0</v>
      </c>
      <c r="AV36" s="187">
        <v>0</v>
      </c>
      <c r="AW36" s="191"/>
      <c r="AX36" s="192"/>
      <c r="AY36" s="193">
        <v>42666</v>
      </c>
      <c r="AZ36" s="193"/>
      <c r="BA36" s="193"/>
      <c r="BB36" s="194"/>
      <c r="BC36" s="194"/>
      <c r="BD36" s="195"/>
      <c r="BE36" s="195" t="s">
        <v>532</v>
      </c>
      <c r="BF36" s="195"/>
      <c r="BG36" s="195">
        <v>100</v>
      </c>
      <c r="BH36" s="196" t="s">
        <v>547</v>
      </c>
      <c r="BI36" s="197">
        <v>1</v>
      </c>
      <c r="BJ36" s="198"/>
      <c r="BK36" s="199">
        <v>0</v>
      </c>
      <c r="BL36" s="13">
        <v>0</v>
      </c>
      <c r="BM36" s="13">
        <v>0</v>
      </c>
      <c r="BN36" s="13" t="s">
        <v>616</v>
      </c>
      <c r="BO36" s="13" t="s">
        <v>616</v>
      </c>
      <c r="BP36" s="200">
        <v>0</v>
      </c>
      <c r="BQ36" s="201"/>
      <c r="BR36" s="202"/>
      <c r="BS36" s="187">
        <v>1000000000</v>
      </c>
      <c r="BT36" s="203">
        <v>0</v>
      </c>
      <c r="BU36" s="204">
        <v>0</v>
      </c>
      <c r="BV36" s="203">
        <v>0</v>
      </c>
      <c r="BW36" s="205">
        <v>0</v>
      </c>
      <c r="BX36" s="205">
        <v>0</v>
      </c>
      <c r="BY36" s="205">
        <v>0</v>
      </c>
      <c r="BZ36" s="203">
        <v>0</v>
      </c>
      <c r="CA36" s="203">
        <v>0</v>
      </c>
      <c r="CB36" s="203">
        <v>0</v>
      </c>
      <c r="CC36" s="204">
        <v>0</v>
      </c>
      <c r="CD36" s="203">
        <v>0</v>
      </c>
      <c r="CE36" s="203">
        <v>0</v>
      </c>
      <c r="CF36" s="13">
        <v>0</v>
      </c>
      <c r="CG36" s="206">
        <v>0</v>
      </c>
      <c r="CH36" s="207">
        <v>0</v>
      </c>
      <c r="CI36" s="201"/>
      <c r="CJ36" s="208"/>
      <c r="CK36" s="209" t="s">
        <v>615</v>
      </c>
      <c r="CL36" s="210" t="s">
        <v>615</v>
      </c>
      <c r="CM36" s="207">
        <v>0</v>
      </c>
      <c r="CN36" s="207">
        <v>0</v>
      </c>
      <c r="CO36" s="204">
        <v>0</v>
      </c>
      <c r="CP36" s="204">
        <v>0</v>
      </c>
      <c r="CQ36" s="211"/>
      <c r="CR36" s="204">
        <v>1</v>
      </c>
      <c r="CS36" s="212">
        <v>42592</v>
      </c>
      <c r="CT36" s="212">
        <v>42780</v>
      </c>
      <c r="CU36" s="213">
        <v>42780</v>
      </c>
      <c r="CV36" s="214">
        <v>42829</v>
      </c>
      <c r="CW36" s="214" t="s">
        <v>615</v>
      </c>
      <c r="CX36" s="214" t="s">
        <v>615</v>
      </c>
      <c r="CY36" s="204">
        <v>0.58345996599157823</v>
      </c>
      <c r="CZ36" s="204">
        <v>0.97959183673469385</v>
      </c>
      <c r="DA36" s="203">
        <v>0</v>
      </c>
      <c r="DB36" s="204">
        <v>0.24489795918367346</v>
      </c>
      <c r="DC36" s="204">
        <v>0</v>
      </c>
      <c r="DD36" s="204">
        <v>0</v>
      </c>
      <c r="DE36" s="204">
        <v>0</v>
      </c>
      <c r="DF36" s="215">
        <v>0.73469387755102045</v>
      </c>
      <c r="DG36" s="13" t="s">
        <v>615</v>
      </c>
      <c r="DH36" s="86">
        <v>34</v>
      </c>
      <c r="DI36" s="86"/>
      <c r="DJ36" s="86">
        <v>245</v>
      </c>
      <c r="DK36" s="86" t="s">
        <v>1702</v>
      </c>
      <c r="DL36" s="86" t="e">
        <v>#N/A</v>
      </c>
      <c r="DM36" s="86" t="e">
        <v>#N/A</v>
      </c>
      <c r="DN36" s="86" t="e">
        <v>#N/A</v>
      </c>
      <c r="DO36" s="86">
        <v>415</v>
      </c>
      <c r="DP36" s="86">
        <v>5</v>
      </c>
      <c r="DQ36" s="86">
        <v>49</v>
      </c>
      <c r="DR36" s="152">
        <v>0</v>
      </c>
      <c r="DS36" s="152">
        <v>0</v>
      </c>
      <c r="DT36" s="152">
        <v>0</v>
      </c>
      <c r="DU36" s="152">
        <v>0</v>
      </c>
      <c r="DV36" s="152">
        <v>0</v>
      </c>
      <c r="DW36" s="152">
        <v>0</v>
      </c>
      <c r="DX36" s="152">
        <v>0</v>
      </c>
      <c r="DY36" s="152">
        <v>0</v>
      </c>
      <c r="DZ36" s="152">
        <v>0</v>
      </c>
      <c r="EA36" s="152">
        <v>0</v>
      </c>
      <c r="EB36" s="152">
        <v>0</v>
      </c>
      <c r="EC36" s="152">
        <v>0</v>
      </c>
      <c r="ED36" s="152">
        <v>0</v>
      </c>
      <c r="EE36" s="152">
        <v>0</v>
      </c>
      <c r="EF36" s="152">
        <v>0</v>
      </c>
      <c r="EG36" s="152">
        <v>0</v>
      </c>
      <c r="EH36" s="152">
        <v>0</v>
      </c>
      <c r="EI36" s="152">
        <v>0</v>
      </c>
      <c r="EJ36" s="152">
        <v>0</v>
      </c>
      <c r="EK36" s="152">
        <v>0</v>
      </c>
      <c r="EL36" s="152">
        <v>0</v>
      </c>
      <c r="EM36" s="152">
        <v>0</v>
      </c>
      <c r="EN36" s="152">
        <v>0</v>
      </c>
      <c r="EO36" s="152">
        <v>0</v>
      </c>
      <c r="EP36" s="152">
        <v>0</v>
      </c>
      <c r="EQ36" s="152">
        <v>0</v>
      </c>
      <c r="ER36" s="152">
        <v>0</v>
      </c>
      <c r="ES36" s="152">
        <v>0</v>
      </c>
      <c r="ET36" s="152">
        <v>0</v>
      </c>
      <c r="EU36" s="152">
        <v>0</v>
      </c>
      <c r="EV36" s="152">
        <v>0</v>
      </c>
      <c r="EW36" s="152">
        <v>0</v>
      </c>
      <c r="EX36" s="152">
        <v>0</v>
      </c>
      <c r="EY36" s="152">
        <v>0</v>
      </c>
      <c r="EZ36" s="152">
        <v>0</v>
      </c>
      <c r="FA36" s="152">
        <v>0</v>
      </c>
      <c r="FB36" s="152">
        <v>0</v>
      </c>
      <c r="FC36" s="152">
        <v>0</v>
      </c>
      <c r="FD36" s="152">
        <v>0</v>
      </c>
      <c r="FE36" s="152">
        <v>0</v>
      </c>
      <c r="FF36" s="152">
        <v>0</v>
      </c>
      <c r="FG36" s="152">
        <v>0</v>
      </c>
      <c r="FH36" s="152">
        <v>0</v>
      </c>
      <c r="FI36" s="152">
        <v>0</v>
      </c>
      <c r="FJ36" s="152">
        <v>0</v>
      </c>
      <c r="FK36" s="152">
        <v>0</v>
      </c>
      <c r="FL36" s="152">
        <v>0</v>
      </c>
      <c r="FM36" s="152">
        <v>0</v>
      </c>
      <c r="FN36" s="152">
        <v>0</v>
      </c>
      <c r="FO36" s="152">
        <v>0</v>
      </c>
      <c r="FP36" s="152">
        <v>0</v>
      </c>
      <c r="FQ36" s="152">
        <v>0</v>
      </c>
      <c r="FR36" s="152">
        <v>0</v>
      </c>
      <c r="FS36" s="152">
        <v>0</v>
      </c>
      <c r="FT36" s="152">
        <v>0</v>
      </c>
      <c r="FU36" s="152">
        <v>9</v>
      </c>
      <c r="FV36" s="152">
        <v>9</v>
      </c>
      <c r="FW36" s="152">
        <v>9</v>
      </c>
      <c r="FX36" s="152">
        <v>9</v>
      </c>
      <c r="FY36" s="152">
        <v>9</v>
      </c>
      <c r="FZ36" s="152">
        <v>9</v>
      </c>
      <c r="GA36" s="152">
        <v>9</v>
      </c>
      <c r="GB36" s="152">
        <v>9</v>
      </c>
      <c r="GC36" s="152">
        <v>9</v>
      </c>
      <c r="GD36" s="152">
        <v>9</v>
      </c>
      <c r="GE36" s="152">
        <v>9</v>
      </c>
      <c r="GF36" s="152">
        <v>9</v>
      </c>
      <c r="GG36" s="152">
        <v>9</v>
      </c>
      <c r="GH36" s="152">
        <v>9</v>
      </c>
      <c r="GI36" s="152">
        <v>9</v>
      </c>
      <c r="GJ36" s="152">
        <v>9</v>
      </c>
      <c r="GK36" s="152">
        <v>9</v>
      </c>
      <c r="GL36" s="152">
        <v>9</v>
      </c>
      <c r="GM36" s="152">
        <v>9</v>
      </c>
      <c r="GN36" s="152">
        <v>9</v>
      </c>
      <c r="GO36" s="152">
        <v>9</v>
      </c>
      <c r="GP36" s="152">
        <v>9</v>
      </c>
      <c r="GQ36" s="152">
        <v>9</v>
      </c>
      <c r="GR36" s="152">
        <v>9</v>
      </c>
      <c r="GS36" s="152">
        <v>9</v>
      </c>
      <c r="GT36" s="152">
        <v>9</v>
      </c>
      <c r="GU36" s="152">
        <v>9</v>
      </c>
      <c r="GV36" s="152">
        <v>9</v>
      </c>
      <c r="GW36" s="152">
        <v>9</v>
      </c>
      <c r="GX36" s="152">
        <v>0</v>
      </c>
      <c r="GY36" s="152">
        <v>0</v>
      </c>
      <c r="GZ36" s="152">
        <v>0</v>
      </c>
      <c r="HA36" s="152">
        <v>0</v>
      </c>
      <c r="HB36" s="152">
        <v>0</v>
      </c>
      <c r="HC36" s="152">
        <v>0</v>
      </c>
      <c r="HD36" s="152">
        <v>0</v>
      </c>
      <c r="HE36" s="152">
        <v>0</v>
      </c>
      <c r="HF36" s="152">
        <v>0</v>
      </c>
      <c r="HG36" s="152">
        <v>0</v>
      </c>
      <c r="HH36" s="152">
        <v>9</v>
      </c>
      <c r="HI36" s="152">
        <v>9</v>
      </c>
      <c r="HJ36" s="152">
        <v>9</v>
      </c>
      <c r="HK36" s="152">
        <v>9</v>
      </c>
      <c r="HL36" s="152">
        <v>9</v>
      </c>
      <c r="HM36" s="152">
        <v>9</v>
      </c>
      <c r="HN36" s="152">
        <v>9</v>
      </c>
      <c r="HO36" s="152">
        <v>9</v>
      </c>
      <c r="HP36" s="152">
        <v>9</v>
      </c>
      <c r="HQ36" s="152">
        <v>9</v>
      </c>
      <c r="HR36" s="152">
        <v>9</v>
      </c>
      <c r="HS36" s="152">
        <v>9</v>
      </c>
      <c r="HT36" s="152">
        <v>0</v>
      </c>
      <c r="HU36" s="216"/>
      <c r="HV36" s="152">
        <v>0</v>
      </c>
      <c r="HW36" s="216"/>
      <c r="HX36" s="216"/>
      <c r="HY36" s="216"/>
      <c r="HZ36" s="216"/>
      <c r="IA36" s="216"/>
      <c r="IB36" s="216"/>
      <c r="IC36" s="216"/>
      <c r="ID36" s="216"/>
      <c r="IE36" s="216"/>
      <c r="IF36" s="216"/>
      <c r="IG36" s="216"/>
      <c r="IH36" s="216"/>
      <c r="II36" s="216"/>
      <c r="IJ36" s="216"/>
      <c r="IK36" s="216"/>
      <c r="IL36" s="216"/>
      <c r="IM36" s="216"/>
      <c r="IN36" s="216"/>
      <c r="IO36" s="216"/>
      <c r="IP36" s="216"/>
      <c r="IQ36" s="216"/>
      <c r="IR36" s="216"/>
      <c r="IS36" s="216"/>
      <c r="IT36" s="216"/>
      <c r="IU36" s="216"/>
      <c r="IV36" s="216"/>
      <c r="IW36" s="216"/>
      <c r="IX36" s="216"/>
      <c r="IY36" s="216"/>
      <c r="IZ36" s="216"/>
      <c r="JA36" s="216"/>
      <c r="JB36" s="216"/>
      <c r="JC36" s="216"/>
      <c r="JD36" s="216"/>
      <c r="JE36" s="216"/>
      <c r="JF36" s="216"/>
      <c r="JG36" s="216"/>
      <c r="JH36" s="216"/>
      <c r="JI36" s="216"/>
      <c r="JJ36" s="216"/>
      <c r="JK36" s="216"/>
      <c r="JL36" s="216"/>
      <c r="JM36" s="216"/>
      <c r="JN36" s="216"/>
      <c r="JO36" s="216"/>
      <c r="JP36" s="216"/>
      <c r="JQ36" s="216"/>
      <c r="JR36" s="216"/>
      <c r="JS36" s="216"/>
      <c r="JT36" s="216"/>
      <c r="JU36" s="216"/>
      <c r="JV36" s="216"/>
      <c r="JW36" s="216"/>
      <c r="JX36" s="216"/>
      <c r="JY36" s="216"/>
      <c r="JZ36" s="216"/>
      <c r="KA36" s="216"/>
      <c r="KB36" s="216"/>
      <c r="KC36" s="216"/>
      <c r="KD36" s="216"/>
      <c r="KE36" s="216"/>
      <c r="KF36" s="216"/>
      <c r="KG36" s="216"/>
      <c r="KH36" s="216"/>
      <c r="KI36" s="216"/>
      <c r="KJ36" s="216"/>
      <c r="KK36" s="216"/>
      <c r="KL36" s="216"/>
      <c r="KM36" s="216"/>
      <c r="KN36" s="216"/>
      <c r="KO36" s="216"/>
      <c r="KP36" s="216"/>
      <c r="KQ36" s="216"/>
      <c r="KR36" s="216"/>
      <c r="KS36" s="216"/>
      <c r="KT36" s="216"/>
      <c r="KU36" s="216"/>
      <c r="KV36" s="216"/>
      <c r="KW36" s="216"/>
      <c r="KX36" s="216"/>
      <c r="KY36" s="216"/>
      <c r="KZ36" s="216"/>
      <c r="LA36" s="216"/>
      <c r="LB36" s="216"/>
      <c r="LC36" s="216"/>
      <c r="LD36" s="216"/>
      <c r="LE36" s="216"/>
    </row>
    <row r="37" spans="1:317" x14ac:dyDescent="0.2">
      <c r="A37" s="179" t="s">
        <v>849</v>
      </c>
      <c r="B37" s="180" t="s">
        <v>936</v>
      </c>
      <c r="C37" s="181"/>
      <c r="D37" s="182">
        <v>0</v>
      </c>
      <c r="E37" s="182">
        <v>0</v>
      </c>
      <c r="F37" s="183" t="s">
        <v>1221</v>
      </c>
      <c r="G37" s="183">
        <v>0</v>
      </c>
      <c r="H37" s="183">
        <v>0</v>
      </c>
      <c r="I37" s="183">
        <v>0</v>
      </c>
      <c r="J37" s="183">
        <v>0</v>
      </c>
      <c r="K37" s="183" t="s">
        <v>1368</v>
      </c>
      <c r="L37" s="183">
        <v>0</v>
      </c>
      <c r="M37" s="183">
        <v>0</v>
      </c>
      <c r="N37" s="183" t="s">
        <v>881</v>
      </c>
      <c r="O37" s="183">
        <v>0</v>
      </c>
      <c r="P37" s="183">
        <v>0</v>
      </c>
      <c r="Q37" s="183"/>
      <c r="R37" s="183"/>
      <c r="S37" s="183"/>
      <c r="T37" s="183"/>
      <c r="U37" s="183"/>
      <c r="V37" s="183">
        <v>0</v>
      </c>
      <c r="W37" s="183">
        <v>0</v>
      </c>
      <c r="X37" s="183">
        <v>0</v>
      </c>
      <c r="Y37" s="184">
        <v>0.28000000000000003</v>
      </c>
      <c r="Z37" s="184">
        <v>2.2799999999999998</v>
      </c>
      <c r="AA37" s="184">
        <v>0</v>
      </c>
      <c r="AB37" s="185" t="s">
        <v>615</v>
      </c>
      <c r="AC37" s="185" t="s">
        <v>615</v>
      </c>
      <c r="AD37" s="186" t="s">
        <v>881</v>
      </c>
      <c r="AE37" s="186" t="s">
        <v>858</v>
      </c>
      <c r="AF37" s="187">
        <v>7</v>
      </c>
      <c r="AG37" s="187">
        <v>3</v>
      </c>
      <c r="AH37" s="187">
        <v>4</v>
      </c>
      <c r="AI37" s="188">
        <v>1</v>
      </c>
      <c r="AJ37" s="188" t="s">
        <v>615</v>
      </c>
      <c r="AK37" s="187" t="s">
        <v>1737</v>
      </c>
      <c r="AL37" s="87" t="s">
        <v>615</v>
      </c>
      <c r="AM37" s="189"/>
      <c r="AN37" s="187" t="s">
        <v>615</v>
      </c>
      <c r="AO37" s="13" t="s">
        <v>615</v>
      </c>
      <c r="AP37" s="187">
        <v>0</v>
      </c>
      <c r="AQ37" s="187">
        <v>0</v>
      </c>
      <c r="AR37" s="190">
        <v>0</v>
      </c>
      <c r="AS37" s="190">
        <v>0</v>
      </c>
      <c r="AT37" s="190">
        <v>0</v>
      </c>
      <c r="AU37" s="187">
        <v>0</v>
      </c>
      <c r="AV37" s="187">
        <v>0</v>
      </c>
      <c r="AW37" s="191"/>
      <c r="AX37" s="192"/>
      <c r="AY37" s="193">
        <v>42666</v>
      </c>
      <c r="AZ37" s="193"/>
      <c r="BA37" s="193"/>
      <c r="BB37" s="194"/>
      <c r="BC37" s="194"/>
      <c r="BD37" s="195"/>
      <c r="BE37" s="195" t="s">
        <v>532</v>
      </c>
      <c r="BF37" s="195"/>
      <c r="BG37" s="195">
        <v>300</v>
      </c>
      <c r="BH37" s="196" t="s">
        <v>547</v>
      </c>
      <c r="BI37" s="197">
        <v>1</v>
      </c>
      <c r="BJ37" s="198"/>
      <c r="BK37" s="199">
        <v>0</v>
      </c>
      <c r="BL37" s="13">
        <v>0</v>
      </c>
      <c r="BM37" s="13">
        <v>0</v>
      </c>
      <c r="BN37" s="13" t="s">
        <v>616</v>
      </c>
      <c r="BO37" s="13" t="s">
        <v>616</v>
      </c>
      <c r="BP37" s="200">
        <v>21</v>
      </c>
      <c r="BQ37" s="201"/>
      <c r="BR37" s="202"/>
      <c r="BS37" s="187">
        <v>1000000000</v>
      </c>
      <c r="BT37" s="203">
        <v>0</v>
      </c>
      <c r="BU37" s="204">
        <v>0</v>
      </c>
      <c r="BV37" s="203">
        <v>0</v>
      </c>
      <c r="BW37" s="205">
        <v>0</v>
      </c>
      <c r="BX37" s="205">
        <v>0</v>
      </c>
      <c r="BY37" s="205">
        <v>0</v>
      </c>
      <c r="BZ37" s="203">
        <v>0</v>
      </c>
      <c r="CA37" s="203">
        <v>0</v>
      </c>
      <c r="CB37" s="203">
        <v>0</v>
      </c>
      <c r="CC37" s="204">
        <v>0</v>
      </c>
      <c r="CD37" s="203">
        <v>0</v>
      </c>
      <c r="CE37" s="203">
        <v>0</v>
      </c>
      <c r="CF37" s="13">
        <v>0</v>
      </c>
      <c r="CG37" s="206">
        <v>0</v>
      </c>
      <c r="CH37" s="207">
        <v>0</v>
      </c>
      <c r="CI37" s="201"/>
      <c r="CJ37" s="208"/>
      <c r="CK37" s="209" t="s">
        <v>615</v>
      </c>
      <c r="CL37" s="210" t="s">
        <v>615</v>
      </c>
      <c r="CM37" s="207">
        <v>0</v>
      </c>
      <c r="CN37" s="207">
        <v>0</v>
      </c>
      <c r="CO37" s="204">
        <v>0</v>
      </c>
      <c r="CP37" s="204">
        <v>0</v>
      </c>
      <c r="CQ37" s="211"/>
      <c r="CR37" s="204">
        <v>1</v>
      </c>
      <c r="CS37" s="212">
        <v>42709</v>
      </c>
      <c r="CT37" s="212">
        <v>42780</v>
      </c>
      <c r="CU37" s="213">
        <v>42780</v>
      </c>
      <c r="CV37" s="214">
        <v>42829</v>
      </c>
      <c r="CW37" s="214" t="s">
        <v>615</v>
      </c>
      <c r="CX37" s="214" t="s">
        <v>615</v>
      </c>
      <c r="CY37" s="204">
        <v>0.21072097724187008</v>
      </c>
      <c r="CZ37" s="204">
        <v>0.97959183673469397</v>
      </c>
      <c r="DA37" s="203">
        <v>0</v>
      </c>
      <c r="DB37" s="204">
        <v>4.0816326530612242E-2</v>
      </c>
      <c r="DC37" s="204">
        <v>0</v>
      </c>
      <c r="DD37" s="204">
        <v>0</v>
      </c>
      <c r="DE37" s="204">
        <v>0</v>
      </c>
      <c r="DF37" s="215">
        <v>0.93877551020408168</v>
      </c>
      <c r="DG37" s="13" t="s">
        <v>615</v>
      </c>
      <c r="DH37" s="86">
        <v>35</v>
      </c>
      <c r="DI37" s="86"/>
      <c r="DJ37" s="86">
        <v>232</v>
      </c>
      <c r="DK37" s="86" t="s">
        <v>1691</v>
      </c>
      <c r="DL37" s="86" t="e">
        <v>#N/A</v>
      </c>
      <c r="DM37" s="86" t="e">
        <v>#N/A</v>
      </c>
      <c r="DN37" s="86" t="e">
        <v>#N/A</v>
      </c>
      <c r="DO37" s="86">
        <v>402</v>
      </c>
      <c r="DP37" s="86">
        <v>5</v>
      </c>
      <c r="DQ37" s="86">
        <v>49</v>
      </c>
      <c r="DR37" s="160">
        <v>0</v>
      </c>
      <c r="DS37" s="160">
        <v>0</v>
      </c>
      <c r="DT37" s="160">
        <v>0</v>
      </c>
      <c r="DU37" s="160">
        <v>0</v>
      </c>
      <c r="DV37" s="160">
        <v>0</v>
      </c>
      <c r="DW37" s="160">
        <v>0</v>
      </c>
      <c r="DX37" s="160">
        <v>0</v>
      </c>
      <c r="DY37" s="160">
        <v>0</v>
      </c>
      <c r="DZ37" s="160">
        <v>0</v>
      </c>
      <c r="EA37" s="146">
        <v>0</v>
      </c>
      <c r="EB37" s="146">
        <v>0</v>
      </c>
      <c r="EC37" s="146">
        <v>0</v>
      </c>
      <c r="ED37" s="146">
        <v>0</v>
      </c>
      <c r="EE37" s="146">
        <v>0</v>
      </c>
      <c r="EF37" s="146">
        <v>0</v>
      </c>
      <c r="EG37" s="146">
        <v>0</v>
      </c>
      <c r="EH37" s="146">
        <v>0</v>
      </c>
      <c r="EI37" s="146">
        <v>0</v>
      </c>
      <c r="EJ37" s="146">
        <v>0</v>
      </c>
      <c r="EK37" s="146">
        <v>0</v>
      </c>
      <c r="EL37" s="146">
        <v>0</v>
      </c>
      <c r="EM37" s="146">
        <v>0</v>
      </c>
      <c r="EN37" s="146">
        <v>0</v>
      </c>
      <c r="EO37" s="146">
        <v>0</v>
      </c>
      <c r="EP37" s="146">
        <v>0</v>
      </c>
      <c r="EQ37" s="146">
        <v>0</v>
      </c>
      <c r="ER37" s="146">
        <v>0</v>
      </c>
      <c r="ES37" s="146">
        <v>0</v>
      </c>
      <c r="ET37" s="146">
        <v>0</v>
      </c>
      <c r="EU37" s="146">
        <v>0</v>
      </c>
      <c r="EV37" s="146">
        <v>0</v>
      </c>
      <c r="EW37" s="146">
        <v>0</v>
      </c>
      <c r="EX37" s="146">
        <v>0</v>
      </c>
      <c r="EY37" s="146">
        <v>0</v>
      </c>
      <c r="EZ37" s="146">
        <v>0</v>
      </c>
      <c r="FA37" s="146">
        <v>0</v>
      </c>
      <c r="FB37" s="146">
        <v>0</v>
      </c>
      <c r="FC37" s="146">
        <v>0</v>
      </c>
      <c r="FD37" s="146">
        <v>0</v>
      </c>
      <c r="FE37" s="146">
        <v>0</v>
      </c>
      <c r="FF37" s="146">
        <v>0</v>
      </c>
      <c r="FG37" s="146">
        <v>0</v>
      </c>
      <c r="FH37" s="146">
        <v>0</v>
      </c>
      <c r="FI37" s="146">
        <v>0</v>
      </c>
      <c r="FJ37" s="146">
        <v>0</v>
      </c>
      <c r="FK37" s="146">
        <v>0</v>
      </c>
      <c r="FL37" s="146">
        <v>0</v>
      </c>
      <c r="FM37" s="146">
        <v>0</v>
      </c>
      <c r="FN37" s="146">
        <v>0</v>
      </c>
      <c r="FO37" s="146">
        <v>0</v>
      </c>
      <c r="FP37" s="146">
        <v>0</v>
      </c>
      <c r="FQ37" s="146">
        <v>0</v>
      </c>
      <c r="FR37" s="146">
        <v>0</v>
      </c>
      <c r="FS37" s="146">
        <v>0</v>
      </c>
      <c r="FT37" s="146">
        <v>0</v>
      </c>
      <c r="FU37" s="146">
        <v>87</v>
      </c>
      <c r="FV37" s="146">
        <v>87</v>
      </c>
      <c r="FW37" s="146">
        <v>87</v>
      </c>
      <c r="FX37" s="146">
        <v>87</v>
      </c>
      <c r="FY37" s="146">
        <v>87</v>
      </c>
      <c r="FZ37" s="146">
        <v>87</v>
      </c>
      <c r="GA37" s="146">
        <v>87</v>
      </c>
      <c r="GB37" s="146">
        <v>87</v>
      </c>
      <c r="GC37" s="146">
        <v>87</v>
      </c>
      <c r="GD37" s="146">
        <v>87</v>
      </c>
      <c r="GE37" s="146">
        <v>87</v>
      </c>
      <c r="GF37" s="146">
        <v>87</v>
      </c>
      <c r="GG37" s="146">
        <v>87</v>
      </c>
      <c r="GH37" s="146">
        <v>87</v>
      </c>
      <c r="GI37" s="146">
        <v>87</v>
      </c>
      <c r="GJ37" s="146">
        <v>87</v>
      </c>
      <c r="GK37" s="146">
        <v>87</v>
      </c>
      <c r="GL37" s="146">
        <v>87</v>
      </c>
      <c r="GM37" s="146">
        <v>87</v>
      </c>
      <c r="GN37" s="146">
        <v>87</v>
      </c>
      <c r="GO37" s="146">
        <v>87</v>
      </c>
      <c r="GP37" s="146">
        <v>87</v>
      </c>
      <c r="GQ37" s="146">
        <v>87</v>
      </c>
      <c r="GR37" s="146">
        <v>87</v>
      </c>
      <c r="GS37" s="146">
        <v>87</v>
      </c>
      <c r="GT37" s="146">
        <v>87</v>
      </c>
      <c r="GU37" s="146">
        <v>87</v>
      </c>
      <c r="GV37" s="146">
        <v>87</v>
      </c>
      <c r="GW37" s="146">
        <v>87</v>
      </c>
      <c r="GX37" s="146">
        <v>87</v>
      </c>
      <c r="GY37" s="146">
        <v>87</v>
      </c>
      <c r="GZ37" s="146">
        <v>87</v>
      </c>
      <c r="HA37" s="146">
        <v>87</v>
      </c>
      <c r="HB37" s="146">
        <v>87</v>
      </c>
      <c r="HC37" s="146">
        <v>87</v>
      </c>
      <c r="HD37" s="146">
        <v>87</v>
      </c>
      <c r="HE37" s="146">
        <v>87</v>
      </c>
      <c r="HF37" s="146">
        <v>87</v>
      </c>
      <c r="HG37" s="146">
        <v>87</v>
      </c>
      <c r="HH37" s="146">
        <v>87</v>
      </c>
      <c r="HI37" s="146">
        <v>87</v>
      </c>
      <c r="HJ37" s="146">
        <v>87</v>
      </c>
      <c r="HK37" s="146">
        <v>87</v>
      </c>
      <c r="HL37" s="146">
        <v>87</v>
      </c>
      <c r="HM37" s="146">
        <v>87</v>
      </c>
      <c r="HN37" s="146">
        <v>87</v>
      </c>
      <c r="HO37" s="146">
        <v>87</v>
      </c>
      <c r="HP37" s="146">
        <v>87</v>
      </c>
      <c r="HQ37" s="146">
        <v>87</v>
      </c>
      <c r="HR37" s="146">
        <v>87</v>
      </c>
      <c r="HS37" s="146">
        <v>87</v>
      </c>
      <c r="HT37" s="146">
        <v>0</v>
      </c>
      <c r="HU37" s="151"/>
      <c r="HV37" s="146">
        <v>0</v>
      </c>
      <c r="HW37" s="151"/>
      <c r="HX37" s="151"/>
      <c r="HY37" s="151"/>
      <c r="HZ37" s="151"/>
      <c r="IA37" s="151"/>
      <c r="IB37" s="151"/>
      <c r="IC37" s="151"/>
      <c r="ID37" s="151"/>
      <c r="IE37" s="151"/>
      <c r="IF37" s="151"/>
      <c r="IG37" s="151"/>
      <c r="IH37" s="151"/>
      <c r="II37" s="151"/>
      <c r="IJ37" s="151"/>
      <c r="IK37" s="151"/>
      <c r="IL37" s="151"/>
      <c r="IM37" s="151"/>
      <c r="IN37" s="151"/>
      <c r="IO37" s="151"/>
      <c r="IP37" s="151"/>
      <c r="IQ37" s="151"/>
      <c r="IR37" s="151"/>
      <c r="IS37" s="151"/>
      <c r="IT37" s="151"/>
      <c r="IU37" s="151"/>
      <c r="IV37" s="151"/>
      <c r="IW37" s="151"/>
      <c r="IX37" s="151"/>
      <c r="IY37" s="151"/>
      <c r="IZ37" s="151"/>
      <c r="JA37" s="151"/>
      <c r="JB37" s="151"/>
      <c r="JC37" s="151"/>
      <c r="JD37" s="151"/>
      <c r="JE37" s="151"/>
      <c r="JF37" s="151"/>
      <c r="JG37" s="151"/>
      <c r="JH37" s="151"/>
      <c r="JI37" s="151"/>
      <c r="JJ37" s="151"/>
      <c r="JK37" s="151"/>
      <c r="JL37" s="151"/>
      <c r="JM37" s="151"/>
      <c r="JN37" s="151"/>
      <c r="JO37" s="151"/>
      <c r="JP37" s="151"/>
      <c r="JQ37" s="151"/>
      <c r="JR37" s="151"/>
      <c r="JS37" s="151"/>
      <c r="JT37" s="151"/>
      <c r="JU37" s="151"/>
      <c r="JV37" s="151"/>
      <c r="JW37" s="151"/>
      <c r="JX37" s="151"/>
      <c r="JY37" s="151"/>
      <c r="JZ37" s="151"/>
      <c r="KA37" s="151"/>
      <c r="KB37" s="151"/>
      <c r="KC37" s="151"/>
      <c r="KD37" s="151"/>
      <c r="KE37" s="151"/>
      <c r="KF37" s="151"/>
      <c r="KG37" s="151"/>
      <c r="KH37" s="151"/>
      <c r="KI37" s="151"/>
      <c r="KJ37" s="151"/>
      <c r="KK37" s="151"/>
      <c r="KL37" s="151"/>
      <c r="KM37" s="151"/>
      <c r="KN37" s="151"/>
      <c r="KO37" s="151"/>
      <c r="KP37" s="151"/>
      <c r="KQ37" s="151"/>
      <c r="KR37" s="151"/>
      <c r="KS37" s="151"/>
      <c r="KT37" s="151"/>
      <c r="KU37" s="151"/>
      <c r="KV37" s="151"/>
      <c r="KW37" s="151"/>
      <c r="KX37" s="151"/>
      <c r="KY37" s="151"/>
      <c r="KZ37" s="151"/>
      <c r="LA37" s="151"/>
      <c r="LB37" s="151"/>
      <c r="LC37" s="151"/>
      <c r="LD37" s="151"/>
      <c r="LE37" s="151"/>
    </row>
    <row r="38" spans="1:317" x14ac:dyDescent="0.2">
      <c r="A38" s="179" t="s">
        <v>849</v>
      </c>
      <c r="B38" s="180" t="s">
        <v>937</v>
      </c>
      <c r="C38" s="181"/>
      <c r="D38" s="182">
        <v>0</v>
      </c>
      <c r="E38" s="182">
        <v>0</v>
      </c>
      <c r="F38" s="183" t="s">
        <v>1222</v>
      </c>
      <c r="G38" s="183">
        <v>0</v>
      </c>
      <c r="H38" s="183">
        <v>0</v>
      </c>
      <c r="I38" s="183">
        <v>0</v>
      </c>
      <c r="J38" s="183">
        <v>0</v>
      </c>
      <c r="K38" s="183" t="s">
        <v>1368</v>
      </c>
      <c r="L38" s="183">
        <v>0</v>
      </c>
      <c r="M38" s="183">
        <v>0</v>
      </c>
      <c r="N38" s="183" t="s">
        <v>881</v>
      </c>
      <c r="O38" s="183">
        <v>0</v>
      </c>
      <c r="P38" s="183">
        <v>0</v>
      </c>
      <c r="Q38" s="183"/>
      <c r="R38" s="183"/>
      <c r="S38" s="183"/>
      <c r="T38" s="183"/>
      <c r="U38" s="183"/>
      <c r="V38" s="183">
        <v>0</v>
      </c>
      <c r="W38" s="183">
        <v>0</v>
      </c>
      <c r="X38" s="183">
        <v>0</v>
      </c>
      <c r="Y38" s="184">
        <v>0.19</v>
      </c>
      <c r="Z38" s="184">
        <v>1.5</v>
      </c>
      <c r="AA38" s="184">
        <v>0</v>
      </c>
      <c r="AB38" s="185" t="s">
        <v>615</v>
      </c>
      <c r="AC38" s="185" t="s">
        <v>615</v>
      </c>
      <c r="AD38" s="186" t="s">
        <v>881</v>
      </c>
      <c r="AE38" s="186" t="s">
        <v>858</v>
      </c>
      <c r="AF38" s="187">
        <v>7</v>
      </c>
      <c r="AG38" s="187">
        <v>3</v>
      </c>
      <c r="AH38" s="187">
        <v>4</v>
      </c>
      <c r="AI38" s="188">
        <v>1</v>
      </c>
      <c r="AJ38" s="188" t="s">
        <v>615</v>
      </c>
      <c r="AK38" s="187" t="s">
        <v>1737</v>
      </c>
      <c r="AL38" s="87" t="s">
        <v>615</v>
      </c>
      <c r="AM38" s="189"/>
      <c r="AN38" s="187" t="s">
        <v>615</v>
      </c>
      <c r="AO38" s="13" t="s">
        <v>615</v>
      </c>
      <c r="AP38" s="187">
        <v>0</v>
      </c>
      <c r="AQ38" s="187">
        <v>0</v>
      </c>
      <c r="AR38" s="190">
        <v>0</v>
      </c>
      <c r="AS38" s="190">
        <v>0</v>
      </c>
      <c r="AT38" s="190">
        <v>0</v>
      </c>
      <c r="AU38" s="187">
        <v>0</v>
      </c>
      <c r="AV38" s="187">
        <v>0</v>
      </c>
      <c r="AW38" s="191"/>
      <c r="AX38" s="192"/>
      <c r="AY38" s="193">
        <v>42666</v>
      </c>
      <c r="AZ38" s="193"/>
      <c r="BA38" s="193"/>
      <c r="BB38" s="194"/>
      <c r="BC38" s="194"/>
      <c r="BD38" s="195"/>
      <c r="BE38" s="195" t="s">
        <v>532</v>
      </c>
      <c r="BF38" s="195"/>
      <c r="BG38" s="195">
        <v>300</v>
      </c>
      <c r="BH38" s="196" t="s">
        <v>547</v>
      </c>
      <c r="BI38" s="197">
        <v>1</v>
      </c>
      <c r="BJ38" s="198"/>
      <c r="BK38" s="199">
        <v>0</v>
      </c>
      <c r="BL38" s="13">
        <v>0</v>
      </c>
      <c r="BM38" s="13">
        <v>0</v>
      </c>
      <c r="BN38" s="13" t="s">
        <v>616</v>
      </c>
      <c r="BO38" s="13" t="s">
        <v>616</v>
      </c>
      <c r="BP38" s="200">
        <v>21</v>
      </c>
      <c r="BQ38" s="201"/>
      <c r="BR38" s="202"/>
      <c r="BS38" s="187">
        <v>1000000000</v>
      </c>
      <c r="BT38" s="203">
        <v>0</v>
      </c>
      <c r="BU38" s="204">
        <v>0</v>
      </c>
      <c r="BV38" s="203">
        <v>0</v>
      </c>
      <c r="BW38" s="205">
        <v>0</v>
      </c>
      <c r="BX38" s="205">
        <v>0</v>
      </c>
      <c r="BY38" s="205">
        <v>0</v>
      </c>
      <c r="BZ38" s="203">
        <v>0</v>
      </c>
      <c r="CA38" s="203">
        <v>0</v>
      </c>
      <c r="CB38" s="203">
        <v>0</v>
      </c>
      <c r="CC38" s="204">
        <v>0</v>
      </c>
      <c r="CD38" s="203">
        <v>0</v>
      </c>
      <c r="CE38" s="203">
        <v>0</v>
      </c>
      <c r="CF38" s="13">
        <v>0</v>
      </c>
      <c r="CG38" s="206">
        <v>0</v>
      </c>
      <c r="CH38" s="207">
        <v>0</v>
      </c>
      <c r="CI38" s="201"/>
      <c r="CJ38" s="208"/>
      <c r="CK38" s="209" t="s">
        <v>615</v>
      </c>
      <c r="CL38" s="210" t="s">
        <v>615</v>
      </c>
      <c r="CM38" s="207">
        <v>0</v>
      </c>
      <c r="CN38" s="207">
        <v>0</v>
      </c>
      <c r="CO38" s="204">
        <v>0</v>
      </c>
      <c r="CP38" s="204">
        <v>0</v>
      </c>
      <c r="CQ38" s="211"/>
      <c r="CR38" s="204">
        <v>1</v>
      </c>
      <c r="CS38" s="212">
        <v>42709</v>
      </c>
      <c r="CT38" s="212">
        <v>42780</v>
      </c>
      <c r="CU38" s="213">
        <v>42780</v>
      </c>
      <c r="CV38" s="214">
        <v>42829</v>
      </c>
      <c r="CW38" s="214" t="s">
        <v>615</v>
      </c>
      <c r="CX38" s="214" t="s">
        <v>615</v>
      </c>
      <c r="CY38" s="204">
        <v>0.21072097724187025</v>
      </c>
      <c r="CZ38" s="204">
        <v>0.97959183673469397</v>
      </c>
      <c r="DA38" s="203">
        <v>0</v>
      </c>
      <c r="DB38" s="204">
        <v>4.0816326530612242E-2</v>
      </c>
      <c r="DC38" s="204">
        <v>0</v>
      </c>
      <c r="DD38" s="204">
        <v>0</v>
      </c>
      <c r="DE38" s="204">
        <v>0</v>
      </c>
      <c r="DF38" s="215">
        <v>0.93877551020408168</v>
      </c>
      <c r="DG38" s="13" t="s">
        <v>615</v>
      </c>
      <c r="DH38" s="86">
        <v>36</v>
      </c>
      <c r="DI38" s="86"/>
      <c r="DJ38" s="86">
        <v>231</v>
      </c>
      <c r="DK38" s="86" t="s">
        <v>1690</v>
      </c>
      <c r="DL38" s="86" t="e">
        <v>#N/A</v>
      </c>
      <c r="DM38" s="86" t="e">
        <v>#N/A</v>
      </c>
      <c r="DN38" s="86" t="e">
        <v>#N/A</v>
      </c>
      <c r="DO38" s="86">
        <v>401</v>
      </c>
      <c r="DP38" s="86">
        <v>5</v>
      </c>
      <c r="DQ38" s="86">
        <v>49</v>
      </c>
      <c r="DR38" s="166">
        <v>0</v>
      </c>
      <c r="DS38" s="166">
        <v>0</v>
      </c>
      <c r="DT38" s="166">
        <v>0</v>
      </c>
      <c r="DU38" s="166">
        <v>0</v>
      </c>
      <c r="DV38" s="166">
        <v>0</v>
      </c>
      <c r="DW38" s="166">
        <v>0</v>
      </c>
      <c r="DX38" s="166">
        <v>0</v>
      </c>
      <c r="DY38" s="166">
        <v>0</v>
      </c>
      <c r="DZ38" s="166">
        <v>0</v>
      </c>
      <c r="EA38" s="152">
        <v>0</v>
      </c>
      <c r="EB38" s="152">
        <v>0</v>
      </c>
      <c r="EC38" s="152">
        <v>0</v>
      </c>
      <c r="ED38" s="152">
        <v>0</v>
      </c>
      <c r="EE38" s="152">
        <v>0</v>
      </c>
      <c r="EF38" s="152">
        <v>0</v>
      </c>
      <c r="EG38" s="152">
        <v>0</v>
      </c>
      <c r="EH38" s="152">
        <v>0</v>
      </c>
      <c r="EI38" s="152">
        <v>0</v>
      </c>
      <c r="EJ38" s="152">
        <v>0</v>
      </c>
      <c r="EK38" s="152">
        <v>0</v>
      </c>
      <c r="EL38" s="152">
        <v>0</v>
      </c>
      <c r="EM38" s="152">
        <v>0</v>
      </c>
      <c r="EN38" s="152">
        <v>0</v>
      </c>
      <c r="EO38" s="152">
        <v>0</v>
      </c>
      <c r="EP38" s="152">
        <v>0</v>
      </c>
      <c r="EQ38" s="152">
        <v>0</v>
      </c>
      <c r="ER38" s="152">
        <v>0</v>
      </c>
      <c r="ES38" s="152">
        <v>0</v>
      </c>
      <c r="ET38" s="152">
        <v>0</v>
      </c>
      <c r="EU38" s="152">
        <v>0</v>
      </c>
      <c r="EV38" s="152">
        <v>0</v>
      </c>
      <c r="EW38" s="152">
        <v>0</v>
      </c>
      <c r="EX38" s="152">
        <v>0</v>
      </c>
      <c r="EY38" s="152">
        <v>0</v>
      </c>
      <c r="EZ38" s="152">
        <v>0</v>
      </c>
      <c r="FA38" s="152">
        <v>0</v>
      </c>
      <c r="FB38" s="152">
        <v>0</v>
      </c>
      <c r="FC38" s="152">
        <v>0</v>
      </c>
      <c r="FD38" s="152">
        <v>0</v>
      </c>
      <c r="FE38" s="152">
        <v>0</v>
      </c>
      <c r="FF38" s="152">
        <v>0</v>
      </c>
      <c r="FG38" s="152">
        <v>0</v>
      </c>
      <c r="FH38" s="152">
        <v>0</v>
      </c>
      <c r="FI38" s="152">
        <v>0</v>
      </c>
      <c r="FJ38" s="152">
        <v>0</v>
      </c>
      <c r="FK38" s="152">
        <v>0</v>
      </c>
      <c r="FL38" s="152">
        <v>0</v>
      </c>
      <c r="FM38" s="152">
        <v>0</v>
      </c>
      <c r="FN38" s="152">
        <v>0</v>
      </c>
      <c r="FO38" s="152">
        <v>0</v>
      </c>
      <c r="FP38" s="152">
        <v>0</v>
      </c>
      <c r="FQ38" s="152">
        <v>0</v>
      </c>
      <c r="FR38" s="152">
        <v>0</v>
      </c>
      <c r="FS38" s="152">
        <v>0</v>
      </c>
      <c r="FT38" s="152">
        <v>0</v>
      </c>
      <c r="FU38" s="152">
        <v>163</v>
      </c>
      <c r="FV38" s="152">
        <v>163</v>
      </c>
      <c r="FW38" s="152">
        <v>163</v>
      </c>
      <c r="FX38" s="152">
        <v>163</v>
      </c>
      <c r="FY38" s="152">
        <v>163</v>
      </c>
      <c r="FZ38" s="152">
        <v>163</v>
      </c>
      <c r="GA38" s="152">
        <v>163</v>
      </c>
      <c r="GB38" s="152">
        <v>163</v>
      </c>
      <c r="GC38" s="152">
        <v>163</v>
      </c>
      <c r="GD38" s="152">
        <v>163</v>
      </c>
      <c r="GE38" s="152">
        <v>163</v>
      </c>
      <c r="GF38" s="152">
        <v>163</v>
      </c>
      <c r="GG38" s="152">
        <v>163</v>
      </c>
      <c r="GH38" s="152">
        <v>163</v>
      </c>
      <c r="GI38" s="152">
        <v>163</v>
      </c>
      <c r="GJ38" s="152">
        <v>163</v>
      </c>
      <c r="GK38" s="152">
        <v>163</v>
      </c>
      <c r="GL38" s="152">
        <v>163</v>
      </c>
      <c r="GM38" s="152">
        <v>163</v>
      </c>
      <c r="GN38" s="152">
        <v>163</v>
      </c>
      <c r="GO38" s="152">
        <v>163</v>
      </c>
      <c r="GP38" s="152">
        <v>163</v>
      </c>
      <c r="GQ38" s="152">
        <v>163</v>
      </c>
      <c r="GR38" s="152">
        <v>163</v>
      </c>
      <c r="GS38" s="152">
        <v>163</v>
      </c>
      <c r="GT38" s="152">
        <v>163</v>
      </c>
      <c r="GU38" s="152">
        <v>163</v>
      </c>
      <c r="GV38" s="152">
        <v>163</v>
      </c>
      <c r="GW38" s="152">
        <v>163</v>
      </c>
      <c r="GX38" s="152">
        <v>163</v>
      </c>
      <c r="GY38" s="152">
        <v>163</v>
      </c>
      <c r="GZ38" s="152">
        <v>163</v>
      </c>
      <c r="HA38" s="152">
        <v>163</v>
      </c>
      <c r="HB38" s="152">
        <v>163</v>
      </c>
      <c r="HC38" s="152">
        <v>163</v>
      </c>
      <c r="HD38" s="152">
        <v>163</v>
      </c>
      <c r="HE38" s="152">
        <v>163</v>
      </c>
      <c r="HF38" s="152">
        <v>163</v>
      </c>
      <c r="HG38" s="152">
        <v>163</v>
      </c>
      <c r="HH38" s="152">
        <v>163</v>
      </c>
      <c r="HI38" s="152">
        <v>163</v>
      </c>
      <c r="HJ38" s="152">
        <v>163</v>
      </c>
      <c r="HK38" s="152">
        <v>163</v>
      </c>
      <c r="HL38" s="152">
        <v>163</v>
      </c>
      <c r="HM38" s="152">
        <v>163</v>
      </c>
      <c r="HN38" s="152">
        <v>163</v>
      </c>
      <c r="HO38" s="152">
        <v>163</v>
      </c>
      <c r="HP38" s="152">
        <v>163</v>
      </c>
      <c r="HQ38" s="152">
        <v>163</v>
      </c>
      <c r="HR38" s="152">
        <v>163</v>
      </c>
      <c r="HS38" s="152">
        <v>163</v>
      </c>
      <c r="HT38" s="152">
        <v>0</v>
      </c>
      <c r="HU38" s="216"/>
      <c r="HV38" s="152">
        <v>0</v>
      </c>
      <c r="HW38" s="216"/>
      <c r="HX38" s="216"/>
      <c r="HY38" s="216"/>
      <c r="HZ38" s="216"/>
      <c r="IA38" s="216"/>
      <c r="IB38" s="216"/>
      <c r="IC38" s="216"/>
      <c r="ID38" s="216"/>
      <c r="IE38" s="216"/>
      <c r="IF38" s="216"/>
      <c r="IG38" s="216"/>
      <c r="IH38" s="216"/>
      <c r="II38" s="216"/>
      <c r="IJ38" s="216"/>
      <c r="IK38" s="216"/>
      <c r="IL38" s="216"/>
      <c r="IM38" s="216"/>
      <c r="IN38" s="216"/>
      <c r="IO38" s="216"/>
      <c r="IP38" s="216"/>
      <c r="IQ38" s="216"/>
      <c r="IR38" s="216"/>
      <c r="IS38" s="216"/>
      <c r="IT38" s="216"/>
      <c r="IU38" s="216"/>
      <c r="IV38" s="216"/>
      <c r="IW38" s="216"/>
      <c r="IX38" s="216"/>
      <c r="IY38" s="216"/>
      <c r="IZ38" s="216"/>
      <c r="JA38" s="216"/>
      <c r="JB38" s="216"/>
      <c r="JC38" s="216"/>
      <c r="JD38" s="216"/>
      <c r="JE38" s="216"/>
      <c r="JF38" s="216"/>
      <c r="JG38" s="216"/>
      <c r="JH38" s="216"/>
      <c r="JI38" s="216"/>
      <c r="JJ38" s="216"/>
      <c r="JK38" s="216"/>
      <c r="JL38" s="216"/>
      <c r="JM38" s="216"/>
      <c r="JN38" s="216"/>
      <c r="JO38" s="216"/>
      <c r="JP38" s="216"/>
      <c r="JQ38" s="216"/>
      <c r="JR38" s="216"/>
      <c r="JS38" s="216"/>
      <c r="JT38" s="216"/>
      <c r="JU38" s="216"/>
      <c r="JV38" s="216"/>
      <c r="JW38" s="216"/>
      <c r="JX38" s="216"/>
      <c r="JY38" s="216"/>
      <c r="JZ38" s="216"/>
      <c r="KA38" s="216"/>
      <c r="KB38" s="216"/>
      <c r="KC38" s="216"/>
      <c r="KD38" s="216"/>
      <c r="KE38" s="216"/>
      <c r="KF38" s="216"/>
      <c r="KG38" s="216"/>
      <c r="KH38" s="216"/>
      <c r="KI38" s="216"/>
      <c r="KJ38" s="216"/>
      <c r="KK38" s="216"/>
      <c r="KL38" s="216"/>
      <c r="KM38" s="216"/>
      <c r="KN38" s="216"/>
      <c r="KO38" s="216"/>
      <c r="KP38" s="216"/>
      <c r="KQ38" s="216"/>
      <c r="KR38" s="216"/>
      <c r="KS38" s="216"/>
      <c r="KT38" s="216"/>
      <c r="KU38" s="216"/>
      <c r="KV38" s="216"/>
      <c r="KW38" s="216"/>
      <c r="KX38" s="216"/>
      <c r="KY38" s="216"/>
      <c r="KZ38" s="216"/>
      <c r="LA38" s="216"/>
      <c r="LB38" s="216"/>
      <c r="LC38" s="216"/>
      <c r="LD38" s="216"/>
      <c r="LE38" s="216"/>
    </row>
    <row r="39" spans="1:317" x14ac:dyDescent="0.2">
      <c r="A39" s="179" t="s">
        <v>849</v>
      </c>
      <c r="B39" s="180" t="s">
        <v>938</v>
      </c>
      <c r="C39" s="181"/>
      <c r="D39" s="182">
        <v>0</v>
      </c>
      <c r="E39" s="182">
        <v>0</v>
      </c>
      <c r="F39" s="183" t="s">
        <v>1444</v>
      </c>
      <c r="G39" s="183">
        <v>0</v>
      </c>
      <c r="H39" s="183">
        <v>0</v>
      </c>
      <c r="I39" s="183">
        <v>0</v>
      </c>
      <c r="J39" s="183">
        <v>0</v>
      </c>
      <c r="K39" s="183" t="s">
        <v>1368</v>
      </c>
      <c r="L39" s="183">
        <v>0</v>
      </c>
      <c r="M39" s="183">
        <v>0</v>
      </c>
      <c r="N39" s="183" t="s">
        <v>881</v>
      </c>
      <c r="O39" s="183">
        <v>0</v>
      </c>
      <c r="P39" s="183">
        <v>0</v>
      </c>
      <c r="Q39" s="183"/>
      <c r="R39" s="183"/>
      <c r="S39" s="183"/>
      <c r="T39" s="183"/>
      <c r="U39" s="183"/>
      <c r="V39" s="183">
        <v>0</v>
      </c>
      <c r="W39" s="183">
        <v>0</v>
      </c>
      <c r="X39" s="183">
        <v>0</v>
      </c>
      <c r="Y39" s="184">
        <v>0.15</v>
      </c>
      <c r="Z39" s="184">
        <v>1.03</v>
      </c>
      <c r="AA39" s="184">
        <v>0</v>
      </c>
      <c r="AB39" s="185" t="s">
        <v>615</v>
      </c>
      <c r="AC39" s="185" t="s">
        <v>615</v>
      </c>
      <c r="AD39" s="186" t="s">
        <v>881</v>
      </c>
      <c r="AE39" s="186" t="s">
        <v>858</v>
      </c>
      <c r="AF39" s="187">
        <v>7</v>
      </c>
      <c r="AG39" s="187">
        <v>3</v>
      </c>
      <c r="AH39" s="187">
        <v>4</v>
      </c>
      <c r="AI39" s="188">
        <v>1</v>
      </c>
      <c r="AJ39" s="188" t="s">
        <v>615</v>
      </c>
      <c r="AK39" s="187" t="s">
        <v>1737</v>
      </c>
      <c r="AL39" s="87" t="s">
        <v>615</v>
      </c>
      <c r="AM39" s="189"/>
      <c r="AN39" s="187" t="s">
        <v>615</v>
      </c>
      <c r="AO39" s="13" t="s">
        <v>615</v>
      </c>
      <c r="AP39" s="187">
        <v>0</v>
      </c>
      <c r="AQ39" s="187">
        <v>0</v>
      </c>
      <c r="AR39" s="190">
        <v>0</v>
      </c>
      <c r="AS39" s="190">
        <v>0</v>
      </c>
      <c r="AT39" s="190">
        <v>0</v>
      </c>
      <c r="AU39" s="187">
        <v>0</v>
      </c>
      <c r="AV39" s="187">
        <v>0</v>
      </c>
      <c r="AW39" s="191"/>
      <c r="AX39" s="192"/>
      <c r="AY39" s="193">
        <v>42666</v>
      </c>
      <c r="AZ39" s="193"/>
      <c r="BA39" s="193"/>
      <c r="BB39" s="194"/>
      <c r="BC39" s="194"/>
      <c r="BD39" s="195"/>
      <c r="BE39" s="195" t="s">
        <v>532</v>
      </c>
      <c r="BF39" s="195"/>
      <c r="BG39" s="195">
        <v>500</v>
      </c>
      <c r="BH39" s="196" t="s">
        <v>547</v>
      </c>
      <c r="BI39" s="197">
        <v>1</v>
      </c>
      <c r="BJ39" s="198"/>
      <c r="BK39" s="199">
        <v>0</v>
      </c>
      <c r="BL39" s="13">
        <v>0</v>
      </c>
      <c r="BM39" s="13">
        <v>0</v>
      </c>
      <c r="BN39" s="13" t="s">
        <v>616</v>
      </c>
      <c r="BO39" s="13" t="s">
        <v>616</v>
      </c>
      <c r="BP39" s="200">
        <v>21</v>
      </c>
      <c r="BQ39" s="201"/>
      <c r="BR39" s="202"/>
      <c r="BS39" s="187">
        <v>1000000000</v>
      </c>
      <c r="BT39" s="203">
        <v>0</v>
      </c>
      <c r="BU39" s="204">
        <v>0</v>
      </c>
      <c r="BV39" s="203">
        <v>0</v>
      </c>
      <c r="BW39" s="205">
        <v>0</v>
      </c>
      <c r="BX39" s="205">
        <v>0</v>
      </c>
      <c r="BY39" s="205">
        <v>0</v>
      </c>
      <c r="BZ39" s="203">
        <v>0</v>
      </c>
      <c r="CA39" s="203">
        <v>0</v>
      </c>
      <c r="CB39" s="203">
        <v>0</v>
      </c>
      <c r="CC39" s="204">
        <v>0</v>
      </c>
      <c r="CD39" s="203">
        <v>0</v>
      </c>
      <c r="CE39" s="203">
        <v>0</v>
      </c>
      <c r="CF39" s="13">
        <v>0</v>
      </c>
      <c r="CG39" s="206">
        <v>0</v>
      </c>
      <c r="CH39" s="207">
        <v>0</v>
      </c>
      <c r="CI39" s="201"/>
      <c r="CJ39" s="208"/>
      <c r="CK39" s="209" t="s">
        <v>615</v>
      </c>
      <c r="CL39" s="210" t="s">
        <v>615</v>
      </c>
      <c r="CM39" s="207">
        <v>0</v>
      </c>
      <c r="CN39" s="207">
        <v>0</v>
      </c>
      <c r="CO39" s="204">
        <v>0</v>
      </c>
      <c r="CP39" s="204">
        <v>0</v>
      </c>
      <c r="CQ39" s="211"/>
      <c r="CR39" s="204">
        <v>1</v>
      </c>
      <c r="CS39" s="212">
        <v>42709</v>
      </c>
      <c r="CT39" s="212">
        <v>42780</v>
      </c>
      <c r="CU39" s="213">
        <v>42780</v>
      </c>
      <c r="CV39" s="214">
        <v>42829</v>
      </c>
      <c r="CW39" s="214" t="s">
        <v>615</v>
      </c>
      <c r="CX39" s="214" t="s">
        <v>615</v>
      </c>
      <c r="CY39" s="204">
        <v>0.21072097724186997</v>
      </c>
      <c r="CZ39" s="204">
        <v>0.97959183673469397</v>
      </c>
      <c r="DA39" s="203">
        <v>0</v>
      </c>
      <c r="DB39" s="204">
        <v>4.0816326530612242E-2</v>
      </c>
      <c r="DC39" s="204">
        <v>0</v>
      </c>
      <c r="DD39" s="204">
        <v>0</v>
      </c>
      <c r="DE39" s="204">
        <v>0</v>
      </c>
      <c r="DF39" s="215">
        <v>0.93877551020408168</v>
      </c>
      <c r="DG39" s="13" t="s">
        <v>615</v>
      </c>
      <c r="DH39" s="86">
        <v>37</v>
      </c>
      <c r="DI39" s="86"/>
      <c r="DJ39" s="86">
        <v>230</v>
      </c>
      <c r="DK39" s="86" t="s">
        <v>1689</v>
      </c>
      <c r="DL39" s="86" t="e">
        <v>#N/A</v>
      </c>
      <c r="DM39" s="86" t="e">
        <v>#N/A</v>
      </c>
      <c r="DN39" s="86" t="e">
        <v>#N/A</v>
      </c>
      <c r="DO39" s="86">
        <v>400</v>
      </c>
      <c r="DP39" s="86">
        <v>5</v>
      </c>
      <c r="DQ39" s="86">
        <v>49</v>
      </c>
      <c r="DR39" s="160">
        <v>0</v>
      </c>
      <c r="DS39" s="160">
        <v>0</v>
      </c>
      <c r="DT39" s="160">
        <v>0</v>
      </c>
      <c r="DU39" s="160">
        <v>0</v>
      </c>
      <c r="DV39" s="160">
        <v>0</v>
      </c>
      <c r="DW39" s="160">
        <v>0</v>
      </c>
      <c r="DX39" s="160">
        <v>0</v>
      </c>
      <c r="DY39" s="160">
        <v>0</v>
      </c>
      <c r="DZ39" s="160">
        <v>0</v>
      </c>
      <c r="EA39" s="146">
        <v>0</v>
      </c>
      <c r="EB39" s="146">
        <v>0</v>
      </c>
      <c r="EC39" s="146">
        <v>0</v>
      </c>
      <c r="ED39" s="146">
        <v>0</v>
      </c>
      <c r="EE39" s="146">
        <v>0</v>
      </c>
      <c r="EF39" s="146">
        <v>0</v>
      </c>
      <c r="EG39" s="146">
        <v>0</v>
      </c>
      <c r="EH39" s="146">
        <v>0</v>
      </c>
      <c r="EI39" s="146">
        <v>0</v>
      </c>
      <c r="EJ39" s="146">
        <v>0</v>
      </c>
      <c r="EK39" s="146">
        <v>0</v>
      </c>
      <c r="EL39" s="146">
        <v>0</v>
      </c>
      <c r="EM39" s="146">
        <v>0</v>
      </c>
      <c r="EN39" s="146">
        <v>0</v>
      </c>
      <c r="EO39" s="146">
        <v>0</v>
      </c>
      <c r="EP39" s="146">
        <v>0</v>
      </c>
      <c r="EQ39" s="146">
        <v>0</v>
      </c>
      <c r="ER39" s="146">
        <v>0</v>
      </c>
      <c r="ES39" s="146">
        <v>0</v>
      </c>
      <c r="ET39" s="146">
        <v>0</v>
      </c>
      <c r="EU39" s="146">
        <v>0</v>
      </c>
      <c r="EV39" s="146">
        <v>0</v>
      </c>
      <c r="EW39" s="146">
        <v>0</v>
      </c>
      <c r="EX39" s="146">
        <v>0</v>
      </c>
      <c r="EY39" s="146">
        <v>0</v>
      </c>
      <c r="EZ39" s="146">
        <v>0</v>
      </c>
      <c r="FA39" s="146">
        <v>0</v>
      </c>
      <c r="FB39" s="146">
        <v>0</v>
      </c>
      <c r="FC39" s="146">
        <v>0</v>
      </c>
      <c r="FD39" s="146">
        <v>0</v>
      </c>
      <c r="FE39" s="146">
        <v>0</v>
      </c>
      <c r="FF39" s="146">
        <v>0</v>
      </c>
      <c r="FG39" s="146">
        <v>0</v>
      </c>
      <c r="FH39" s="146">
        <v>0</v>
      </c>
      <c r="FI39" s="146">
        <v>0</v>
      </c>
      <c r="FJ39" s="146">
        <v>0</v>
      </c>
      <c r="FK39" s="146">
        <v>0</v>
      </c>
      <c r="FL39" s="146">
        <v>0</v>
      </c>
      <c r="FM39" s="146">
        <v>0</v>
      </c>
      <c r="FN39" s="146">
        <v>0</v>
      </c>
      <c r="FO39" s="146">
        <v>0</v>
      </c>
      <c r="FP39" s="146">
        <v>0</v>
      </c>
      <c r="FQ39" s="146">
        <v>0</v>
      </c>
      <c r="FR39" s="146">
        <v>0</v>
      </c>
      <c r="FS39" s="146">
        <v>0</v>
      </c>
      <c r="FT39" s="146">
        <v>0</v>
      </c>
      <c r="FU39" s="146">
        <v>77</v>
      </c>
      <c r="FV39" s="146">
        <v>77</v>
      </c>
      <c r="FW39" s="146">
        <v>77</v>
      </c>
      <c r="FX39" s="146">
        <v>77</v>
      </c>
      <c r="FY39" s="146">
        <v>77</v>
      </c>
      <c r="FZ39" s="146">
        <v>77</v>
      </c>
      <c r="GA39" s="146">
        <v>77</v>
      </c>
      <c r="GB39" s="146">
        <v>77</v>
      </c>
      <c r="GC39" s="146">
        <v>77</v>
      </c>
      <c r="GD39" s="146">
        <v>77</v>
      </c>
      <c r="GE39" s="146">
        <v>77</v>
      </c>
      <c r="GF39" s="146">
        <v>77</v>
      </c>
      <c r="GG39" s="146">
        <v>77</v>
      </c>
      <c r="GH39" s="146">
        <v>77</v>
      </c>
      <c r="GI39" s="146">
        <v>77</v>
      </c>
      <c r="GJ39" s="146">
        <v>77</v>
      </c>
      <c r="GK39" s="146">
        <v>77</v>
      </c>
      <c r="GL39" s="146">
        <v>77</v>
      </c>
      <c r="GM39" s="146">
        <v>77</v>
      </c>
      <c r="GN39" s="146">
        <v>77</v>
      </c>
      <c r="GO39" s="146">
        <v>77</v>
      </c>
      <c r="GP39" s="146">
        <v>77</v>
      </c>
      <c r="GQ39" s="146">
        <v>77</v>
      </c>
      <c r="GR39" s="146">
        <v>77</v>
      </c>
      <c r="GS39" s="146">
        <v>77</v>
      </c>
      <c r="GT39" s="146">
        <v>77</v>
      </c>
      <c r="GU39" s="146">
        <v>77</v>
      </c>
      <c r="GV39" s="146">
        <v>77</v>
      </c>
      <c r="GW39" s="146">
        <v>77</v>
      </c>
      <c r="GX39" s="146">
        <v>77</v>
      </c>
      <c r="GY39" s="146">
        <v>77</v>
      </c>
      <c r="GZ39" s="146">
        <v>77</v>
      </c>
      <c r="HA39" s="146">
        <v>77</v>
      </c>
      <c r="HB39" s="146">
        <v>77</v>
      </c>
      <c r="HC39" s="146">
        <v>77</v>
      </c>
      <c r="HD39" s="146">
        <v>77</v>
      </c>
      <c r="HE39" s="146">
        <v>77</v>
      </c>
      <c r="HF39" s="146">
        <v>77</v>
      </c>
      <c r="HG39" s="146">
        <v>77</v>
      </c>
      <c r="HH39" s="146">
        <v>77</v>
      </c>
      <c r="HI39" s="146">
        <v>77</v>
      </c>
      <c r="HJ39" s="146">
        <v>77</v>
      </c>
      <c r="HK39" s="146">
        <v>77</v>
      </c>
      <c r="HL39" s="146">
        <v>77</v>
      </c>
      <c r="HM39" s="146">
        <v>77</v>
      </c>
      <c r="HN39" s="146">
        <v>77</v>
      </c>
      <c r="HO39" s="146">
        <v>77</v>
      </c>
      <c r="HP39" s="146">
        <v>77</v>
      </c>
      <c r="HQ39" s="146">
        <v>77</v>
      </c>
      <c r="HR39" s="146">
        <v>77</v>
      </c>
      <c r="HS39" s="146">
        <v>77</v>
      </c>
      <c r="HT39" s="146">
        <v>0</v>
      </c>
      <c r="HU39" s="151"/>
      <c r="HV39" s="146">
        <v>0</v>
      </c>
      <c r="HW39" s="151"/>
      <c r="HX39" s="151"/>
      <c r="HY39" s="151"/>
      <c r="HZ39" s="151"/>
      <c r="IA39" s="151"/>
      <c r="IB39" s="151"/>
      <c r="IC39" s="151"/>
      <c r="ID39" s="151"/>
      <c r="IE39" s="151"/>
      <c r="IF39" s="151"/>
      <c r="IG39" s="151"/>
      <c r="IH39" s="151"/>
      <c r="II39" s="151"/>
      <c r="IJ39" s="151"/>
      <c r="IK39" s="151"/>
      <c r="IL39" s="151"/>
      <c r="IM39" s="151"/>
      <c r="IN39" s="151"/>
      <c r="IO39" s="151"/>
      <c r="IP39" s="151"/>
      <c r="IQ39" s="151"/>
      <c r="IR39" s="151"/>
      <c r="IS39" s="151"/>
      <c r="IT39" s="151"/>
      <c r="IU39" s="151"/>
      <c r="IV39" s="151"/>
      <c r="IW39" s="151"/>
      <c r="IX39" s="151"/>
      <c r="IY39" s="151"/>
      <c r="IZ39" s="151"/>
      <c r="JA39" s="151"/>
      <c r="JB39" s="151"/>
      <c r="JC39" s="151"/>
      <c r="JD39" s="151"/>
      <c r="JE39" s="151"/>
      <c r="JF39" s="151"/>
      <c r="JG39" s="151"/>
      <c r="JH39" s="151"/>
      <c r="JI39" s="151"/>
      <c r="JJ39" s="151"/>
      <c r="JK39" s="151"/>
      <c r="JL39" s="151"/>
      <c r="JM39" s="151"/>
      <c r="JN39" s="151"/>
      <c r="JO39" s="151"/>
      <c r="JP39" s="151"/>
      <c r="JQ39" s="151"/>
      <c r="JR39" s="151"/>
      <c r="JS39" s="151"/>
      <c r="JT39" s="151"/>
      <c r="JU39" s="151"/>
      <c r="JV39" s="151"/>
      <c r="JW39" s="151"/>
      <c r="JX39" s="151"/>
      <c r="JY39" s="151"/>
      <c r="JZ39" s="151"/>
      <c r="KA39" s="151"/>
      <c r="KB39" s="151"/>
      <c r="KC39" s="151"/>
      <c r="KD39" s="151"/>
      <c r="KE39" s="151"/>
      <c r="KF39" s="151"/>
      <c r="KG39" s="151"/>
      <c r="KH39" s="151"/>
      <c r="KI39" s="151"/>
      <c r="KJ39" s="151"/>
      <c r="KK39" s="151"/>
      <c r="KL39" s="151"/>
      <c r="KM39" s="151"/>
      <c r="KN39" s="151"/>
      <c r="KO39" s="151"/>
      <c r="KP39" s="151"/>
      <c r="KQ39" s="151"/>
      <c r="KR39" s="151"/>
      <c r="KS39" s="151"/>
      <c r="KT39" s="151"/>
      <c r="KU39" s="151"/>
      <c r="KV39" s="151"/>
      <c r="KW39" s="151"/>
      <c r="KX39" s="151"/>
      <c r="KY39" s="151"/>
      <c r="KZ39" s="151"/>
      <c r="LA39" s="151"/>
      <c r="LB39" s="151"/>
      <c r="LC39" s="151"/>
      <c r="LD39" s="151"/>
      <c r="LE39" s="151"/>
    </row>
    <row r="40" spans="1:317" x14ac:dyDescent="0.2">
      <c r="A40" s="179" t="s">
        <v>849</v>
      </c>
      <c r="B40" s="180" t="s">
        <v>939</v>
      </c>
      <c r="C40" s="181"/>
      <c r="D40" s="182">
        <v>0</v>
      </c>
      <c r="E40" s="182">
        <v>0</v>
      </c>
      <c r="F40" s="183" t="s">
        <v>1223</v>
      </c>
      <c r="G40" s="183">
        <v>0</v>
      </c>
      <c r="H40" s="183">
        <v>0</v>
      </c>
      <c r="I40" s="183">
        <v>0</v>
      </c>
      <c r="J40" s="183">
        <v>0</v>
      </c>
      <c r="K40" s="183" t="s">
        <v>1369</v>
      </c>
      <c r="L40" s="183">
        <v>0</v>
      </c>
      <c r="M40" s="183">
        <v>0</v>
      </c>
      <c r="N40" s="183" t="s">
        <v>881</v>
      </c>
      <c r="O40" s="183">
        <v>0</v>
      </c>
      <c r="P40" s="183">
        <v>0</v>
      </c>
      <c r="Q40" s="183"/>
      <c r="R40" s="183"/>
      <c r="S40" s="183"/>
      <c r="T40" s="183"/>
      <c r="U40" s="183"/>
      <c r="V40" s="183">
        <v>0</v>
      </c>
      <c r="W40" s="183">
        <v>0</v>
      </c>
      <c r="X40" s="183">
        <v>0</v>
      </c>
      <c r="Y40" s="184">
        <v>0</v>
      </c>
      <c r="Z40" s="184">
        <v>0</v>
      </c>
      <c r="AA40" s="184">
        <v>0</v>
      </c>
      <c r="AB40" s="185" t="s">
        <v>615</v>
      </c>
      <c r="AC40" s="185" t="s">
        <v>615</v>
      </c>
      <c r="AD40" s="186" t="s">
        <v>881</v>
      </c>
      <c r="AE40" s="186" t="s">
        <v>858</v>
      </c>
      <c r="AF40" s="187">
        <v>7</v>
      </c>
      <c r="AG40" s="187">
        <v>3</v>
      </c>
      <c r="AH40" s="187">
        <v>4</v>
      </c>
      <c r="AI40" s="188">
        <v>1</v>
      </c>
      <c r="AJ40" s="188" t="s">
        <v>615</v>
      </c>
      <c r="AK40" s="187" t="s">
        <v>1736</v>
      </c>
      <c r="AL40" s="87" t="s">
        <v>615</v>
      </c>
      <c r="AM40" s="189"/>
      <c r="AN40" s="187" t="s">
        <v>615</v>
      </c>
      <c r="AO40" s="13" t="s">
        <v>615</v>
      </c>
      <c r="AP40" s="187">
        <v>0</v>
      </c>
      <c r="AQ40" s="187">
        <v>0</v>
      </c>
      <c r="AR40" s="190">
        <v>0</v>
      </c>
      <c r="AS40" s="190">
        <v>0</v>
      </c>
      <c r="AT40" s="190">
        <v>0</v>
      </c>
      <c r="AU40" s="187">
        <v>0</v>
      </c>
      <c r="AV40" s="187">
        <v>0</v>
      </c>
      <c r="AW40" s="191"/>
      <c r="AX40" s="192"/>
      <c r="AY40" s="193">
        <v>42666</v>
      </c>
      <c r="AZ40" s="193"/>
      <c r="BA40" s="193"/>
      <c r="BB40" s="194"/>
      <c r="BC40" s="194"/>
      <c r="BD40" s="195"/>
      <c r="BE40" s="195" t="s">
        <v>532</v>
      </c>
      <c r="BF40" s="195"/>
      <c r="BG40" s="195">
        <v>200</v>
      </c>
      <c r="BH40" s="196" t="s">
        <v>547</v>
      </c>
      <c r="BI40" s="197">
        <v>1</v>
      </c>
      <c r="BJ40" s="198"/>
      <c r="BK40" s="199">
        <v>0</v>
      </c>
      <c r="BL40" s="13">
        <v>0</v>
      </c>
      <c r="BM40" s="13">
        <v>0</v>
      </c>
      <c r="BN40" s="13" t="s">
        <v>616</v>
      </c>
      <c r="BO40" s="13" t="s">
        <v>616</v>
      </c>
      <c r="BP40" s="200">
        <v>0</v>
      </c>
      <c r="BQ40" s="201"/>
      <c r="BR40" s="202"/>
      <c r="BS40" s="187">
        <v>1000000000</v>
      </c>
      <c r="BT40" s="203">
        <v>0</v>
      </c>
      <c r="BU40" s="204">
        <v>0</v>
      </c>
      <c r="BV40" s="203">
        <v>0</v>
      </c>
      <c r="BW40" s="205">
        <v>0</v>
      </c>
      <c r="BX40" s="205">
        <v>0</v>
      </c>
      <c r="BY40" s="205">
        <v>0</v>
      </c>
      <c r="BZ40" s="203">
        <v>0</v>
      </c>
      <c r="CA40" s="203">
        <v>0</v>
      </c>
      <c r="CB40" s="203">
        <v>0</v>
      </c>
      <c r="CC40" s="204">
        <v>0</v>
      </c>
      <c r="CD40" s="203">
        <v>0</v>
      </c>
      <c r="CE40" s="203">
        <v>0</v>
      </c>
      <c r="CF40" s="13">
        <v>0</v>
      </c>
      <c r="CG40" s="206">
        <v>0</v>
      </c>
      <c r="CH40" s="207">
        <v>0</v>
      </c>
      <c r="CI40" s="201"/>
      <c r="CJ40" s="208"/>
      <c r="CK40" s="209" t="s">
        <v>615</v>
      </c>
      <c r="CL40" s="210" t="s">
        <v>615</v>
      </c>
      <c r="CM40" s="207">
        <v>0</v>
      </c>
      <c r="CN40" s="207">
        <v>0</v>
      </c>
      <c r="CO40" s="204">
        <v>0</v>
      </c>
      <c r="CP40" s="204">
        <v>0</v>
      </c>
      <c r="CQ40" s="211"/>
      <c r="CR40" s="204">
        <v>1</v>
      </c>
      <c r="CS40" s="212">
        <v>42531</v>
      </c>
      <c r="CT40" s="212">
        <v>42780</v>
      </c>
      <c r="CU40" s="213">
        <v>42780</v>
      </c>
      <c r="CV40" s="214">
        <v>42829</v>
      </c>
      <c r="CW40" s="214" t="s">
        <v>615</v>
      </c>
      <c r="CX40" s="214" t="s">
        <v>615</v>
      </c>
      <c r="CY40" s="204">
        <v>1</v>
      </c>
      <c r="CZ40" s="204">
        <v>0.97959183673469385</v>
      </c>
      <c r="DA40" s="203">
        <v>0</v>
      </c>
      <c r="DB40" s="204">
        <v>0.97959183673469385</v>
      </c>
      <c r="DC40" s="204">
        <v>0</v>
      </c>
      <c r="DD40" s="204">
        <v>0</v>
      </c>
      <c r="DE40" s="204">
        <v>0</v>
      </c>
      <c r="DF40" s="215">
        <v>0</v>
      </c>
      <c r="DG40" s="13" t="s">
        <v>615</v>
      </c>
      <c r="DH40" s="86">
        <v>38</v>
      </c>
      <c r="DI40" s="86"/>
      <c r="DJ40" s="86">
        <v>215</v>
      </c>
      <c r="DK40" s="86" t="s">
        <v>1674</v>
      </c>
      <c r="DL40" s="86" t="e">
        <v>#N/A</v>
      </c>
      <c r="DM40" s="86" t="e">
        <v>#N/A</v>
      </c>
      <c r="DN40" s="86" t="e">
        <v>#N/A</v>
      </c>
      <c r="DO40" s="86">
        <v>379</v>
      </c>
      <c r="DP40" s="86">
        <v>5</v>
      </c>
      <c r="DQ40" s="86">
        <v>49</v>
      </c>
      <c r="DR40" s="152">
        <v>0</v>
      </c>
      <c r="DS40" s="152">
        <v>0</v>
      </c>
      <c r="DT40" s="152">
        <v>0</v>
      </c>
      <c r="DU40" s="152">
        <v>0</v>
      </c>
      <c r="DV40" s="152">
        <v>0</v>
      </c>
      <c r="DW40" s="152">
        <v>0</v>
      </c>
      <c r="DX40" s="152">
        <v>0</v>
      </c>
      <c r="DY40" s="152">
        <v>0</v>
      </c>
      <c r="DZ40" s="152">
        <v>0</v>
      </c>
      <c r="EA40" s="152">
        <v>0</v>
      </c>
      <c r="EB40" s="152">
        <v>0</v>
      </c>
      <c r="EC40" s="152">
        <v>0</v>
      </c>
      <c r="ED40" s="152">
        <v>0</v>
      </c>
      <c r="EE40" s="152">
        <v>0</v>
      </c>
      <c r="EF40" s="152">
        <v>0</v>
      </c>
      <c r="EG40" s="152">
        <v>0</v>
      </c>
      <c r="EH40" s="152">
        <v>0</v>
      </c>
      <c r="EI40" s="152">
        <v>0</v>
      </c>
      <c r="EJ40" s="152">
        <v>0</v>
      </c>
      <c r="EK40" s="152">
        <v>0</v>
      </c>
      <c r="EL40" s="152">
        <v>0</v>
      </c>
      <c r="EM40" s="152">
        <v>0</v>
      </c>
      <c r="EN40" s="152">
        <v>0</v>
      </c>
      <c r="EO40" s="152">
        <v>0</v>
      </c>
      <c r="EP40" s="152">
        <v>0</v>
      </c>
      <c r="EQ40" s="152">
        <v>0</v>
      </c>
      <c r="ER40" s="152">
        <v>0</v>
      </c>
      <c r="ES40" s="152">
        <v>0</v>
      </c>
      <c r="ET40" s="152">
        <v>0</v>
      </c>
      <c r="EU40" s="152">
        <v>0</v>
      </c>
      <c r="EV40" s="152">
        <v>0</v>
      </c>
      <c r="EW40" s="152">
        <v>0</v>
      </c>
      <c r="EX40" s="152">
        <v>0</v>
      </c>
      <c r="EY40" s="152">
        <v>0</v>
      </c>
      <c r="EZ40" s="152">
        <v>0</v>
      </c>
      <c r="FA40" s="152">
        <v>0</v>
      </c>
      <c r="FB40" s="152">
        <v>0</v>
      </c>
      <c r="FC40" s="152">
        <v>0</v>
      </c>
      <c r="FD40" s="152">
        <v>0</v>
      </c>
      <c r="FE40" s="152">
        <v>0</v>
      </c>
      <c r="FF40" s="152">
        <v>0</v>
      </c>
      <c r="FG40" s="152">
        <v>0</v>
      </c>
      <c r="FH40" s="152">
        <v>0</v>
      </c>
      <c r="FI40" s="152">
        <v>0</v>
      </c>
      <c r="FJ40" s="152">
        <v>0</v>
      </c>
      <c r="FK40" s="152">
        <v>0</v>
      </c>
      <c r="FL40" s="152">
        <v>0</v>
      </c>
      <c r="FM40" s="152">
        <v>0</v>
      </c>
      <c r="FN40" s="152">
        <v>0</v>
      </c>
      <c r="FO40" s="152">
        <v>0</v>
      </c>
      <c r="FP40" s="152">
        <v>0</v>
      </c>
      <c r="FQ40" s="152">
        <v>0</v>
      </c>
      <c r="FR40" s="152">
        <v>0</v>
      </c>
      <c r="FS40" s="152">
        <v>0</v>
      </c>
      <c r="FT40" s="152">
        <v>0</v>
      </c>
      <c r="FU40" s="152">
        <v>0</v>
      </c>
      <c r="FV40" s="152">
        <v>0</v>
      </c>
      <c r="FW40" s="152">
        <v>0</v>
      </c>
      <c r="FX40" s="152">
        <v>0</v>
      </c>
      <c r="FY40" s="152">
        <v>0</v>
      </c>
      <c r="FZ40" s="152">
        <v>0</v>
      </c>
      <c r="GA40" s="152">
        <v>0</v>
      </c>
      <c r="GB40" s="152">
        <v>0</v>
      </c>
      <c r="GC40" s="152">
        <v>0</v>
      </c>
      <c r="GD40" s="152">
        <v>0</v>
      </c>
      <c r="GE40" s="152">
        <v>0</v>
      </c>
      <c r="GF40" s="152">
        <v>0</v>
      </c>
      <c r="GG40" s="152">
        <v>0</v>
      </c>
      <c r="GH40" s="152">
        <v>0</v>
      </c>
      <c r="GI40" s="152">
        <v>0</v>
      </c>
      <c r="GJ40" s="152">
        <v>0</v>
      </c>
      <c r="GK40" s="152">
        <v>0</v>
      </c>
      <c r="GL40" s="152">
        <v>0</v>
      </c>
      <c r="GM40" s="152">
        <v>0</v>
      </c>
      <c r="GN40" s="152">
        <v>0</v>
      </c>
      <c r="GO40" s="152">
        <v>0</v>
      </c>
      <c r="GP40" s="152">
        <v>0</v>
      </c>
      <c r="GQ40" s="152">
        <v>0</v>
      </c>
      <c r="GR40" s="152">
        <v>0</v>
      </c>
      <c r="GS40" s="152">
        <v>0</v>
      </c>
      <c r="GT40" s="152">
        <v>0</v>
      </c>
      <c r="GU40" s="152">
        <v>0</v>
      </c>
      <c r="GV40" s="152">
        <v>0</v>
      </c>
      <c r="GW40" s="152">
        <v>0</v>
      </c>
      <c r="GX40" s="152">
        <v>0</v>
      </c>
      <c r="GY40" s="152">
        <v>0</v>
      </c>
      <c r="GZ40" s="152">
        <v>0</v>
      </c>
      <c r="HA40" s="152">
        <v>0</v>
      </c>
      <c r="HB40" s="152">
        <v>0</v>
      </c>
      <c r="HC40" s="152">
        <v>0</v>
      </c>
      <c r="HD40" s="152">
        <v>0</v>
      </c>
      <c r="HE40" s="152">
        <v>0</v>
      </c>
      <c r="HF40" s="152">
        <v>0</v>
      </c>
      <c r="HG40" s="152">
        <v>0</v>
      </c>
      <c r="HH40" s="152">
        <v>0</v>
      </c>
      <c r="HI40" s="152">
        <v>0</v>
      </c>
      <c r="HJ40" s="152">
        <v>0</v>
      </c>
      <c r="HK40" s="152">
        <v>0</v>
      </c>
      <c r="HL40" s="152">
        <v>0</v>
      </c>
      <c r="HM40" s="152">
        <v>0</v>
      </c>
      <c r="HN40" s="152">
        <v>0</v>
      </c>
      <c r="HO40" s="152">
        <v>0</v>
      </c>
      <c r="HP40" s="152">
        <v>0</v>
      </c>
      <c r="HQ40" s="152">
        <v>0</v>
      </c>
      <c r="HR40" s="152">
        <v>0</v>
      </c>
      <c r="HS40" s="152">
        <v>0</v>
      </c>
      <c r="HT40" s="152">
        <v>0</v>
      </c>
      <c r="HU40" s="216"/>
      <c r="HV40" s="152">
        <v>0</v>
      </c>
      <c r="HW40" s="216"/>
      <c r="HX40" s="216"/>
      <c r="HY40" s="216"/>
      <c r="HZ40" s="216"/>
      <c r="IA40" s="216"/>
      <c r="IB40" s="216"/>
      <c r="IC40" s="216"/>
      <c r="ID40" s="216"/>
      <c r="IE40" s="216"/>
      <c r="IF40" s="216"/>
      <c r="IG40" s="216"/>
      <c r="IH40" s="216"/>
      <c r="II40" s="216"/>
      <c r="IJ40" s="216"/>
      <c r="IK40" s="216"/>
      <c r="IL40" s="216"/>
      <c r="IM40" s="216"/>
      <c r="IN40" s="216"/>
      <c r="IO40" s="216"/>
      <c r="IP40" s="216"/>
      <c r="IQ40" s="216"/>
      <c r="IR40" s="216"/>
      <c r="IS40" s="216"/>
      <c r="IT40" s="216"/>
      <c r="IU40" s="216"/>
      <c r="IV40" s="216"/>
      <c r="IW40" s="216"/>
      <c r="IX40" s="216"/>
      <c r="IY40" s="216"/>
      <c r="IZ40" s="216"/>
      <c r="JA40" s="216"/>
      <c r="JB40" s="216"/>
      <c r="JC40" s="216"/>
      <c r="JD40" s="216"/>
      <c r="JE40" s="216"/>
      <c r="JF40" s="216"/>
      <c r="JG40" s="216"/>
      <c r="JH40" s="216"/>
      <c r="JI40" s="216"/>
      <c r="JJ40" s="216"/>
      <c r="JK40" s="216"/>
      <c r="JL40" s="216"/>
      <c r="JM40" s="216"/>
      <c r="JN40" s="216"/>
      <c r="JO40" s="216"/>
      <c r="JP40" s="216"/>
      <c r="JQ40" s="216"/>
      <c r="JR40" s="216"/>
      <c r="JS40" s="216"/>
      <c r="JT40" s="216"/>
      <c r="JU40" s="216"/>
      <c r="JV40" s="216"/>
      <c r="JW40" s="216"/>
      <c r="JX40" s="216"/>
      <c r="JY40" s="216"/>
      <c r="JZ40" s="216"/>
      <c r="KA40" s="216"/>
      <c r="KB40" s="216"/>
      <c r="KC40" s="216"/>
      <c r="KD40" s="216"/>
      <c r="KE40" s="216"/>
      <c r="KF40" s="216"/>
      <c r="KG40" s="216"/>
      <c r="KH40" s="216"/>
      <c r="KI40" s="216"/>
      <c r="KJ40" s="216"/>
      <c r="KK40" s="216"/>
      <c r="KL40" s="216"/>
      <c r="KM40" s="216"/>
      <c r="KN40" s="216"/>
      <c r="KO40" s="216"/>
      <c r="KP40" s="216"/>
      <c r="KQ40" s="216"/>
      <c r="KR40" s="216"/>
      <c r="KS40" s="216"/>
      <c r="KT40" s="216"/>
      <c r="KU40" s="216"/>
      <c r="KV40" s="216"/>
      <c r="KW40" s="216"/>
      <c r="KX40" s="216"/>
      <c r="KY40" s="216"/>
      <c r="KZ40" s="216"/>
      <c r="LA40" s="216"/>
      <c r="LB40" s="216"/>
      <c r="LC40" s="216"/>
      <c r="LD40" s="216"/>
      <c r="LE40" s="216"/>
    </row>
    <row r="41" spans="1:317" x14ac:dyDescent="0.2">
      <c r="A41" s="179" t="s">
        <v>849</v>
      </c>
      <c r="B41" s="180" t="s">
        <v>940</v>
      </c>
      <c r="C41" s="181"/>
      <c r="D41" s="182">
        <v>0</v>
      </c>
      <c r="E41" s="182">
        <v>0</v>
      </c>
      <c r="F41" s="183" t="s">
        <v>1224</v>
      </c>
      <c r="G41" s="183">
        <v>0</v>
      </c>
      <c r="H41" s="183">
        <v>0</v>
      </c>
      <c r="I41" s="183">
        <v>0</v>
      </c>
      <c r="J41" s="183">
        <v>0</v>
      </c>
      <c r="K41" s="183" t="s">
        <v>1370</v>
      </c>
      <c r="L41" s="183">
        <v>0</v>
      </c>
      <c r="M41" s="183">
        <v>0</v>
      </c>
      <c r="N41" s="183" t="s">
        <v>881</v>
      </c>
      <c r="O41" s="183">
        <v>0</v>
      </c>
      <c r="P41" s="183">
        <v>0</v>
      </c>
      <c r="Q41" s="183"/>
      <c r="R41" s="183"/>
      <c r="S41" s="183"/>
      <c r="T41" s="183"/>
      <c r="U41" s="183"/>
      <c r="V41" s="183">
        <v>0</v>
      </c>
      <c r="W41" s="183">
        <v>0</v>
      </c>
      <c r="X41" s="183">
        <v>0</v>
      </c>
      <c r="Y41" s="184">
        <v>0.44</v>
      </c>
      <c r="Z41" s="184">
        <v>0</v>
      </c>
      <c r="AA41" s="184">
        <v>0</v>
      </c>
      <c r="AB41" s="185" t="s">
        <v>615</v>
      </c>
      <c r="AC41" s="185" t="s">
        <v>615</v>
      </c>
      <c r="AD41" s="186" t="s">
        <v>881</v>
      </c>
      <c r="AE41" s="186" t="s">
        <v>858</v>
      </c>
      <c r="AF41" s="187">
        <v>7</v>
      </c>
      <c r="AG41" s="187">
        <v>3</v>
      </c>
      <c r="AH41" s="187">
        <v>4</v>
      </c>
      <c r="AI41" s="188">
        <v>1</v>
      </c>
      <c r="AJ41" s="188" t="s">
        <v>615</v>
      </c>
      <c r="AK41" s="187" t="s">
        <v>1733</v>
      </c>
      <c r="AL41" s="87" t="s">
        <v>615</v>
      </c>
      <c r="AM41" s="189"/>
      <c r="AN41" s="187" t="s">
        <v>615</v>
      </c>
      <c r="AO41" s="13" t="s">
        <v>615</v>
      </c>
      <c r="AP41" s="187">
        <v>0</v>
      </c>
      <c r="AQ41" s="187">
        <v>0</v>
      </c>
      <c r="AR41" s="190">
        <v>0</v>
      </c>
      <c r="AS41" s="190">
        <v>0</v>
      </c>
      <c r="AT41" s="190">
        <v>0</v>
      </c>
      <c r="AU41" s="187">
        <v>0</v>
      </c>
      <c r="AV41" s="187">
        <v>0</v>
      </c>
      <c r="AW41" s="191"/>
      <c r="AX41" s="192"/>
      <c r="AY41" s="193">
        <v>42666</v>
      </c>
      <c r="AZ41" s="193"/>
      <c r="BA41" s="193"/>
      <c r="BB41" s="194"/>
      <c r="BC41" s="194"/>
      <c r="BD41" s="195"/>
      <c r="BE41" s="195" t="s">
        <v>532</v>
      </c>
      <c r="BF41" s="195"/>
      <c r="BG41" s="195">
        <v>500</v>
      </c>
      <c r="BH41" s="196" t="s">
        <v>547</v>
      </c>
      <c r="BI41" s="197">
        <v>1</v>
      </c>
      <c r="BJ41" s="198"/>
      <c r="BK41" s="199">
        <v>0</v>
      </c>
      <c r="BL41" s="13">
        <v>0</v>
      </c>
      <c r="BM41" s="13">
        <v>0</v>
      </c>
      <c r="BN41" s="13" t="s">
        <v>616</v>
      </c>
      <c r="BO41" s="13" t="s">
        <v>616</v>
      </c>
      <c r="BP41" s="200">
        <v>0</v>
      </c>
      <c r="BQ41" s="201"/>
      <c r="BR41" s="202"/>
      <c r="BS41" s="187">
        <v>1000000000</v>
      </c>
      <c r="BT41" s="203">
        <v>0</v>
      </c>
      <c r="BU41" s="204">
        <v>0</v>
      </c>
      <c r="BV41" s="203">
        <v>0</v>
      </c>
      <c r="BW41" s="205">
        <v>0</v>
      </c>
      <c r="BX41" s="205">
        <v>0</v>
      </c>
      <c r="BY41" s="205">
        <v>0</v>
      </c>
      <c r="BZ41" s="203">
        <v>0</v>
      </c>
      <c r="CA41" s="203">
        <v>0</v>
      </c>
      <c r="CB41" s="203">
        <v>0</v>
      </c>
      <c r="CC41" s="204">
        <v>0</v>
      </c>
      <c r="CD41" s="203">
        <v>0</v>
      </c>
      <c r="CE41" s="203">
        <v>0</v>
      </c>
      <c r="CF41" s="13">
        <v>0</v>
      </c>
      <c r="CG41" s="206">
        <v>0</v>
      </c>
      <c r="CH41" s="207">
        <v>0</v>
      </c>
      <c r="CI41" s="201"/>
      <c r="CJ41" s="208"/>
      <c r="CK41" s="209" t="s">
        <v>615</v>
      </c>
      <c r="CL41" s="210" t="s">
        <v>615</v>
      </c>
      <c r="CM41" s="207">
        <v>0</v>
      </c>
      <c r="CN41" s="207">
        <v>0</v>
      </c>
      <c r="CO41" s="204">
        <v>0</v>
      </c>
      <c r="CP41" s="204">
        <v>0</v>
      </c>
      <c r="CQ41" s="211"/>
      <c r="CR41" s="204">
        <v>1</v>
      </c>
      <c r="CS41" s="212">
        <v>42592</v>
      </c>
      <c r="CT41" s="212">
        <v>42780</v>
      </c>
      <c r="CU41" s="213">
        <v>42780</v>
      </c>
      <c r="CV41" s="214">
        <v>42829</v>
      </c>
      <c r="CW41" s="214" t="s">
        <v>615</v>
      </c>
      <c r="CX41" s="214" t="s">
        <v>615</v>
      </c>
      <c r="CY41" s="204">
        <v>1</v>
      </c>
      <c r="CZ41" s="204">
        <v>0.97959183673469385</v>
      </c>
      <c r="DA41" s="203">
        <v>0</v>
      </c>
      <c r="DB41" s="204">
        <v>0.97959183673469385</v>
      </c>
      <c r="DC41" s="204">
        <v>0</v>
      </c>
      <c r="DD41" s="204">
        <v>0</v>
      </c>
      <c r="DE41" s="204">
        <v>0</v>
      </c>
      <c r="DF41" s="215">
        <v>0</v>
      </c>
      <c r="DG41" s="13" t="s">
        <v>615</v>
      </c>
      <c r="DH41" s="86">
        <v>39</v>
      </c>
      <c r="DI41" s="86"/>
      <c r="DJ41" s="86">
        <v>214</v>
      </c>
      <c r="DK41" s="86" t="s">
        <v>1673</v>
      </c>
      <c r="DL41" s="86" t="e">
        <v>#N/A</v>
      </c>
      <c r="DM41" s="86" t="e">
        <v>#N/A</v>
      </c>
      <c r="DN41" s="86" t="e">
        <v>#N/A</v>
      </c>
      <c r="DO41" s="86">
        <v>378</v>
      </c>
      <c r="DP41" s="86">
        <v>5</v>
      </c>
      <c r="DQ41" s="86">
        <v>49</v>
      </c>
      <c r="DR41" s="146">
        <v>0</v>
      </c>
      <c r="DS41" s="146">
        <v>0</v>
      </c>
      <c r="DT41" s="146">
        <v>0</v>
      </c>
      <c r="DU41" s="146">
        <v>0</v>
      </c>
      <c r="DV41" s="146">
        <v>0</v>
      </c>
      <c r="DW41" s="146">
        <v>0</v>
      </c>
      <c r="DX41" s="146">
        <v>0</v>
      </c>
      <c r="DY41" s="146">
        <v>0</v>
      </c>
      <c r="DZ41" s="146">
        <v>0</v>
      </c>
      <c r="EA41" s="146">
        <v>0</v>
      </c>
      <c r="EB41" s="146">
        <v>0</v>
      </c>
      <c r="EC41" s="146">
        <v>0</v>
      </c>
      <c r="ED41" s="146">
        <v>0</v>
      </c>
      <c r="EE41" s="146">
        <v>0</v>
      </c>
      <c r="EF41" s="146">
        <v>0</v>
      </c>
      <c r="EG41" s="146">
        <v>0</v>
      </c>
      <c r="EH41" s="146">
        <v>0</v>
      </c>
      <c r="EI41" s="146">
        <v>0</v>
      </c>
      <c r="EJ41" s="146">
        <v>0</v>
      </c>
      <c r="EK41" s="146">
        <v>0</v>
      </c>
      <c r="EL41" s="146">
        <v>0</v>
      </c>
      <c r="EM41" s="146">
        <v>0</v>
      </c>
      <c r="EN41" s="146">
        <v>0</v>
      </c>
      <c r="EO41" s="146">
        <v>0</v>
      </c>
      <c r="EP41" s="146">
        <v>0</v>
      </c>
      <c r="EQ41" s="146">
        <v>0</v>
      </c>
      <c r="ER41" s="146">
        <v>0</v>
      </c>
      <c r="ES41" s="146">
        <v>0</v>
      </c>
      <c r="ET41" s="146">
        <v>0</v>
      </c>
      <c r="EU41" s="146">
        <v>0</v>
      </c>
      <c r="EV41" s="146">
        <v>0</v>
      </c>
      <c r="EW41" s="146">
        <v>0</v>
      </c>
      <c r="EX41" s="146">
        <v>0</v>
      </c>
      <c r="EY41" s="146">
        <v>0</v>
      </c>
      <c r="EZ41" s="146">
        <v>0</v>
      </c>
      <c r="FA41" s="146">
        <v>0</v>
      </c>
      <c r="FB41" s="146">
        <v>0</v>
      </c>
      <c r="FC41" s="146">
        <v>0</v>
      </c>
      <c r="FD41" s="146">
        <v>0</v>
      </c>
      <c r="FE41" s="146">
        <v>0</v>
      </c>
      <c r="FF41" s="146">
        <v>0</v>
      </c>
      <c r="FG41" s="146">
        <v>0</v>
      </c>
      <c r="FH41" s="146">
        <v>0</v>
      </c>
      <c r="FI41" s="146">
        <v>0</v>
      </c>
      <c r="FJ41" s="146">
        <v>0</v>
      </c>
      <c r="FK41" s="146">
        <v>0</v>
      </c>
      <c r="FL41" s="146">
        <v>0</v>
      </c>
      <c r="FM41" s="146">
        <v>0</v>
      </c>
      <c r="FN41" s="146">
        <v>0</v>
      </c>
      <c r="FO41" s="146">
        <v>0</v>
      </c>
      <c r="FP41" s="146">
        <v>0</v>
      </c>
      <c r="FQ41" s="146">
        <v>0</v>
      </c>
      <c r="FR41" s="146">
        <v>0</v>
      </c>
      <c r="FS41" s="146">
        <v>0</v>
      </c>
      <c r="FT41" s="146">
        <v>0</v>
      </c>
      <c r="FU41" s="146">
        <v>0</v>
      </c>
      <c r="FV41" s="146">
        <v>0</v>
      </c>
      <c r="FW41" s="146">
        <v>0</v>
      </c>
      <c r="FX41" s="146">
        <v>0</v>
      </c>
      <c r="FY41" s="146">
        <v>0</v>
      </c>
      <c r="FZ41" s="146">
        <v>0</v>
      </c>
      <c r="GA41" s="146">
        <v>0</v>
      </c>
      <c r="GB41" s="146">
        <v>0</v>
      </c>
      <c r="GC41" s="146">
        <v>0</v>
      </c>
      <c r="GD41" s="146">
        <v>0</v>
      </c>
      <c r="GE41" s="146">
        <v>0</v>
      </c>
      <c r="GF41" s="146">
        <v>0</v>
      </c>
      <c r="GG41" s="146">
        <v>0</v>
      </c>
      <c r="GH41" s="146">
        <v>0</v>
      </c>
      <c r="GI41" s="146">
        <v>0</v>
      </c>
      <c r="GJ41" s="146">
        <v>0</v>
      </c>
      <c r="GK41" s="146">
        <v>0</v>
      </c>
      <c r="GL41" s="146">
        <v>0</v>
      </c>
      <c r="GM41" s="146">
        <v>0</v>
      </c>
      <c r="GN41" s="146">
        <v>0</v>
      </c>
      <c r="GO41" s="146">
        <v>0</v>
      </c>
      <c r="GP41" s="146">
        <v>0</v>
      </c>
      <c r="GQ41" s="146">
        <v>0</v>
      </c>
      <c r="GR41" s="146">
        <v>0</v>
      </c>
      <c r="GS41" s="146">
        <v>0</v>
      </c>
      <c r="GT41" s="146">
        <v>0</v>
      </c>
      <c r="GU41" s="146">
        <v>0</v>
      </c>
      <c r="GV41" s="146">
        <v>0</v>
      </c>
      <c r="GW41" s="146">
        <v>0</v>
      </c>
      <c r="GX41" s="146">
        <v>0</v>
      </c>
      <c r="GY41" s="146">
        <v>0</v>
      </c>
      <c r="GZ41" s="146">
        <v>0</v>
      </c>
      <c r="HA41" s="146">
        <v>0</v>
      </c>
      <c r="HB41" s="146">
        <v>0</v>
      </c>
      <c r="HC41" s="146">
        <v>0</v>
      </c>
      <c r="HD41" s="146">
        <v>0</v>
      </c>
      <c r="HE41" s="146">
        <v>0</v>
      </c>
      <c r="HF41" s="146">
        <v>0</v>
      </c>
      <c r="HG41" s="146">
        <v>0</v>
      </c>
      <c r="HH41" s="146">
        <v>0</v>
      </c>
      <c r="HI41" s="146">
        <v>0</v>
      </c>
      <c r="HJ41" s="146">
        <v>0</v>
      </c>
      <c r="HK41" s="146">
        <v>0</v>
      </c>
      <c r="HL41" s="146">
        <v>0</v>
      </c>
      <c r="HM41" s="146">
        <v>0</v>
      </c>
      <c r="HN41" s="146">
        <v>0</v>
      </c>
      <c r="HO41" s="146">
        <v>0</v>
      </c>
      <c r="HP41" s="146">
        <v>0</v>
      </c>
      <c r="HQ41" s="146">
        <v>0</v>
      </c>
      <c r="HR41" s="146">
        <v>0</v>
      </c>
      <c r="HS41" s="146">
        <v>0</v>
      </c>
      <c r="HT41" s="146">
        <v>0</v>
      </c>
      <c r="HU41" s="151"/>
      <c r="HV41" s="146">
        <v>0</v>
      </c>
      <c r="HW41" s="151"/>
      <c r="HX41" s="151"/>
      <c r="HY41" s="151"/>
      <c r="HZ41" s="151"/>
      <c r="IA41" s="151"/>
      <c r="IB41" s="151"/>
      <c r="IC41" s="151"/>
      <c r="ID41" s="151"/>
      <c r="IE41" s="151"/>
      <c r="IF41" s="151"/>
      <c r="IG41" s="151"/>
      <c r="IH41" s="151"/>
      <c r="II41" s="151"/>
      <c r="IJ41" s="151"/>
      <c r="IK41" s="151"/>
      <c r="IL41" s="151"/>
      <c r="IM41" s="151"/>
      <c r="IN41" s="151"/>
      <c r="IO41" s="151"/>
      <c r="IP41" s="151"/>
      <c r="IQ41" s="151"/>
      <c r="IR41" s="151"/>
      <c r="IS41" s="151"/>
      <c r="IT41" s="151"/>
      <c r="IU41" s="151"/>
      <c r="IV41" s="151"/>
      <c r="IW41" s="151"/>
      <c r="IX41" s="151"/>
      <c r="IY41" s="151"/>
      <c r="IZ41" s="151"/>
      <c r="JA41" s="151"/>
      <c r="JB41" s="151"/>
      <c r="JC41" s="151"/>
      <c r="JD41" s="151"/>
      <c r="JE41" s="151"/>
      <c r="JF41" s="151"/>
      <c r="JG41" s="151"/>
      <c r="JH41" s="151"/>
      <c r="JI41" s="151"/>
      <c r="JJ41" s="151"/>
      <c r="JK41" s="151"/>
      <c r="JL41" s="151"/>
      <c r="JM41" s="151"/>
      <c r="JN41" s="151"/>
      <c r="JO41" s="151"/>
      <c r="JP41" s="151"/>
      <c r="JQ41" s="151"/>
      <c r="JR41" s="151"/>
      <c r="JS41" s="151"/>
      <c r="JT41" s="151"/>
      <c r="JU41" s="151"/>
      <c r="JV41" s="151"/>
      <c r="JW41" s="151"/>
      <c r="JX41" s="151"/>
      <c r="JY41" s="151"/>
      <c r="JZ41" s="151"/>
      <c r="KA41" s="151"/>
      <c r="KB41" s="151"/>
      <c r="KC41" s="151"/>
      <c r="KD41" s="151"/>
      <c r="KE41" s="151"/>
      <c r="KF41" s="151"/>
      <c r="KG41" s="151"/>
      <c r="KH41" s="151"/>
      <c r="KI41" s="151"/>
      <c r="KJ41" s="151"/>
      <c r="KK41" s="151"/>
      <c r="KL41" s="151"/>
      <c r="KM41" s="151"/>
      <c r="KN41" s="151"/>
      <c r="KO41" s="151"/>
      <c r="KP41" s="151"/>
      <c r="KQ41" s="151"/>
      <c r="KR41" s="151"/>
      <c r="KS41" s="151"/>
      <c r="KT41" s="151"/>
      <c r="KU41" s="151"/>
      <c r="KV41" s="151"/>
      <c r="KW41" s="151"/>
      <c r="KX41" s="151"/>
      <c r="KY41" s="151"/>
      <c r="KZ41" s="151"/>
      <c r="LA41" s="151"/>
      <c r="LB41" s="151"/>
      <c r="LC41" s="151"/>
      <c r="LD41" s="151"/>
      <c r="LE41" s="151"/>
    </row>
    <row r="42" spans="1:317" x14ac:dyDescent="0.2">
      <c r="A42" s="179" t="s">
        <v>849</v>
      </c>
      <c r="B42" s="180" t="s">
        <v>941</v>
      </c>
      <c r="C42" s="181"/>
      <c r="D42" s="182">
        <v>0</v>
      </c>
      <c r="E42" s="182">
        <v>0</v>
      </c>
      <c r="F42" s="183" t="s">
        <v>1225</v>
      </c>
      <c r="G42" s="183">
        <v>0</v>
      </c>
      <c r="H42" s="183">
        <v>0</v>
      </c>
      <c r="I42" s="183">
        <v>0</v>
      </c>
      <c r="J42" s="183">
        <v>0</v>
      </c>
      <c r="K42" s="183" t="s">
        <v>1370</v>
      </c>
      <c r="L42" s="183">
        <v>0</v>
      </c>
      <c r="M42" s="183">
        <v>0</v>
      </c>
      <c r="N42" s="183" t="s">
        <v>881</v>
      </c>
      <c r="O42" s="183">
        <v>0</v>
      </c>
      <c r="P42" s="183">
        <v>0</v>
      </c>
      <c r="Q42" s="183"/>
      <c r="R42" s="183"/>
      <c r="S42" s="183"/>
      <c r="T42" s="183"/>
      <c r="U42" s="183"/>
      <c r="V42" s="183">
        <v>0</v>
      </c>
      <c r="W42" s="183">
        <v>0</v>
      </c>
      <c r="X42" s="183">
        <v>0</v>
      </c>
      <c r="Y42" s="184">
        <v>0.21</v>
      </c>
      <c r="Z42" s="184">
        <v>0.79</v>
      </c>
      <c r="AA42" s="184">
        <v>0</v>
      </c>
      <c r="AB42" s="185" t="s">
        <v>615</v>
      </c>
      <c r="AC42" s="185" t="s">
        <v>615</v>
      </c>
      <c r="AD42" s="186" t="s">
        <v>881</v>
      </c>
      <c r="AE42" s="186" t="s">
        <v>858</v>
      </c>
      <c r="AF42" s="187">
        <v>7</v>
      </c>
      <c r="AG42" s="187">
        <v>3</v>
      </c>
      <c r="AH42" s="187">
        <v>4</v>
      </c>
      <c r="AI42" s="188">
        <v>1</v>
      </c>
      <c r="AJ42" s="188" t="s">
        <v>617</v>
      </c>
      <c r="AK42" s="187" t="s">
        <v>1737</v>
      </c>
      <c r="AL42" s="87">
        <v>3538</v>
      </c>
      <c r="AM42" s="189"/>
      <c r="AN42" s="187">
        <v>3538</v>
      </c>
      <c r="AO42" s="13" t="s">
        <v>615</v>
      </c>
      <c r="AP42" s="187">
        <v>0</v>
      </c>
      <c r="AQ42" s="187">
        <v>0</v>
      </c>
      <c r="AR42" s="190">
        <v>0</v>
      </c>
      <c r="AS42" s="190">
        <v>0</v>
      </c>
      <c r="AT42" s="190">
        <v>0</v>
      </c>
      <c r="AU42" s="187">
        <v>12</v>
      </c>
      <c r="AV42" s="187">
        <v>0</v>
      </c>
      <c r="AW42" s="191"/>
      <c r="AX42" s="192"/>
      <c r="AY42" s="193">
        <v>42666</v>
      </c>
      <c r="AZ42" s="193"/>
      <c r="BA42" s="193"/>
      <c r="BB42" s="194"/>
      <c r="BC42" s="194"/>
      <c r="BD42" s="195"/>
      <c r="BE42" s="195" t="s">
        <v>532</v>
      </c>
      <c r="BF42" s="195"/>
      <c r="BG42" s="195">
        <v>500</v>
      </c>
      <c r="BH42" s="196" t="s">
        <v>547</v>
      </c>
      <c r="BI42" s="197">
        <v>1</v>
      </c>
      <c r="BJ42" s="198"/>
      <c r="BK42" s="199">
        <v>2660</v>
      </c>
      <c r="BL42" s="13">
        <v>1769</v>
      </c>
      <c r="BM42" s="13">
        <v>878</v>
      </c>
      <c r="BN42" s="13" t="s">
        <v>621</v>
      </c>
      <c r="BO42" s="13" t="s">
        <v>621</v>
      </c>
      <c r="BP42" s="200">
        <v>2000</v>
      </c>
      <c r="BQ42" s="201"/>
      <c r="BR42" s="202"/>
      <c r="BS42" s="187">
        <v>1000000000</v>
      </c>
      <c r="BT42" s="203">
        <v>0</v>
      </c>
      <c r="BU42" s="204">
        <v>1</v>
      </c>
      <c r="BV42" s="203">
        <v>0</v>
      </c>
      <c r="BW42" s="205">
        <v>0</v>
      </c>
      <c r="BX42" s="205">
        <v>0</v>
      </c>
      <c r="BY42" s="205">
        <v>0</v>
      </c>
      <c r="BZ42" s="203">
        <v>0</v>
      </c>
      <c r="CA42" s="203">
        <v>0</v>
      </c>
      <c r="CB42" s="203">
        <v>0</v>
      </c>
      <c r="CC42" s="204">
        <v>1</v>
      </c>
      <c r="CD42" s="203">
        <v>0</v>
      </c>
      <c r="CE42" s="203">
        <v>0</v>
      </c>
      <c r="CF42" s="13">
        <v>2660</v>
      </c>
      <c r="CG42" s="206">
        <v>2500</v>
      </c>
      <c r="CH42" s="207">
        <v>1520</v>
      </c>
      <c r="CI42" s="201"/>
      <c r="CJ42" s="208"/>
      <c r="CK42" s="209" t="s">
        <v>615</v>
      </c>
      <c r="CL42" s="210" t="s">
        <v>615</v>
      </c>
      <c r="CM42" s="207">
        <v>509.24000000000007</v>
      </c>
      <c r="CN42" s="207">
        <v>0</v>
      </c>
      <c r="CO42" s="204">
        <v>0</v>
      </c>
      <c r="CP42" s="204">
        <v>18.938775510204081</v>
      </c>
      <c r="CQ42" s="211"/>
      <c r="CR42" s="204">
        <v>1</v>
      </c>
      <c r="CS42" s="212">
        <v>42709</v>
      </c>
      <c r="CT42" s="212">
        <v>42780</v>
      </c>
      <c r="CU42" s="213">
        <v>42780</v>
      </c>
      <c r="CV42" s="214">
        <v>42829</v>
      </c>
      <c r="CW42" s="214" t="s">
        <v>615</v>
      </c>
      <c r="CX42" s="214" t="s">
        <v>615</v>
      </c>
      <c r="CY42" s="204">
        <v>0.92797652208011971</v>
      </c>
      <c r="CZ42" s="204">
        <v>0.97959183673469397</v>
      </c>
      <c r="DA42" s="203">
        <v>24754</v>
      </c>
      <c r="DB42" s="204">
        <v>0.24489795918367346</v>
      </c>
      <c r="DC42" s="204">
        <v>0.63265306122448983</v>
      </c>
      <c r="DD42" s="204">
        <v>0.10204081632653061</v>
      </c>
      <c r="DE42" s="204">
        <v>0</v>
      </c>
      <c r="DF42" s="215">
        <v>0</v>
      </c>
      <c r="DG42" s="13" t="s">
        <v>615</v>
      </c>
      <c r="DH42" s="86">
        <v>40</v>
      </c>
      <c r="DI42" s="86"/>
      <c r="DJ42" s="86">
        <v>213</v>
      </c>
      <c r="DK42" s="86" t="s">
        <v>1672</v>
      </c>
      <c r="DL42" s="86" t="e">
        <v>#N/A</v>
      </c>
      <c r="DM42" s="86" t="e">
        <v>#N/A</v>
      </c>
      <c r="DN42" s="86" t="e">
        <v>#N/A</v>
      </c>
      <c r="DO42" s="86">
        <v>377</v>
      </c>
      <c r="DP42" s="86">
        <v>5</v>
      </c>
      <c r="DQ42" s="86">
        <v>49</v>
      </c>
      <c r="DR42" s="166">
        <v>0</v>
      </c>
      <c r="DS42" s="166">
        <v>0</v>
      </c>
      <c r="DT42" s="166">
        <v>0</v>
      </c>
      <c r="DU42" s="166">
        <v>0</v>
      </c>
      <c r="DV42" s="166">
        <v>0</v>
      </c>
      <c r="DW42" s="166">
        <v>0</v>
      </c>
      <c r="DX42" s="166">
        <v>0</v>
      </c>
      <c r="DY42" s="166">
        <v>0</v>
      </c>
      <c r="DZ42" s="166">
        <v>0</v>
      </c>
      <c r="EA42" s="166">
        <v>0</v>
      </c>
      <c r="EB42" s="166">
        <v>0</v>
      </c>
      <c r="EC42" s="166">
        <v>0</v>
      </c>
      <c r="ED42" s="166">
        <v>0</v>
      </c>
      <c r="EE42" s="166">
        <v>0</v>
      </c>
      <c r="EF42" s="166">
        <v>0</v>
      </c>
      <c r="EG42" s="166">
        <v>0</v>
      </c>
      <c r="EH42" s="166">
        <v>0</v>
      </c>
      <c r="EI42" s="166">
        <v>0</v>
      </c>
      <c r="EJ42" s="166">
        <v>0</v>
      </c>
      <c r="EK42" s="166">
        <v>0</v>
      </c>
      <c r="EL42" s="166">
        <v>0</v>
      </c>
      <c r="EM42" s="166">
        <v>0</v>
      </c>
      <c r="EN42" s="166">
        <v>0</v>
      </c>
      <c r="EO42" s="166">
        <v>0</v>
      </c>
      <c r="EP42" s="166">
        <v>0</v>
      </c>
      <c r="EQ42" s="166">
        <v>0</v>
      </c>
      <c r="ER42" s="166">
        <v>0</v>
      </c>
      <c r="ES42" s="166">
        <v>0</v>
      </c>
      <c r="ET42" s="166">
        <v>0</v>
      </c>
      <c r="EU42" s="166">
        <v>0</v>
      </c>
      <c r="EV42" s="166">
        <v>0</v>
      </c>
      <c r="EW42" s="166">
        <v>0</v>
      </c>
      <c r="EX42" s="166">
        <v>0</v>
      </c>
      <c r="EY42" s="166">
        <v>0</v>
      </c>
      <c r="EZ42" s="166">
        <v>0</v>
      </c>
      <c r="FA42" s="166">
        <v>0</v>
      </c>
      <c r="FB42" s="166">
        <v>0</v>
      </c>
      <c r="FC42" s="166">
        <v>0</v>
      </c>
      <c r="FD42" s="166">
        <v>0</v>
      </c>
      <c r="FE42" s="166">
        <v>0</v>
      </c>
      <c r="FF42" s="166">
        <v>0</v>
      </c>
      <c r="FG42" s="166">
        <v>0</v>
      </c>
      <c r="FH42" s="166">
        <v>0</v>
      </c>
      <c r="FI42" s="166">
        <v>0</v>
      </c>
      <c r="FJ42" s="166">
        <v>0</v>
      </c>
      <c r="FK42" s="166">
        <v>0</v>
      </c>
      <c r="FL42" s="166">
        <v>0</v>
      </c>
      <c r="FM42" s="166">
        <v>0</v>
      </c>
      <c r="FN42" s="166">
        <v>0</v>
      </c>
      <c r="FO42" s="166">
        <v>0</v>
      </c>
      <c r="FP42" s="166">
        <v>0</v>
      </c>
      <c r="FQ42" s="166">
        <v>0</v>
      </c>
      <c r="FR42" s="166">
        <v>0</v>
      </c>
      <c r="FS42" s="166">
        <v>0</v>
      </c>
      <c r="FT42" s="166">
        <v>0</v>
      </c>
      <c r="FU42" s="165">
        <v>600</v>
      </c>
      <c r="FV42" s="165">
        <v>600</v>
      </c>
      <c r="FW42" s="165">
        <v>600</v>
      </c>
      <c r="FX42" s="165">
        <v>600</v>
      </c>
      <c r="FY42" s="165">
        <v>600</v>
      </c>
      <c r="FZ42" s="165">
        <v>600</v>
      </c>
      <c r="GA42" s="165">
        <v>600</v>
      </c>
      <c r="GB42" s="165">
        <v>600</v>
      </c>
      <c r="GC42" s="165">
        <v>400</v>
      </c>
      <c r="GD42" s="165">
        <v>400</v>
      </c>
      <c r="GE42" s="165">
        <v>400</v>
      </c>
      <c r="GF42" s="165">
        <v>400</v>
      </c>
      <c r="GG42" s="165">
        <v>400</v>
      </c>
      <c r="GH42" s="165">
        <v>400</v>
      </c>
      <c r="GI42" s="165">
        <v>400</v>
      </c>
      <c r="GJ42" s="165">
        <v>400</v>
      </c>
      <c r="GK42" s="165">
        <v>400</v>
      </c>
      <c r="GL42" s="165">
        <v>400</v>
      </c>
      <c r="GM42" s="165">
        <v>400</v>
      </c>
      <c r="GN42" s="165">
        <v>400</v>
      </c>
      <c r="GO42" s="165">
        <v>400</v>
      </c>
      <c r="GP42" s="165">
        <v>400</v>
      </c>
      <c r="GQ42" s="165">
        <v>400</v>
      </c>
      <c r="GR42" s="165">
        <v>400</v>
      </c>
      <c r="GS42" s="165">
        <v>400</v>
      </c>
      <c r="GT42" s="165">
        <v>400</v>
      </c>
      <c r="GU42" s="165">
        <v>400</v>
      </c>
      <c r="GV42" s="165">
        <v>400</v>
      </c>
      <c r="GW42" s="165">
        <v>400</v>
      </c>
      <c r="GX42" s="166">
        <v>0</v>
      </c>
      <c r="GY42" s="166">
        <v>0</v>
      </c>
      <c r="GZ42" s="166">
        <v>0</v>
      </c>
      <c r="HA42" s="166">
        <v>0</v>
      </c>
      <c r="HB42" s="166">
        <v>0</v>
      </c>
      <c r="HC42" s="166">
        <v>0</v>
      </c>
      <c r="HD42" s="166">
        <v>0</v>
      </c>
      <c r="HE42" s="166">
        <v>0</v>
      </c>
      <c r="HF42" s="166">
        <v>0</v>
      </c>
      <c r="HG42" s="166">
        <v>0</v>
      </c>
      <c r="HH42" s="165">
        <v>400</v>
      </c>
      <c r="HI42" s="165">
        <v>400</v>
      </c>
      <c r="HJ42" s="165">
        <v>400</v>
      </c>
      <c r="HK42" s="165">
        <v>400</v>
      </c>
      <c r="HL42" s="165">
        <v>400</v>
      </c>
      <c r="HM42" s="165">
        <v>400</v>
      </c>
      <c r="HN42" s="165">
        <v>400</v>
      </c>
      <c r="HO42" s="168">
        <v>1400</v>
      </c>
      <c r="HP42" s="168">
        <v>1400</v>
      </c>
      <c r="HQ42" s="168">
        <v>1400</v>
      </c>
      <c r="HR42" s="168">
        <v>1400</v>
      </c>
      <c r="HS42" s="168">
        <v>1400</v>
      </c>
      <c r="HT42" s="166">
        <v>0</v>
      </c>
      <c r="HU42" s="216"/>
      <c r="HV42" s="166">
        <v>0</v>
      </c>
      <c r="HW42" s="216"/>
      <c r="HX42" s="216"/>
      <c r="HY42" s="216"/>
      <c r="HZ42" s="216"/>
      <c r="IA42" s="216"/>
      <c r="IB42" s="216"/>
      <c r="IC42" s="216"/>
      <c r="ID42" s="216"/>
      <c r="IE42" s="216"/>
      <c r="IF42" s="216"/>
      <c r="IG42" s="216"/>
      <c r="IH42" s="216"/>
      <c r="II42" s="216"/>
      <c r="IJ42" s="216"/>
      <c r="IK42" s="216"/>
      <c r="IL42" s="216"/>
      <c r="IM42" s="216"/>
      <c r="IN42" s="216"/>
      <c r="IO42" s="216"/>
      <c r="IP42" s="216"/>
      <c r="IQ42" s="216"/>
      <c r="IR42" s="216"/>
      <c r="IS42" s="216"/>
      <c r="IT42" s="216"/>
      <c r="IU42" s="216"/>
      <c r="IV42" s="216"/>
      <c r="IW42" s="216"/>
      <c r="IX42" s="216"/>
      <c r="IY42" s="216"/>
      <c r="IZ42" s="216"/>
      <c r="JA42" s="216"/>
      <c r="JB42" s="216"/>
      <c r="JC42" s="216"/>
      <c r="JD42" s="216"/>
      <c r="JE42" s="216"/>
      <c r="JF42" s="216"/>
      <c r="JG42" s="216"/>
      <c r="JH42" s="216"/>
      <c r="JI42" s="216"/>
      <c r="JJ42" s="216"/>
      <c r="JK42" s="216"/>
      <c r="JL42" s="216"/>
      <c r="JM42" s="216"/>
      <c r="JN42" s="216"/>
      <c r="JO42" s="216"/>
      <c r="JP42" s="216"/>
      <c r="JQ42" s="216"/>
      <c r="JR42" s="216"/>
      <c r="JS42" s="216"/>
      <c r="JT42" s="216"/>
      <c r="JU42" s="216"/>
      <c r="JV42" s="216"/>
      <c r="JW42" s="216"/>
      <c r="JX42" s="216"/>
      <c r="JY42" s="216"/>
      <c r="JZ42" s="216"/>
      <c r="KA42" s="216"/>
      <c r="KB42" s="216"/>
      <c r="KC42" s="216"/>
      <c r="KD42" s="216"/>
      <c r="KE42" s="216"/>
      <c r="KF42" s="216"/>
      <c r="KG42" s="216"/>
      <c r="KH42" s="216"/>
      <c r="KI42" s="216"/>
      <c r="KJ42" s="216"/>
      <c r="KK42" s="216"/>
      <c r="KL42" s="216"/>
      <c r="KM42" s="216"/>
      <c r="KN42" s="216"/>
      <c r="KO42" s="216"/>
      <c r="KP42" s="216"/>
      <c r="KQ42" s="216"/>
      <c r="KR42" s="216"/>
      <c r="KS42" s="216"/>
      <c r="KT42" s="216"/>
      <c r="KU42" s="216"/>
      <c r="KV42" s="216"/>
      <c r="KW42" s="216"/>
      <c r="KX42" s="216"/>
      <c r="KY42" s="216"/>
      <c r="KZ42" s="216"/>
      <c r="LA42" s="216"/>
      <c r="LB42" s="216"/>
      <c r="LC42" s="216"/>
      <c r="LD42" s="216"/>
      <c r="LE42" s="216"/>
    </row>
    <row r="43" spans="1:317" x14ac:dyDescent="0.2">
      <c r="A43" s="179" t="s">
        <v>849</v>
      </c>
      <c r="B43" s="180" t="s">
        <v>942</v>
      </c>
      <c r="C43" s="181"/>
      <c r="D43" s="182">
        <v>0</v>
      </c>
      <c r="E43" s="182">
        <v>0</v>
      </c>
      <c r="F43" s="183" t="s">
        <v>1226</v>
      </c>
      <c r="G43" s="183">
        <v>0</v>
      </c>
      <c r="H43" s="183">
        <v>0</v>
      </c>
      <c r="I43" s="183">
        <v>0</v>
      </c>
      <c r="J43" s="183">
        <v>0</v>
      </c>
      <c r="K43" s="183" t="s">
        <v>1370</v>
      </c>
      <c r="L43" s="183">
        <v>0</v>
      </c>
      <c r="M43" s="183">
        <v>0</v>
      </c>
      <c r="N43" s="183" t="s">
        <v>881</v>
      </c>
      <c r="O43" s="183">
        <v>0</v>
      </c>
      <c r="P43" s="183">
        <v>0</v>
      </c>
      <c r="Q43" s="183"/>
      <c r="R43" s="183"/>
      <c r="S43" s="183"/>
      <c r="T43" s="183"/>
      <c r="U43" s="183"/>
      <c r="V43" s="183">
        <v>0</v>
      </c>
      <c r="W43" s="183">
        <v>0</v>
      </c>
      <c r="X43" s="183">
        <v>0</v>
      </c>
      <c r="Y43" s="184">
        <v>0.2</v>
      </c>
      <c r="Z43" s="184">
        <v>0.79</v>
      </c>
      <c r="AA43" s="184">
        <v>0</v>
      </c>
      <c r="AB43" s="185" t="s">
        <v>615</v>
      </c>
      <c r="AC43" s="185" t="s">
        <v>615</v>
      </c>
      <c r="AD43" s="186" t="s">
        <v>881</v>
      </c>
      <c r="AE43" s="186" t="s">
        <v>858</v>
      </c>
      <c r="AF43" s="187">
        <v>7</v>
      </c>
      <c r="AG43" s="187">
        <v>3</v>
      </c>
      <c r="AH43" s="187">
        <v>4</v>
      </c>
      <c r="AI43" s="188">
        <v>1</v>
      </c>
      <c r="AJ43" s="188" t="s">
        <v>617</v>
      </c>
      <c r="AK43" s="187" t="s">
        <v>1737</v>
      </c>
      <c r="AL43" s="87">
        <v>21227</v>
      </c>
      <c r="AM43" s="189"/>
      <c r="AN43" s="187">
        <v>21227</v>
      </c>
      <c r="AO43" s="13" t="s">
        <v>615</v>
      </c>
      <c r="AP43" s="187">
        <v>0</v>
      </c>
      <c r="AQ43" s="187">
        <v>0</v>
      </c>
      <c r="AR43" s="190">
        <v>0</v>
      </c>
      <c r="AS43" s="190">
        <v>0</v>
      </c>
      <c r="AT43" s="190">
        <v>0</v>
      </c>
      <c r="AU43" s="187">
        <v>2</v>
      </c>
      <c r="AV43" s="187">
        <v>0</v>
      </c>
      <c r="AW43" s="191"/>
      <c r="AX43" s="192"/>
      <c r="AY43" s="193">
        <v>42853</v>
      </c>
      <c r="AZ43" s="193"/>
      <c r="BA43" s="193"/>
      <c r="BB43" s="194"/>
      <c r="BC43" s="194"/>
      <c r="BD43" s="195"/>
      <c r="BE43" s="195" t="s">
        <v>532</v>
      </c>
      <c r="BF43" s="195"/>
      <c r="BG43" s="195">
        <v>500</v>
      </c>
      <c r="BH43" s="196" t="s">
        <v>547</v>
      </c>
      <c r="BI43" s="197">
        <v>1</v>
      </c>
      <c r="BJ43" s="198"/>
      <c r="BK43" s="199">
        <v>15960</v>
      </c>
      <c r="BL43" s="13">
        <v>10613</v>
      </c>
      <c r="BM43" s="13">
        <v>5267</v>
      </c>
      <c r="BN43" s="13" t="s">
        <v>621</v>
      </c>
      <c r="BO43" s="13" t="s">
        <v>621</v>
      </c>
      <c r="BP43" s="200">
        <v>12000</v>
      </c>
      <c r="BQ43" s="201"/>
      <c r="BR43" s="202"/>
      <c r="BS43" s="187">
        <v>1000000000</v>
      </c>
      <c r="BT43" s="203">
        <v>0</v>
      </c>
      <c r="BU43" s="204">
        <v>1</v>
      </c>
      <c r="BV43" s="203">
        <v>0</v>
      </c>
      <c r="BW43" s="205">
        <v>0</v>
      </c>
      <c r="BX43" s="205">
        <v>0</v>
      </c>
      <c r="BY43" s="205">
        <v>0</v>
      </c>
      <c r="BZ43" s="203">
        <v>0</v>
      </c>
      <c r="CA43" s="203">
        <v>0</v>
      </c>
      <c r="CB43" s="203">
        <v>0</v>
      </c>
      <c r="CC43" s="204">
        <v>1</v>
      </c>
      <c r="CD43" s="203">
        <v>0</v>
      </c>
      <c r="CE43" s="203">
        <v>0</v>
      </c>
      <c r="CF43" s="13">
        <v>15960</v>
      </c>
      <c r="CG43" s="206">
        <v>16000</v>
      </c>
      <c r="CH43" s="207">
        <v>9120</v>
      </c>
      <c r="CI43" s="201"/>
      <c r="CJ43" s="208"/>
      <c r="CK43" s="209" t="s">
        <v>615</v>
      </c>
      <c r="CL43" s="210" t="s">
        <v>615</v>
      </c>
      <c r="CM43" s="207">
        <v>3107.53</v>
      </c>
      <c r="CN43" s="207">
        <v>0</v>
      </c>
      <c r="CO43" s="204">
        <v>0</v>
      </c>
      <c r="CP43" s="204">
        <v>20.228571428571431</v>
      </c>
      <c r="CQ43" s="211"/>
      <c r="CR43" s="204">
        <v>1</v>
      </c>
      <c r="CS43" s="212">
        <v>42709</v>
      </c>
      <c r="CT43" s="212">
        <v>42780</v>
      </c>
      <c r="CU43" s="213">
        <v>42780</v>
      </c>
      <c r="CV43" s="214">
        <v>42829</v>
      </c>
      <c r="CW43" s="214" t="s">
        <v>615</v>
      </c>
      <c r="CX43" s="214" t="s">
        <v>615</v>
      </c>
      <c r="CY43" s="204">
        <v>0.34248377619064474</v>
      </c>
      <c r="CZ43" s="204">
        <v>0.97959183673469385</v>
      </c>
      <c r="DA43" s="203">
        <v>25475</v>
      </c>
      <c r="DB43" s="204">
        <v>4.0816326530612242E-2</v>
      </c>
      <c r="DC43" s="204">
        <v>0.46938775510204084</v>
      </c>
      <c r="DD43" s="204">
        <v>0.46938775510204084</v>
      </c>
      <c r="DE43" s="204">
        <v>0</v>
      </c>
      <c r="DF43" s="215">
        <v>0</v>
      </c>
      <c r="DG43" s="13" t="s">
        <v>615</v>
      </c>
      <c r="DH43" s="86">
        <v>41</v>
      </c>
      <c r="DI43" s="86"/>
      <c r="DJ43" s="86">
        <v>212</v>
      </c>
      <c r="DK43" s="86" t="s">
        <v>1671</v>
      </c>
      <c r="DL43" s="86" t="e">
        <v>#N/A</v>
      </c>
      <c r="DM43" s="86" t="e">
        <v>#N/A</v>
      </c>
      <c r="DN43" s="86" t="e">
        <v>#N/A</v>
      </c>
      <c r="DO43" s="86">
        <v>376</v>
      </c>
      <c r="DP43" s="86">
        <v>5</v>
      </c>
      <c r="DQ43" s="86">
        <v>49</v>
      </c>
      <c r="DR43" s="160">
        <v>0</v>
      </c>
      <c r="DS43" s="160">
        <v>0</v>
      </c>
      <c r="DT43" s="160">
        <v>0</v>
      </c>
      <c r="DU43" s="160">
        <v>0</v>
      </c>
      <c r="DV43" s="160">
        <v>0</v>
      </c>
      <c r="DW43" s="160">
        <v>0</v>
      </c>
      <c r="DX43" s="160">
        <v>0</v>
      </c>
      <c r="DY43" s="160">
        <v>0</v>
      </c>
      <c r="DZ43" s="160">
        <v>0</v>
      </c>
      <c r="EA43" s="160">
        <v>0</v>
      </c>
      <c r="EB43" s="160">
        <v>0</v>
      </c>
      <c r="EC43" s="160">
        <v>0</v>
      </c>
      <c r="ED43" s="160">
        <v>0</v>
      </c>
      <c r="EE43" s="160">
        <v>0</v>
      </c>
      <c r="EF43" s="160">
        <v>0</v>
      </c>
      <c r="EG43" s="160">
        <v>0</v>
      </c>
      <c r="EH43" s="160">
        <v>0</v>
      </c>
      <c r="EI43" s="160">
        <v>0</v>
      </c>
      <c r="EJ43" s="160">
        <v>0</v>
      </c>
      <c r="EK43" s="160">
        <v>0</v>
      </c>
      <c r="EL43" s="160">
        <v>0</v>
      </c>
      <c r="EM43" s="160">
        <v>0</v>
      </c>
      <c r="EN43" s="160">
        <v>0</v>
      </c>
      <c r="EO43" s="160">
        <v>0</v>
      </c>
      <c r="EP43" s="160">
        <v>0</v>
      </c>
      <c r="EQ43" s="160">
        <v>0</v>
      </c>
      <c r="ER43" s="160">
        <v>0</v>
      </c>
      <c r="ES43" s="160">
        <v>0</v>
      </c>
      <c r="ET43" s="160">
        <v>0</v>
      </c>
      <c r="EU43" s="160">
        <v>0</v>
      </c>
      <c r="EV43" s="160">
        <v>0</v>
      </c>
      <c r="EW43" s="160">
        <v>0</v>
      </c>
      <c r="EX43" s="160">
        <v>0</v>
      </c>
      <c r="EY43" s="160">
        <v>0</v>
      </c>
      <c r="EZ43" s="160">
        <v>0</v>
      </c>
      <c r="FA43" s="160">
        <v>0</v>
      </c>
      <c r="FB43" s="160">
        <v>0</v>
      </c>
      <c r="FC43" s="160">
        <v>0</v>
      </c>
      <c r="FD43" s="160">
        <v>0</v>
      </c>
      <c r="FE43" s="160">
        <v>0</v>
      </c>
      <c r="FF43" s="160">
        <v>0</v>
      </c>
      <c r="FG43" s="160">
        <v>0</v>
      </c>
      <c r="FH43" s="160">
        <v>0</v>
      </c>
      <c r="FI43" s="160">
        <v>0</v>
      </c>
      <c r="FJ43" s="160">
        <v>0</v>
      </c>
      <c r="FK43" s="160">
        <v>0</v>
      </c>
      <c r="FL43" s="160">
        <v>0</v>
      </c>
      <c r="FM43" s="160">
        <v>0</v>
      </c>
      <c r="FN43" s="160">
        <v>0</v>
      </c>
      <c r="FO43" s="160">
        <v>0</v>
      </c>
      <c r="FP43" s="160">
        <v>0</v>
      </c>
      <c r="FQ43" s="160">
        <v>0</v>
      </c>
      <c r="FR43" s="160">
        <v>0</v>
      </c>
      <c r="FS43" s="160">
        <v>0</v>
      </c>
      <c r="FT43" s="160">
        <v>0</v>
      </c>
      <c r="FU43" s="162">
        <v>8100</v>
      </c>
      <c r="FV43" s="162">
        <v>8100</v>
      </c>
      <c r="FW43" s="162">
        <v>8100</v>
      </c>
      <c r="FX43" s="162">
        <v>8100</v>
      </c>
      <c r="FY43" s="162">
        <v>8100</v>
      </c>
      <c r="FZ43" s="162">
        <v>8100</v>
      </c>
      <c r="GA43" s="162">
        <v>8100</v>
      </c>
      <c r="GB43" s="162">
        <v>8100</v>
      </c>
      <c r="GC43" s="163">
        <v>7800</v>
      </c>
      <c r="GD43" s="163">
        <v>7800</v>
      </c>
      <c r="GE43" s="163">
        <v>7800</v>
      </c>
      <c r="GF43" s="163">
        <v>7800</v>
      </c>
      <c r="GG43" s="163">
        <v>7800</v>
      </c>
      <c r="GH43" s="163">
        <v>7800</v>
      </c>
      <c r="GI43" s="163">
        <v>7800</v>
      </c>
      <c r="GJ43" s="163">
        <v>7800</v>
      </c>
      <c r="GK43" s="163">
        <v>7800</v>
      </c>
      <c r="GL43" s="163">
        <v>7800</v>
      </c>
      <c r="GM43" s="163">
        <v>7800</v>
      </c>
      <c r="GN43" s="163">
        <v>7800</v>
      </c>
      <c r="GO43" s="163">
        <v>7800</v>
      </c>
      <c r="GP43" s="163">
        <v>7800</v>
      </c>
      <c r="GQ43" s="163">
        <v>7800</v>
      </c>
      <c r="GR43" s="163">
        <v>4800</v>
      </c>
      <c r="GS43" s="163">
        <v>4800</v>
      </c>
      <c r="GT43" s="163">
        <v>4800</v>
      </c>
      <c r="GU43" s="163">
        <v>4800</v>
      </c>
      <c r="GV43" s="163">
        <v>4800</v>
      </c>
      <c r="GW43" s="163">
        <v>4800</v>
      </c>
      <c r="GX43" s="163">
        <v>4800</v>
      </c>
      <c r="GY43" s="163">
        <v>4800</v>
      </c>
      <c r="GZ43" s="163">
        <v>4800</v>
      </c>
      <c r="HA43" s="163">
        <v>4500</v>
      </c>
      <c r="HB43" s="163">
        <v>4500</v>
      </c>
      <c r="HC43" s="163">
        <v>4500</v>
      </c>
      <c r="HD43" s="163">
        <v>4500</v>
      </c>
      <c r="HE43" s="163">
        <v>4500</v>
      </c>
      <c r="HF43" s="163">
        <v>4500</v>
      </c>
      <c r="HG43" s="163">
        <v>4500</v>
      </c>
      <c r="HH43" s="163">
        <v>4500</v>
      </c>
      <c r="HI43" s="163">
        <v>4500</v>
      </c>
      <c r="HJ43" s="163">
        <v>4500</v>
      </c>
      <c r="HK43" s="163">
        <v>4500</v>
      </c>
      <c r="HL43" s="163">
        <v>4500</v>
      </c>
      <c r="HM43" s="163">
        <v>4500</v>
      </c>
      <c r="HN43" s="163">
        <v>4500</v>
      </c>
      <c r="HO43" s="163">
        <v>8000</v>
      </c>
      <c r="HP43" s="163">
        <v>8000</v>
      </c>
      <c r="HQ43" s="163">
        <v>8000</v>
      </c>
      <c r="HR43" s="163">
        <v>7900</v>
      </c>
      <c r="HS43" s="163">
        <v>7900</v>
      </c>
      <c r="HT43" s="160">
        <v>0</v>
      </c>
      <c r="HU43" s="151"/>
      <c r="HV43" s="160">
        <v>0</v>
      </c>
      <c r="HW43" s="151"/>
      <c r="HX43" s="151"/>
      <c r="HY43" s="151"/>
      <c r="HZ43" s="151"/>
      <c r="IA43" s="151"/>
      <c r="IB43" s="151"/>
      <c r="IC43" s="151"/>
      <c r="ID43" s="151"/>
      <c r="IE43" s="151"/>
      <c r="IF43" s="151"/>
      <c r="IG43" s="151"/>
      <c r="IH43" s="151"/>
      <c r="II43" s="151"/>
      <c r="IJ43" s="151"/>
      <c r="IK43" s="151"/>
      <c r="IL43" s="151"/>
      <c r="IM43" s="151"/>
      <c r="IN43" s="151"/>
      <c r="IO43" s="151"/>
      <c r="IP43" s="151"/>
      <c r="IQ43" s="151"/>
      <c r="IR43" s="151"/>
      <c r="IS43" s="151"/>
      <c r="IT43" s="151"/>
      <c r="IU43" s="151"/>
      <c r="IV43" s="151"/>
      <c r="IW43" s="151"/>
      <c r="IX43" s="151"/>
      <c r="IY43" s="151"/>
      <c r="IZ43" s="151"/>
      <c r="JA43" s="151"/>
      <c r="JB43" s="151"/>
      <c r="JC43" s="151"/>
      <c r="JD43" s="151"/>
      <c r="JE43" s="151"/>
      <c r="JF43" s="151"/>
      <c r="JG43" s="151"/>
      <c r="JH43" s="151"/>
      <c r="JI43" s="151"/>
      <c r="JJ43" s="151"/>
      <c r="JK43" s="151"/>
      <c r="JL43" s="151"/>
      <c r="JM43" s="151"/>
      <c r="JN43" s="151"/>
      <c r="JO43" s="151"/>
      <c r="JP43" s="151"/>
      <c r="JQ43" s="151"/>
      <c r="JR43" s="151"/>
      <c r="JS43" s="151"/>
      <c r="JT43" s="151"/>
      <c r="JU43" s="151"/>
      <c r="JV43" s="151"/>
      <c r="JW43" s="151"/>
      <c r="JX43" s="151"/>
      <c r="JY43" s="151"/>
      <c r="JZ43" s="151"/>
      <c r="KA43" s="151"/>
      <c r="KB43" s="151"/>
      <c r="KC43" s="151"/>
      <c r="KD43" s="151"/>
      <c r="KE43" s="151"/>
      <c r="KF43" s="151"/>
      <c r="KG43" s="151"/>
      <c r="KH43" s="151"/>
      <c r="KI43" s="151"/>
      <c r="KJ43" s="151"/>
      <c r="KK43" s="151"/>
      <c r="KL43" s="151"/>
      <c r="KM43" s="151"/>
      <c r="KN43" s="151"/>
      <c r="KO43" s="151"/>
      <c r="KP43" s="151"/>
      <c r="KQ43" s="151"/>
      <c r="KR43" s="151"/>
      <c r="KS43" s="151"/>
      <c r="KT43" s="151"/>
      <c r="KU43" s="151"/>
      <c r="KV43" s="151"/>
      <c r="KW43" s="151"/>
      <c r="KX43" s="151"/>
      <c r="KY43" s="151"/>
      <c r="KZ43" s="151"/>
      <c r="LA43" s="151"/>
      <c r="LB43" s="151"/>
      <c r="LC43" s="151"/>
      <c r="LD43" s="151"/>
      <c r="LE43" s="151"/>
    </row>
    <row r="44" spans="1:317" x14ac:dyDescent="0.2">
      <c r="A44" s="179" t="s">
        <v>849</v>
      </c>
      <c r="B44" s="180" t="s">
        <v>943</v>
      </c>
      <c r="C44" s="181"/>
      <c r="D44" s="182">
        <v>0</v>
      </c>
      <c r="E44" s="182">
        <v>0</v>
      </c>
      <c r="F44" s="183" t="s">
        <v>1227</v>
      </c>
      <c r="G44" s="183">
        <v>0</v>
      </c>
      <c r="H44" s="183">
        <v>0</v>
      </c>
      <c r="I44" s="183">
        <v>0</v>
      </c>
      <c r="J44" s="183">
        <v>0</v>
      </c>
      <c r="K44" s="183" t="s">
        <v>1370</v>
      </c>
      <c r="L44" s="183">
        <v>0</v>
      </c>
      <c r="M44" s="183">
        <v>0</v>
      </c>
      <c r="N44" s="183" t="s">
        <v>881</v>
      </c>
      <c r="O44" s="183">
        <v>0</v>
      </c>
      <c r="P44" s="183">
        <v>0</v>
      </c>
      <c r="Q44" s="183"/>
      <c r="R44" s="183"/>
      <c r="S44" s="183"/>
      <c r="T44" s="183"/>
      <c r="U44" s="183"/>
      <c r="V44" s="183">
        <v>0</v>
      </c>
      <c r="W44" s="183">
        <v>0</v>
      </c>
      <c r="X44" s="183">
        <v>0</v>
      </c>
      <c r="Y44" s="184">
        <v>0.21</v>
      </c>
      <c r="Z44" s="184">
        <v>0.79</v>
      </c>
      <c r="AA44" s="184">
        <v>0</v>
      </c>
      <c r="AB44" s="185" t="s">
        <v>615</v>
      </c>
      <c r="AC44" s="185" t="s">
        <v>615</v>
      </c>
      <c r="AD44" s="186" t="s">
        <v>881</v>
      </c>
      <c r="AE44" s="186" t="s">
        <v>858</v>
      </c>
      <c r="AF44" s="187">
        <v>7</v>
      </c>
      <c r="AG44" s="187">
        <v>3</v>
      </c>
      <c r="AH44" s="187">
        <v>4</v>
      </c>
      <c r="AI44" s="188">
        <v>1</v>
      </c>
      <c r="AJ44" s="188" t="s">
        <v>617</v>
      </c>
      <c r="AK44" s="187" t="s">
        <v>1737</v>
      </c>
      <c r="AL44" s="87">
        <v>7076</v>
      </c>
      <c r="AM44" s="189"/>
      <c r="AN44" s="187">
        <v>7076</v>
      </c>
      <c r="AO44" s="13" t="s">
        <v>615</v>
      </c>
      <c r="AP44" s="187">
        <v>0</v>
      </c>
      <c r="AQ44" s="187">
        <v>0</v>
      </c>
      <c r="AR44" s="190">
        <v>0</v>
      </c>
      <c r="AS44" s="190">
        <v>0</v>
      </c>
      <c r="AT44" s="190">
        <v>0</v>
      </c>
      <c r="AU44" s="187">
        <v>2</v>
      </c>
      <c r="AV44" s="187">
        <v>0</v>
      </c>
      <c r="AW44" s="191"/>
      <c r="AX44" s="192"/>
      <c r="AY44" s="193">
        <v>42853</v>
      </c>
      <c r="AZ44" s="193"/>
      <c r="BA44" s="193"/>
      <c r="BB44" s="194"/>
      <c r="BC44" s="194"/>
      <c r="BD44" s="195"/>
      <c r="BE44" s="195" t="s">
        <v>532</v>
      </c>
      <c r="BF44" s="195"/>
      <c r="BG44" s="195">
        <v>500</v>
      </c>
      <c r="BH44" s="196" t="s">
        <v>547</v>
      </c>
      <c r="BI44" s="197">
        <v>1</v>
      </c>
      <c r="BJ44" s="198"/>
      <c r="BK44" s="199">
        <v>5320</v>
      </c>
      <c r="BL44" s="13">
        <v>3538</v>
      </c>
      <c r="BM44" s="13">
        <v>1756</v>
      </c>
      <c r="BN44" s="13" t="s">
        <v>621</v>
      </c>
      <c r="BO44" s="13" t="s">
        <v>621</v>
      </c>
      <c r="BP44" s="200">
        <v>4000</v>
      </c>
      <c r="BQ44" s="201"/>
      <c r="BR44" s="202"/>
      <c r="BS44" s="187">
        <v>1000000000</v>
      </c>
      <c r="BT44" s="203">
        <v>0</v>
      </c>
      <c r="BU44" s="204">
        <v>1</v>
      </c>
      <c r="BV44" s="203">
        <v>0</v>
      </c>
      <c r="BW44" s="205">
        <v>0</v>
      </c>
      <c r="BX44" s="205">
        <v>0</v>
      </c>
      <c r="BY44" s="205">
        <v>0</v>
      </c>
      <c r="BZ44" s="203">
        <v>0</v>
      </c>
      <c r="CA44" s="203">
        <v>0</v>
      </c>
      <c r="CB44" s="203">
        <v>0</v>
      </c>
      <c r="CC44" s="204">
        <v>1</v>
      </c>
      <c r="CD44" s="203">
        <v>0</v>
      </c>
      <c r="CE44" s="203">
        <v>0</v>
      </c>
      <c r="CF44" s="13">
        <v>5320</v>
      </c>
      <c r="CG44" s="206">
        <v>5500</v>
      </c>
      <c r="CH44" s="207">
        <v>3040</v>
      </c>
      <c r="CI44" s="201"/>
      <c r="CJ44" s="208"/>
      <c r="CK44" s="209" t="s">
        <v>615</v>
      </c>
      <c r="CL44" s="210" t="s">
        <v>615</v>
      </c>
      <c r="CM44" s="207">
        <v>1018.4800000000001</v>
      </c>
      <c r="CN44" s="207">
        <v>0</v>
      </c>
      <c r="CO44" s="204">
        <v>0</v>
      </c>
      <c r="CP44" s="204">
        <v>18.938775510204081</v>
      </c>
      <c r="CQ44" s="211"/>
      <c r="CR44" s="204">
        <v>1</v>
      </c>
      <c r="CS44" s="212">
        <v>42709</v>
      </c>
      <c r="CT44" s="212">
        <v>42780</v>
      </c>
      <c r="CU44" s="213">
        <v>42780</v>
      </c>
      <c r="CV44" s="214">
        <v>42829</v>
      </c>
      <c r="CW44" s="214" t="s">
        <v>615</v>
      </c>
      <c r="CX44" s="214" t="s">
        <v>615</v>
      </c>
      <c r="CY44" s="204">
        <v>0.30661778967509723</v>
      </c>
      <c r="CZ44" s="204">
        <v>0.97959183673469385</v>
      </c>
      <c r="DA44" s="203">
        <v>4296</v>
      </c>
      <c r="DB44" s="204">
        <v>4.0816326530612242E-2</v>
      </c>
      <c r="DC44" s="204">
        <v>0.2857142857142857</v>
      </c>
      <c r="DD44" s="204">
        <v>0.65306122448979587</v>
      </c>
      <c r="DE44" s="204">
        <v>0</v>
      </c>
      <c r="DF44" s="215">
        <v>0</v>
      </c>
      <c r="DG44" s="13" t="s">
        <v>615</v>
      </c>
      <c r="DH44" s="86">
        <v>42</v>
      </c>
      <c r="DI44" s="86"/>
      <c r="DJ44" s="86">
        <v>211</v>
      </c>
      <c r="DK44" s="86" t="s">
        <v>1670</v>
      </c>
      <c r="DL44" s="86" t="e">
        <v>#N/A</v>
      </c>
      <c r="DM44" s="86" t="e">
        <v>#N/A</v>
      </c>
      <c r="DN44" s="86" t="e">
        <v>#N/A</v>
      </c>
      <c r="DO44" s="86">
        <v>375</v>
      </c>
      <c r="DP44" s="86">
        <v>5</v>
      </c>
      <c r="DQ44" s="86">
        <v>49</v>
      </c>
      <c r="DR44" s="166">
        <v>0</v>
      </c>
      <c r="DS44" s="166">
        <v>0</v>
      </c>
      <c r="DT44" s="166">
        <v>0</v>
      </c>
      <c r="DU44" s="166">
        <v>0</v>
      </c>
      <c r="DV44" s="166">
        <v>0</v>
      </c>
      <c r="DW44" s="166">
        <v>0</v>
      </c>
      <c r="DX44" s="166">
        <v>0</v>
      </c>
      <c r="DY44" s="166">
        <v>0</v>
      </c>
      <c r="DZ44" s="166">
        <v>0</v>
      </c>
      <c r="EA44" s="166">
        <v>0</v>
      </c>
      <c r="EB44" s="166">
        <v>0</v>
      </c>
      <c r="EC44" s="166">
        <v>0</v>
      </c>
      <c r="ED44" s="166">
        <v>0</v>
      </c>
      <c r="EE44" s="166">
        <v>0</v>
      </c>
      <c r="EF44" s="166">
        <v>0</v>
      </c>
      <c r="EG44" s="166">
        <v>0</v>
      </c>
      <c r="EH44" s="166">
        <v>0</v>
      </c>
      <c r="EI44" s="166">
        <v>0</v>
      </c>
      <c r="EJ44" s="166">
        <v>0</v>
      </c>
      <c r="EK44" s="166">
        <v>0</v>
      </c>
      <c r="EL44" s="166">
        <v>0</v>
      </c>
      <c r="EM44" s="166">
        <v>0</v>
      </c>
      <c r="EN44" s="166">
        <v>0</v>
      </c>
      <c r="EO44" s="166">
        <v>0</v>
      </c>
      <c r="EP44" s="166">
        <v>0</v>
      </c>
      <c r="EQ44" s="166">
        <v>0</v>
      </c>
      <c r="ER44" s="166">
        <v>0</v>
      </c>
      <c r="ES44" s="166">
        <v>0</v>
      </c>
      <c r="ET44" s="166">
        <v>0</v>
      </c>
      <c r="EU44" s="166">
        <v>0</v>
      </c>
      <c r="EV44" s="166">
        <v>0</v>
      </c>
      <c r="EW44" s="166">
        <v>0</v>
      </c>
      <c r="EX44" s="166">
        <v>0</v>
      </c>
      <c r="EY44" s="166">
        <v>0</v>
      </c>
      <c r="EZ44" s="166">
        <v>0</v>
      </c>
      <c r="FA44" s="166">
        <v>0</v>
      </c>
      <c r="FB44" s="166">
        <v>0</v>
      </c>
      <c r="FC44" s="166">
        <v>0</v>
      </c>
      <c r="FD44" s="166">
        <v>0</v>
      </c>
      <c r="FE44" s="166">
        <v>0</v>
      </c>
      <c r="FF44" s="166">
        <v>0</v>
      </c>
      <c r="FG44" s="166">
        <v>0</v>
      </c>
      <c r="FH44" s="166">
        <v>0</v>
      </c>
      <c r="FI44" s="166">
        <v>0</v>
      </c>
      <c r="FJ44" s="166">
        <v>0</v>
      </c>
      <c r="FK44" s="166">
        <v>0</v>
      </c>
      <c r="FL44" s="166">
        <v>0</v>
      </c>
      <c r="FM44" s="166">
        <v>0</v>
      </c>
      <c r="FN44" s="166">
        <v>0</v>
      </c>
      <c r="FO44" s="166">
        <v>0</v>
      </c>
      <c r="FP44" s="166">
        <v>0</v>
      </c>
      <c r="FQ44" s="166">
        <v>0</v>
      </c>
      <c r="FR44" s="166">
        <v>0</v>
      </c>
      <c r="FS44" s="166">
        <v>0</v>
      </c>
      <c r="FT44" s="166">
        <v>0</v>
      </c>
      <c r="FU44" s="168">
        <v>2100</v>
      </c>
      <c r="FV44" s="168">
        <v>2100</v>
      </c>
      <c r="FW44" s="168">
        <v>2100</v>
      </c>
      <c r="FX44" s="168">
        <v>2100</v>
      </c>
      <c r="FY44" s="168">
        <v>2100</v>
      </c>
      <c r="FZ44" s="168">
        <v>2100</v>
      </c>
      <c r="GA44" s="168">
        <v>2100</v>
      </c>
      <c r="GB44" s="168">
        <v>2100</v>
      </c>
      <c r="GC44" s="168">
        <v>1900</v>
      </c>
      <c r="GD44" s="168">
        <v>1900</v>
      </c>
      <c r="GE44" s="168">
        <v>1900</v>
      </c>
      <c r="GF44" s="168">
        <v>1900</v>
      </c>
      <c r="GG44" s="168">
        <v>1900</v>
      </c>
      <c r="GH44" s="168">
        <v>1900</v>
      </c>
      <c r="GI44" s="168">
        <v>1900</v>
      </c>
      <c r="GJ44" s="168">
        <v>1900</v>
      </c>
      <c r="GK44" s="168">
        <v>1900</v>
      </c>
      <c r="GL44" s="168">
        <v>1900</v>
      </c>
      <c r="GM44" s="168">
        <v>1900</v>
      </c>
      <c r="GN44" s="168">
        <v>1900</v>
      </c>
      <c r="GO44" s="168">
        <v>1900</v>
      </c>
      <c r="GP44" s="168">
        <v>1900</v>
      </c>
      <c r="GQ44" s="168">
        <v>1900</v>
      </c>
      <c r="GR44" s="168">
        <v>1900</v>
      </c>
      <c r="GS44" s="168">
        <v>1900</v>
      </c>
      <c r="GT44" s="168">
        <v>1900</v>
      </c>
      <c r="GU44" s="168">
        <v>1900</v>
      </c>
      <c r="GV44" s="168">
        <v>1900</v>
      </c>
      <c r="GW44" s="168">
        <v>1900</v>
      </c>
      <c r="GX44" s="168">
        <v>1900</v>
      </c>
      <c r="GY44" s="168">
        <v>1900</v>
      </c>
      <c r="GZ44" s="168">
        <v>1900</v>
      </c>
      <c r="HA44" s="168">
        <v>1700</v>
      </c>
      <c r="HB44" s="168">
        <v>1700</v>
      </c>
      <c r="HC44" s="168">
        <v>1700</v>
      </c>
      <c r="HD44" s="168">
        <v>1700</v>
      </c>
      <c r="HE44" s="168">
        <v>1700</v>
      </c>
      <c r="HF44" s="168">
        <v>1700</v>
      </c>
      <c r="HG44" s="168">
        <v>1700</v>
      </c>
      <c r="HH44" s="168">
        <v>1700</v>
      </c>
      <c r="HI44" s="168">
        <v>1700</v>
      </c>
      <c r="HJ44" s="168">
        <v>1700</v>
      </c>
      <c r="HK44" s="168">
        <v>1700</v>
      </c>
      <c r="HL44" s="168">
        <v>1700</v>
      </c>
      <c r="HM44" s="168">
        <v>1700</v>
      </c>
      <c r="HN44" s="168">
        <v>1700</v>
      </c>
      <c r="HO44" s="168">
        <v>3200</v>
      </c>
      <c r="HP44" s="168">
        <v>3200</v>
      </c>
      <c r="HQ44" s="168">
        <v>3200</v>
      </c>
      <c r="HR44" s="168">
        <v>3150</v>
      </c>
      <c r="HS44" s="168">
        <v>3150</v>
      </c>
      <c r="HT44" s="166">
        <v>0</v>
      </c>
      <c r="HU44" s="216"/>
      <c r="HV44" s="166">
        <v>0</v>
      </c>
      <c r="HW44" s="216"/>
      <c r="HX44" s="216"/>
      <c r="HY44" s="216"/>
      <c r="HZ44" s="216"/>
      <c r="IA44" s="216"/>
      <c r="IB44" s="216"/>
      <c r="IC44" s="216"/>
      <c r="ID44" s="216"/>
      <c r="IE44" s="216"/>
      <c r="IF44" s="216"/>
      <c r="IG44" s="216"/>
      <c r="IH44" s="216"/>
      <c r="II44" s="216"/>
      <c r="IJ44" s="216"/>
      <c r="IK44" s="216"/>
      <c r="IL44" s="216"/>
      <c r="IM44" s="216"/>
      <c r="IN44" s="216"/>
      <c r="IO44" s="216"/>
      <c r="IP44" s="216"/>
      <c r="IQ44" s="216"/>
      <c r="IR44" s="216"/>
      <c r="IS44" s="216"/>
      <c r="IT44" s="216"/>
      <c r="IU44" s="216"/>
      <c r="IV44" s="216"/>
      <c r="IW44" s="216"/>
      <c r="IX44" s="216"/>
      <c r="IY44" s="216"/>
      <c r="IZ44" s="216"/>
      <c r="JA44" s="216"/>
      <c r="JB44" s="216"/>
      <c r="JC44" s="216"/>
      <c r="JD44" s="216"/>
      <c r="JE44" s="216"/>
      <c r="JF44" s="216"/>
      <c r="JG44" s="216"/>
      <c r="JH44" s="216"/>
      <c r="JI44" s="216"/>
      <c r="JJ44" s="216"/>
      <c r="JK44" s="216"/>
      <c r="JL44" s="216"/>
      <c r="JM44" s="216"/>
      <c r="JN44" s="216"/>
      <c r="JO44" s="216"/>
      <c r="JP44" s="216"/>
      <c r="JQ44" s="216"/>
      <c r="JR44" s="216"/>
      <c r="JS44" s="216"/>
      <c r="JT44" s="216"/>
      <c r="JU44" s="216"/>
      <c r="JV44" s="216"/>
      <c r="JW44" s="216"/>
      <c r="JX44" s="216"/>
      <c r="JY44" s="216"/>
      <c r="JZ44" s="216"/>
      <c r="KA44" s="216"/>
      <c r="KB44" s="216"/>
      <c r="KC44" s="216"/>
      <c r="KD44" s="216"/>
      <c r="KE44" s="216"/>
      <c r="KF44" s="216"/>
      <c r="KG44" s="216"/>
      <c r="KH44" s="216"/>
      <c r="KI44" s="216"/>
      <c r="KJ44" s="216"/>
      <c r="KK44" s="216"/>
      <c r="KL44" s="216"/>
      <c r="KM44" s="216"/>
      <c r="KN44" s="216"/>
      <c r="KO44" s="216"/>
      <c r="KP44" s="216"/>
      <c r="KQ44" s="216"/>
      <c r="KR44" s="216"/>
      <c r="KS44" s="216"/>
      <c r="KT44" s="216"/>
      <c r="KU44" s="216"/>
      <c r="KV44" s="216"/>
      <c r="KW44" s="216"/>
      <c r="KX44" s="216"/>
      <c r="KY44" s="216"/>
      <c r="KZ44" s="216"/>
      <c r="LA44" s="216"/>
      <c r="LB44" s="216"/>
      <c r="LC44" s="216"/>
      <c r="LD44" s="216"/>
      <c r="LE44" s="216"/>
    </row>
    <row r="45" spans="1:317" x14ac:dyDescent="0.2">
      <c r="A45" s="179" t="s">
        <v>849</v>
      </c>
      <c r="B45" s="180" t="s">
        <v>944</v>
      </c>
      <c r="C45" s="181"/>
      <c r="D45" s="182">
        <v>0</v>
      </c>
      <c r="E45" s="182">
        <v>0</v>
      </c>
      <c r="F45" s="183" t="s">
        <v>1228</v>
      </c>
      <c r="G45" s="183">
        <v>0</v>
      </c>
      <c r="H45" s="183">
        <v>0</v>
      </c>
      <c r="I45" s="183">
        <v>0</v>
      </c>
      <c r="J45" s="183">
        <v>0</v>
      </c>
      <c r="K45" s="183" t="s">
        <v>1371</v>
      </c>
      <c r="L45" s="183">
        <v>0</v>
      </c>
      <c r="M45" s="183">
        <v>0</v>
      </c>
      <c r="N45" s="183" t="s">
        <v>881</v>
      </c>
      <c r="O45" s="183">
        <v>0</v>
      </c>
      <c r="P45" s="183">
        <v>0</v>
      </c>
      <c r="Q45" s="183"/>
      <c r="R45" s="183"/>
      <c r="S45" s="183"/>
      <c r="T45" s="183"/>
      <c r="U45" s="183"/>
      <c r="V45" s="183">
        <v>0</v>
      </c>
      <c r="W45" s="183">
        <v>0</v>
      </c>
      <c r="X45" s="183">
        <v>0</v>
      </c>
      <c r="Y45" s="184">
        <v>0.7</v>
      </c>
      <c r="Z45" s="184">
        <v>3.56</v>
      </c>
      <c r="AA45" s="184">
        <v>0</v>
      </c>
      <c r="AB45" s="185" t="s">
        <v>615</v>
      </c>
      <c r="AC45" s="185" t="s">
        <v>615</v>
      </c>
      <c r="AD45" s="186" t="s">
        <v>881</v>
      </c>
      <c r="AE45" s="186" t="s">
        <v>858</v>
      </c>
      <c r="AF45" s="187">
        <v>7</v>
      </c>
      <c r="AG45" s="187">
        <v>3</v>
      </c>
      <c r="AH45" s="187">
        <v>4</v>
      </c>
      <c r="AI45" s="188">
        <v>1</v>
      </c>
      <c r="AJ45" s="188" t="s">
        <v>615</v>
      </c>
      <c r="AK45" s="187" t="s">
        <v>1737</v>
      </c>
      <c r="AL45" s="87" t="s">
        <v>615</v>
      </c>
      <c r="AM45" s="189"/>
      <c r="AN45" s="187" t="s">
        <v>615</v>
      </c>
      <c r="AO45" s="13" t="s">
        <v>615</v>
      </c>
      <c r="AP45" s="187">
        <v>0</v>
      </c>
      <c r="AQ45" s="187">
        <v>0</v>
      </c>
      <c r="AR45" s="190">
        <v>0</v>
      </c>
      <c r="AS45" s="190">
        <v>0</v>
      </c>
      <c r="AT45" s="190">
        <v>0</v>
      </c>
      <c r="AU45" s="187">
        <v>0</v>
      </c>
      <c r="AV45" s="187">
        <v>0</v>
      </c>
      <c r="AW45" s="191"/>
      <c r="AX45" s="192"/>
      <c r="AY45" s="193">
        <v>42666</v>
      </c>
      <c r="AZ45" s="193"/>
      <c r="BA45" s="193"/>
      <c r="BB45" s="194"/>
      <c r="BC45" s="194"/>
      <c r="BD45" s="195"/>
      <c r="BE45" s="195" t="s">
        <v>532</v>
      </c>
      <c r="BF45" s="195"/>
      <c r="BG45" s="195">
        <v>100</v>
      </c>
      <c r="BH45" s="196" t="s">
        <v>547</v>
      </c>
      <c r="BI45" s="197">
        <v>1</v>
      </c>
      <c r="BJ45" s="198"/>
      <c r="BK45" s="199">
        <v>0</v>
      </c>
      <c r="BL45" s="13">
        <v>0</v>
      </c>
      <c r="BM45" s="13">
        <v>0</v>
      </c>
      <c r="BN45" s="13" t="s">
        <v>616</v>
      </c>
      <c r="BO45" s="13" t="s">
        <v>616</v>
      </c>
      <c r="BP45" s="200">
        <v>168</v>
      </c>
      <c r="BQ45" s="201"/>
      <c r="BR45" s="202"/>
      <c r="BS45" s="187">
        <v>1000000000</v>
      </c>
      <c r="BT45" s="203">
        <v>0</v>
      </c>
      <c r="BU45" s="204">
        <v>0</v>
      </c>
      <c r="BV45" s="203">
        <v>0</v>
      </c>
      <c r="BW45" s="205">
        <v>0</v>
      </c>
      <c r="BX45" s="205">
        <v>0</v>
      </c>
      <c r="BY45" s="205">
        <v>0</v>
      </c>
      <c r="BZ45" s="203">
        <v>0</v>
      </c>
      <c r="CA45" s="203">
        <v>0</v>
      </c>
      <c r="CB45" s="203">
        <v>0</v>
      </c>
      <c r="CC45" s="204">
        <v>0</v>
      </c>
      <c r="CD45" s="203">
        <v>0</v>
      </c>
      <c r="CE45" s="203">
        <v>0</v>
      </c>
      <c r="CF45" s="13">
        <v>0</v>
      </c>
      <c r="CG45" s="206">
        <v>0</v>
      </c>
      <c r="CH45" s="207">
        <v>0</v>
      </c>
      <c r="CI45" s="201"/>
      <c r="CJ45" s="208"/>
      <c r="CK45" s="209" t="s">
        <v>615</v>
      </c>
      <c r="CL45" s="210" t="s">
        <v>615</v>
      </c>
      <c r="CM45" s="207">
        <v>0</v>
      </c>
      <c r="CN45" s="207">
        <v>0</v>
      </c>
      <c r="CO45" s="204">
        <v>0</v>
      </c>
      <c r="CP45" s="204">
        <v>0</v>
      </c>
      <c r="CQ45" s="211"/>
      <c r="CR45" s="204">
        <v>1</v>
      </c>
      <c r="CS45" s="212">
        <v>42709</v>
      </c>
      <c r="CT45" s="212">
        <v>42780</v>
      </c>
      <c r="CU45" s="213">
        <v>42780</v>
      </c>
      <c r="CV45" s="214">
        <v>42829</v>
      </c>
      <c r="CW45" s="214" t="s">
        <v>615</v>
      </c>
      <c r="CX45" s="214" t="s">
        <v>615</v>
      </c>
      <c r="CY45" s="204">
        <v>1</v>
      </c>
      <c r="CZ45" s="204">
        <v>0.97959183673469385</v>
      </c>
      <c r="DA45" s="203">
        <v>0</v>
      </c>
      <c r="DB45" s="204">
        <v>0.97959183673469385</v>
      </c>
      <c r="DC45" s="204">
        <v>0</v>
      </c>
      <c r="DD45" s="204">
        <v>0</v>
      </c>
      <c r="DE45" s="204">
        <v>0</v>
      </c>
      <c r="DF45" s="215">
        <v>0</v>
      </c>
      <c r="DG45" s="13" t="s">
        <v>615</v>
      </c>
      <c r="DH45" s="86">
        <v>43</v>
      </c>
      <c r="DI45" s="86"/>
      <c r="DJ45" s="86">
        <v>210</v>
      </c>
      <c r="DK45" s="86" t="s">
        <v>1669</v>
      </c>
      <c r="DL45" s="86" t="e">
        <v>#N/A</v>
      </c>
      <c r="DM45" s="86" t="e">
        <v>#N/A</v>
      </c>
      <c r="DN45" s="86" t="e">
        <v>#N/A</v>
      </c>
      <c r="DO45" s="86">
        <v>374</v>
      </c>
      <c r="DP45" s="86">
        <v>5</v>
      </c>
      <c r="DQ45" s="86">
        <v>49</v>
      </c>
      <c r="DR45" s="160">
        <v>0</v>
      </c>
      <c r="DS45" s="160">
        <v>0</v>
      </c>
      <c r="DT45" s="160">
        <v>0</v>
      </c>
      <c r="DU45" s="160">
        <v>0</v>
      </c>
      <c r="DV45" s="160">
        <v>0</v>
      </c>
      <c r="DW45" s="160">
        <v>0</v>
      </c>
      <c r="DX45" s="160">
        <v>0</v>
      </c>
      <c r="DY45" s="160">
        <v>0</v>
      </c>
      <c r="DZ45" s="160">
        <v>0</v>
      </c>
      <c r="EA45" s="146">
        <v>0</v>
      </c>
      <c r="EB45" s="146">
        <v>0</v>
      </c>
      <c r="EC45" s="146">
        <v>0</v>
      </c>
      <c r="ED45" s="146">
        <v>0</v>
      </c>
      <c r="EE45" s="146">
        <v>0</v>
      </c>
      <c r="EF45" s="146">
        <v>0</v>
      </c>
      <c r="EG45" s="146">
        <v>0</v>
      </c>
      <c r="EH45" s="146">
        <v>0</v>
      </c>
      <c r="EI45" s="146">
        <v>0</v>
      </c>
      <c r="EJ45" s="146">
        <v>0</v>
      </c>
      <c r="EK45" s="146">
        <v>0</v>
      </c>
      <c r="EL45" s="146">
        <v>0</v>
      </c>
      <c r="EM45" s="146">
        <v>0</v>
      </c>
      <c r="EN45" s="146">
        <v>0</v>
      </c>
      <c r="EO45" s="146">
        <v>0</v>
      </c>
      <c r="EP45" s="146">
        <v>0</v>
      </c>
      <c r="EQ45" s="146">
        <v>0</v>
      </c>
      <c r="ER45" s="146">
        <v>0</v>
      </c>
      <c r="ES45" s="146">
        <v>0</v>
      </c>
      <c r="ET45" s="146">
        <v>0</v>
      </c>
      <c r="EU45" s="146">
        <v>0</v>
      </c>
      <c r="EV45" s="146">
        <v>0</v>
      </c>
      <c r="EW45" s="146">
        <v>0</v>
      </c>
      <c r="EX45" s="146">
        <v>0</v>
      </c>
      <c r="EY45" s="146">
        <v>0</v>
      </c>
      <c r="EZ45" s="146">
        <v>0</v>
      </c>
      <c r="FA45" s="146">
        <v>0</v>
      </c>
      <c r="FB45" s="146">
        <v>0</v>
      </c>
      <c r="FC45" s="146">
        <v>0</v>
      </c>
      <c r="FD45" s="146">
        <v>0</v>
      </c>
      <c r="FE45" s="146">
        <v>0</v>
      </c>
      <c r="FF45" s="146">
        <v>0</v>
      </c>
      <c r="FG45" s="146">
        <v>0</v>
      </c>
      <c r="FH45" s="146">
        <v>0</v>
      </c>
      <c r="FI45" s="146">
        <v>0</v>
      </c>
      <c r="FJ45" s="146">
        <v>0</v>
      </c>
      <c r="FK45" s="146">
        <v>0</v>
      </c>
      <c r="FL45" s="146">
        <v>0</v>
      </c>
      <c r="FM45" s="146">
        <v>0</v>
      </c>
      <c r="FN45" s="146">
        <v>0</v>
      </c>
      <c r="FO45" s="146">
        <v>0</v>
      </c>
      <c r="FP45" s="146">
        <v>0</v>
      </c>
      <c r="FQ45" s="146">
        <v>0</v>
      </c>
      <c r="FR45" s="146">
        <v>0</v>
      </c>
      <c r="FS45" s="146">
        <v>0</v>
      </c>
      <c r="FT45" s="146">
        <v>0</v>
      </c>
      <c r="FU45" s="146">
        <v>0</v>
      </c>
      <c r="FV45" s="146">
        <v>0</v>
      </c>
      <c r="FW45" s="146">
        <v>0</v>
      </c>
      <c r="FX45" s="146">
        <v>0</v>
      </c>
      <c r="FY45" s="146">
        <v>0</v>
      </c>
      <c r="FZ45" s="146">
        <v>0</v>
      </c>
      <c r="GA45" s="146">
        <v>0</v>
      </c>
      <c r="GB45" s="146">
        <v>0</v>
      </c>
      <c r="GC45" s="146">
        <v>0</v>
      </c>
      <c r="GD45" s="146">
        <v>0</v>
      </c>
      <c r="GE45" s="146">
        <v>0</v>
      </c>
      <c r="GF45" s="146">
        <v>0</v>
      </c>
      <c r="GG45" s="146">
        <v>0</v>
      </c>
      <c r="GH45" s="146">
        <v>0</v>
      </c>
      <c r="GI45" s="146">
        <v>0</v>
      </c>
      <c r="GJ45" s="146">
        <v>0</v>
      </c>
      <c r="GK45" s="146">
        <v>0</v>
      </c>
      <c r="GL45" s="146">
        <v>0</v>
      </c>
      <c r="GM45" s="146">
        <v>0</v>
      </c>
      <c r="GN45" s="146">
        <v>0</v>
      </c>
      <c r="GO45" s="146">
        <v>0</v>
      </c>
      <c r="GP45" s="146">
        <v>0</v>
      </c>
      <c r="GQ45" s="146">
        <v>0</v>
      </c>
      <c r="GR45" s="146">
        <v>0</v>
      </c>
      <c r="GS45" s="146">
        <v>0</v>
      </c>
      <c r="GT45" s="146">
        <v>0</v>
      </c>
      <c r="GU45" s="146">
        <v>0</v>
      </c>
      <c r="GV45" s="146">
        <v>0</v>
      </c>
      <c r="GW45" s="146">
        <v>0</v>
      </c>
      <c r="GX45" s="146">
        <v>0</v>
      </c>
      <c r="GY45" s="146">
        <v>0</v>
      </c>
      <c r="GZ45" s="146">
        <v>0</v>
      </c>
      <c r="HA45" s="146">
        <v>0</v>
      </c>
      <c r="HB45" s="146">
        <v>0</v>
      </c>
      <c r="HC45" s="146">
        <v>0</v>
      </c>
      <c r="HD45" s="146">
        <v>0</v>
      </c>
      <c r="HE45" s="146">
        <v>0</v>
      </c>
      <c r="HF45" s="146">
        <v>0</v>
      </c>
      <c r="HG45" s="146">
        <v>0</v>
      </c>
      <c r="HH45" s="146">
        <v>0</v>
      </c>
      <c r="HI45" s="146">
        <v>0</v>
      </c>
      <c r="HJ45" s="146">
        <v>0</v>
      </c>
      <c r="HK45" s="146">
        <v>0</v>
      </c>
      <c r="HL45" s="146">
        <v>0</v>
      </c>
      <c r="HM45" s="146">
        <v>0</v>
      </c>
      <c r="HN45" s="146">
        <v>0</v>
      </c>
      <c r="HO45" s="146">
        <v>0</v>
      </c>
      <c r="HP45" s="146">
        <v>0</v>
      </c>
      <c r="HQ45" s="146">
        <v>0</v>
      </c>
      <c r="HR45" s="146">
        <v>0</v>
      </c>
      <c r="HS45" s="146">
        <v>0</v>
      </c>
      <c r="HT45" s="146">
        <v>0</v>
      </c>
      <c r="HU45" s="151"/>
      <c r="HV45" s="146">
        <v>0</v>
      </c>
      <c r="HW45" s="151"/>
      <c r="HX45" s="151"/>
      <c r="HY45" s="151"/>
      <c r="HZ45" s="151"/>
      <c r="IA45" s="151"/>
      <c r="IB45" s="151"/>
      <c r="IC45" s="151"/>
      <c r="ID45" s="151"/>
      <c r="IE45" s="151"/>
      <c r="IF45" s="151"/>
      <c r="IG45" s="151"/>
      <c r="IH45" s="151"/>
      <c r="II45" s="151"/>
      <c r="IJ45" s="151"/>
      <c r="IK45" s="151"/>
      <c r="IL45" s="151"/>
      <c r="IM45" s="151"/>
      <c r="IN45" s="151"/>
      <c r="IO45" s="151"/>
      <c r="IP45" s="151"/>
      <c r="IQ45" s="151"/>
      <c r="IR45" s="151"/>
      <c r="IS45" s="151"/>
      <c r="IT45" s="151"/>
      <c r="IU45" s="151"/>
      <c r="IV45" s="151"/>
      <c r="IW45" s="151"/>
      <c r="IX45" s="151"/>
      <c r="IY45" s="151"/>
      <c r="IZ45" s="151"/>
      <c r="JA45" s="151"/>
      <c r="JB45" s="151"/>
      <c r="JC45" s="151"/>
      <c r="JD45" s="151"/>
      <c r="JE45" s="151"/>
      <c r="JF45" s="151"/>
      <c r="JG45" s="151"/>
      <c r="JH45" s="151"/>
      <c r="JI45" s="151"/>
      <c r="JJ45" s="151"/>
      <c r="JK45" s="151"/>
      <c r="JL45" s="151"/>
      <c r="JM45" s="151"/>
      <c r="JN45" s="151"/>
      <c r="JO45" s="151"/>
      <c r="JP45" s="151"/>
      <c r="JQ45" s="151"/>
      <c r="JR45" s="151"/>
      <c r="JS45" s="151"/>
      <c r="JT45" s="151"/>
      <c r="JU45" s="151"/>
      <c r="JV45" s="151"/>
      <c r="JW45" s="151"/>
      <c r="JX45" s="151"/>
      <c r="JY45" s="151"/>
      <c r="JZ45" s="151"/>
      <c r="KA45" s="151"/>
      <c r="KB45" s="151"/>
      <c r="KC45" s="151"/>
      <c r="KD45" s="151"/>
      <c r="KE45" s="151"/>
      <c r="KF45" s="151"/>
      <c r="KG45" s="151"/>
      <c r="KH45" s="151"/>
      <c r="KI45" s="151"/>
      <c r="KJ45" s="151"/>
      <c r="KK45" s="151"/>
      <c r="KL45" s="151"/>
      <c r="KM45" s="151"/>
      <c r="KN45" s="151"/>
      <c r="KO45" s="151"/>
      <c r="KP45" s="151"/>
      <c r="KQ45" s="151"/>
      <c r="KR45" s="151"/>
      <c r="KS45" s="151"/>
      <c r="KT45" s="151"/>
      <c r="KU45" s="151"/>
      <c r="KV45" s="151"/>
      <c r="KW45" s="151"/>
      <c r="KX45" s="151"/>
      <c r="KY45" s="151"/>
      <c r="KZ45" s="151"/>
      <c r="LA45" s="151"/>
      <c r="LB45" s="151"/>
      <c r="LC45" s="151"/>
      <c r="LD45" s="151"/>
      <c r="LE45" s="151"/>
    </row>
    <row r="46" spans="1:317" x14ac:dyDescent="0.2">
      <c r="A46" s="179" t="s">
        <v>849</v>
      </c>
      <c r="B46" s="180" t="s">
        <v>945</v>
      </c>
      <c r="C46" s="181"/>
      <c r="D46" s="182">
        <v>0</v>
      </c>
      <c r="E46" s="182">
        <v>0</v>
      </c>
      <c r="F46" s="183" t="s">
        <v>1229</v>
      </c>
      <c r="G46" s="183">
        <v>0</v>
      </c>
      <c r="H46" s="183">
        <v>0</v>
      </c>
      <c r="I46" s="183">
        <v>0</v>
      </c>
      <c r="J46" s="183">
        <v>0</v>
      </c>
      <c r="K46" s="183" t="s">
        <v>1372</v>
      </c>
      <c r="L46" s="183">
        <v>0</v>
      </c>
      <c r="M46" s="183">
        <v>0</v>
      </c>
      <c r="N46" s="183" t="s">
        <v>881</v>
      </c>
      <c r="O46" s="183">
        <v>0</v>
      </c>
      <c r="P46" s="183">
        <v>0</v>
      </c>
      <c r="Q46" s="183"/>
      <c r="R46" s="183"/>
      <c r="S46" s="183"/>
      <c r="T46" s="183"/>
      <c r="U46" s="183"/>
      <c r="V46" s="183">
        <v>0</v>
      </c>
      <c r="W46" s="183">
        <v>0</v>
      </c>
      <c r="X46" s="183">
        <v>0</v>
      </c>
      <c r="Y46" s="184">
        <v>0.64</v>
      </c>
      <c r="Z46" s="184">
        <v>3.26</v>
      </c>
      <c r="AA46" s="184">
        <v>0</v>
      </c>
      <c r="AB46" s="185" t="s">
        <v>615</v>
      </c>
      <c r="AC46" s="185" t="s">
        <v>615</v>
      </c>
      <c r="AD46" s="186" t="s">
        <v>881</v>
      </c>
      <c r="AE46" s="186" t="s">
        <v>858</v>
      </c>
      <c r="AF46" s="187">
        <v>7</v>
      </c>
      <c r="AG46" s="187">
        <v>3</v>
      </c>
      <c r="AH46" s="187">
        <v>4</v>
      </c>
      <c r="AI46" s="188">
        <v>1</v>
      </c>
      <c r="AJ46" s="188" t="s">
        <v>615</v>
      </c>
      <c r="AK46" s="187" t="s">
        <v>1733</v>
      </c>
      <c r="AL46" s="87" t="s">
        <v>615</v>
      </c>
      <c r="AM46" s="189"/>
      <c r="AN46" s="187" t="s">
        <v>615</v>
      </c>
      <c r="AO46" s="13" t="s">
        <v>615</v>
      </c>
      <c r="AP46" s="187">
        <v>0</v>
      </c>
      <c r="AQ46" s="187">
        <v>0</v>
      </c>
      <c r="AR46" s="190">
        <v>0</v>
      </c>
      <c r="AS46" s="190">
        <v>0</v>
      </c>
      <c r="AT46" s="190">
        <v>0</v>
      </c>
      <c r="AU46" s="187">
        <v>0</v>
      </c>
      <c r="AV46" s="187">
        <v>0</v>
      </c>
      <c r="AW46" s="191"/>
      <c r="AX46" s="192"/>
      <c r="AY46" s="193">
        <v>42666</v>
      </c>
      <c r="AZ46" s="193"/>
      <c r="BA46" s="193"/>
      <c r="BB46" s="194"/>
      <c r="BC46" s="194"/>
      <c r="BD46" s="195"/>
      <c r="BE46" s="195" t="s">
        <v>532</v>
      </c>
      <c r="BF46" s="195"/>
      <c r="BG46" s="195">
        <v>210</v>
      </c>
      <c r="BH46" s="196" t="s">
        <v>547</v>
      </c>
      <c r="BI46" s="197">
        <v>1</v>
      </c>
      <c r="BJ46" s="198"/>
      <c r="BK46" s="199">
        <v>0</v>
      </c>
      <c r="BL46" s="13">
        <v>0</v>
      </c>
      <c r="BM46" s="13">
        <v>0</v>
      </c>
      <c r="BN46" s="13" t="s">
        <v>616</v>
      </c>
      <c r="BO46" s="13" t="s">
        <v>616</v>
      </c>
      <c r="BP46" s="200">
        <v>0</v>
      </c>
      <c r="BQ46" s="201"/>
      <c r="BR46" s="202"/>
      <c r="BS46" s="187">
        <v>1000000000</v>
      </c>
      <c r="BT46" s="203">
        <v>0</v>
      </c>
      <c r="BU46" s="204">
        <v>0</v>
      </c>
      <c r="BV46" s="203">
        <v>0</v>
      </c>
      <c r="BW46" s="205">
        <v>0</v>
      </c>
      <c r="BX46" s="205">
        <v>0</v>
      </c>
      <c r="BY46" s="205">
        <v>0</v>
      </c>
      <c r="BZ46" s="203">
        <v>0</v>
      </c>
      <c r="CA46" s="203">
        <v>0</v>
      </c>
      <c r="CB46" s="203">
        <v>0</v>
      </c>
      <c r="CC46" s="204">
        <v>0</v>
      </c>
      <c r="CD46" s="203">
        <v>0</v>
      </c>
      <c r="CE46" s="203">
        <v>0</v>
      </c>
      <c r="CF46" s="13">
        <v>0</v>
      </c>
      <c r="CG46" s="206">
        <v>0</v>
      </c>
      <c r="CH46" s="207">
        <v>0</v>
      </c>
      <c r="CI46" s="201"/>
      <c r="CJ46" s="208"/>
      <c r="CK46" s="209" t="s">
        <v>615</v>
      </c>
      <c r="CL46" s="210" t="s">
        <v>615</v>
      </c>
      <c r="CM46" s="207">
        <v>0</v>
      </c>
      <c r="CN46" s="207">
        <v>0</v>
      </c>
      <c r="CO46" s="204">
        <v>0</v>
      </c>
      <c r="CP46" s="204">
        <v>0</v>
      </c>
      <c r="CQ46" s="211"/>
      <c r="CR46" s="204">
        <v>1</v>
      </c>
      <c r="CS46" s="212">
        <v>42592</v>
      </c>
      <c r="CT46" s="212">
        <v>42780</v>
      </c>
      <c r="CU46" s="213">
        <v>42780</v>
      </c>
      <c r="CV46" s="214">
        <v>42829</v>
      </c>
      <c r="CW46" s="214" t="s">
        <v>615</v>
      </c>
      <c r="CX46" s="214" t="s">
        <v>615</v>
      </c>
      <c r="CY46" s="204">
        <v>0.58345996599157823</v>
      </c>
      <c r="CZ46" s="204">
        <v>0.97959183673469385</v>
      </c>
      <c r="DA46" s="203">
        <v>0</v>
      </c>
      <c r="DB46" s="204">
        <v>0.24489795918367346</v>
      </c>
      <c r="DC46" s="204">
        <v>0</v>
      </c>
      <c r="DD46" s="204">
        <v>0</v>
      </c>
      <c r="DE46" s="204">
        <v>0</v>
      </c>
      <c r="DF46" s="215">
        <v>0.73469387755102045</v>
      </c>
      <c r="DG46" s="13" t="s">
        <v>615</v>
      </c>
      <c r="DH46" s="86">
        <v>44</v>
      </c>
      <c r="DI46" s="86"/>
      <c r="DJ46" s="86">
        <v>209</v>
      </c>
      <c r="DK46" s="86" t="s">
        <v>1668</v>
      </c>
      <c r="DL46" s="86" t="e">
        <v>#N/A</v>
      </c>
      <c r="DM46" s="86" t="e">
        <v>#N/A</v>
      </c>
      <c r="DN46" s="86" t="e">
        <v>#N/A</v>
      </c>
      <c r="DO46" s="86">
        <v>373</v>
      </c>
      <c r="DP46" s="86">
        <v>5</v>
      </c>
      <c r="DQ46" s="86">
        <v>49</v>
      </c>
      <c r="DR46" s="152">
        <v>0</v>
      </c>
      <c r="DS46" s="152">
        <v>0</v>
      </c>
      <c r="DT46" s="152">
        <v>0</v>
      </c>
      <c r="DU46" s="152">
        <v>0</v>
      </c>
      <c r="DV46" s="152">
        <v>0</v>
      </c>
      <c r="DW46" s="152">
        <v>0</v>
      </c>
      <c r="DX46" s="152">
        <v>0</v>
      </c>
      <c r="DY46" s="152">
        <v>0</v>
      </c>
      <c r="DZ46" s="152">
        <v>0</v>
      </c>
      <c r="EA46" s="152">
        <v>0</v>
      </c>
      <c r="EB46" s="152">
        <v>0</v>
      </c>
      <c r="EC46" s="152">
        <v>0</v>
      </c>
      <c r="ED46" s="152">
        <v>0</v>
      </c>
      <c r="EE46" s="152">
        <v>0</v>
      </c>
      <c r="EF46" s="152">
        <v>0</v>
      </c>
      <c r="EG46" s="152">
        <v>0</v>
      </c>
      <c r="EH46" s="152">
        <v>0</v>
      </c>
      <c r="EI46" s="152">
        <v>0</v>
      </c>
      <c r="EJ46" s="152">
        <v>0</v>
      </c>
      <c r="EK46" s="152">
        <v>0</v>
      </c>
      <c r="EL46" s="152">
        <v>0</v>
      </c>
      <c r="EM46" s="152">
        <v>0</v>
      </c>
      <c r="EN46" s="152">
        <v>0</v>
      </c>
      <c r="EO46" s="152">
        <v>0</v>
      </c>
      <c r="EP46" s="152">
        <v>0</v>
      </c>
      <c r="EQ46" s="152">
        <v>0</v>
      </c>
      <c r="ER46" s="152">
        <v>0</v>
      </c>
      <c r="ES46" s="152">
        <v>0</v>
      </c>
      <c r="ET46" s="152">
        <v>0</v>
      </c>
      <c r="EU46" s="152">
        <v>0</v>
      </c>
      <c r="EV46" s="152">
        <v>0</v>
      </c>
      <c r="EW46" s="152">
        <v>0</v>
      </c>
      <c r="EX46" s="152">
        <v>0</v>
      </c>
      <c r="EY46" s="152">
        <v>0</v>
      </c>
      <c r="EZ46" s="152">
        <v>0</v>
      </c>
      <c r="FA46" s="152">
        <v>0</v>
      </c>
      <c r="FB46" s="152">
        <v>0</v>
      </c>
      <c r="FC46" s="152">
        <v>0</v>
      </c>
      <c r="FD46" s="152">
        <v>0</v>
      </c>
      <c r="FE46" s="152">
        <v>0</v>
      </c>
      <c r="FF46" s="152">
        <v>0</v>
      </c>
      <c r="FG46" s="152">
        <v>0</v>
      </c>
      <c r="FH46" s="152">
        <v>0</v>
      </c>
      <c r="FI46" s="152">
        <v>0</v>
      </c>
      <c r="FJ46" s="152">
        <v>0</v>
      </c>
      <c r="FK46" s="152">
        <v>0</v>
      </c>
      <c r="FL46" s="152">
        <v>0</v>
      </c>
      <c r="FM46" s="152">
        <v>0</v>
      </c>
      <c r="FN46" s="152">
        <v>0</v>
      </c>
      <c r="FO46" s="152">
        <v>0</v>
      </c>
      <c r="FP46" s="152">
        <v>0</v>
      </c>
      <c r="FQ46" s="152">
        <v>0</v>
      </c>
      <c r="FR46" s="152">
        <v>0</v>
      </c>
      <c r="FS46" s="152">
        <v>0</v>
      </c>
      <c r="FT46" s="152">
        <v>0</v>
      </c>
      <c r="FU46" s="152">
        <v>48</v>
      </c>
      <c r="FV46" s="152">
        <v>48</v>
      </c>
      <c r="FW46" s="152">
        <v>48</v>
      </c>
      <c r="FX46" s="152">
        <v>48</v>
      </c>
      <c r="FY46" s="152">
        <v>48</v>
      </c>
      <c r="FZ46" s="152">
        <v>48</v>
      </c>
      <c r="GA46" s="152">
        <v>48</v>
      </c>
      <c r="GB46" s="152">
        <v>48</v>
      </c>
      <c r="GC46" s="152">
        <v>48</v>
      </c>
      <c r="GD46" s="152">
        <v>48</v>
      </c>
      <c r="GE46" s="152">
        <v>48</v>
      </c>
      <c r="GF46" s="152">
        <v>48</v>
      </c>
      <c r="GG46" s="152">
        <v>48</v>
      </c>
      <c r="GH46" s="152">
        <v>48</v>
      </c>
      <c r="GI46" s="152">
        <v>48</v>
      </c>
      <c r="GJ46" s="152">
        <v>48</v>
      </c>
      <c r="GK46" s="152">
        <v>48</v>
      </c>
      <c r="GL46" s="152">
        <v>48</v>
      </c>
      <c r="GM46" s="152">
        <v>48</v>
      </c>
      <c r="GN46" s="152">
        <v>48</v>
      </c>
      <c r="GO46" s="152">
        <v>48</v>
      </c>
      <c r="GP46" s="152">
        <v>48</v>
      </c>
      <c r="GQ46" s="152">
        <v>48</v>
      </c>
      <c r="GR46" s="152">
        <v>48</v>
      </c>
      <c r="GS46" s="152">
        <v>48</v>
      </c>
      <c r="GT46" s="152">
        <v>48</v>
      </c>
      <c r="GU46" s="152">
        <v>48</v>
      </c>
      <c r="GV46" s="152">
        <v>48</v>
      </c>
      <c r="GW46" s="152">
        <v>48</v>
      </c>
      <c r="GX46" s="152">
        <v>0</v>
      </c>
      <c r="GY46" s="152">
        <v>0</v>
      </c>
      <c r="GZ46" s="152">
        <v>0</v>
      </c>
      <c r="HA46" s="152">
        <v>0</v>
      </c>
      <c r="HB46" s="152">
        <v>0</v>
      </c>
      <c r="HC46" s="152">
        <v>0</v>
      </c>
      <c r="HD46" s="152">
        <v>0</v>
      </c>
      <c r="HE46" s="152">
        <v>0</v>
      </c>
      <c r="HF46" s="152">
        <v>0</v>
      </c>
      <c r="HG46" s="152">
        <v>0</v>
      </c>
      <c r="HH46" s="152">
        <v>48</v>
      </c>
      <c r="HI46" s="152">
        <v>48</v>
      </c>
      <c r="HJ46" s="152">
        <v>48</v>
      </c>
      <c r="HK46" s="152">
        <v>48</v>
      </c>
      <c r="HL46" s="152">
        <v>48</v>
      </c>
      <c r="HM46" s="152">
        <v>48</v>
      </c>
      <c r="HN46" s="152">
        <v>48</v>
      </c>
      <c r="HO46" s="152">
        <v>48</v>
      </c>
      <c r="HP46" s="152">
        <v>48</v>
      </c>
      <c r="HQ46" s="152">
        <v>48</v>
      </c>
      <c r="HR46" s="152">
        <v>48</v>
      </c>
      <c r="HS46" s="152">
        <v>48</v>
      </c>
      <c r="HT46" s="152">
        <v>0</v>
      </c>
      <c r="HU46" s="216"/>
      <c r="HV46" s="152">
        <v>0</v>
      </c>
      <c r="HW46" s="216"/>
      <c r="HX46" s="216"/>
      <c r="HY46" s="216"/>
      <c r="HZ46" s="216"/>
      <c r="IA46" s="216"/>
      <c r="IB46" s="216"/>
      <c r="IC46" s="216"/>
      <c r="ID46" s="216"/>
      <c r="IE46" s="216"/>
      <c r="IF46" s="216"/>
      <c r="IG46" s="216"/>
      <c r="IH46" s="216"/>
      <c r="II46" s="216"/>
      <c r="IJ46" s="216"/>
      <c r="IK46" s="216"/>
      <c r="IL46" s="216"/>
      <c r="IM46" s="216"/>
      <c r="IN46" s="216"/>
      <c r="IO46" s="216"/>
      <c r="IP46" s="216"/>
      <c r="IQ46" s="216"/>
      <c r="IR46" s="216"/>
      <c r="IS46" s="216"/>
      <c r="IT46" s="216"/>
      <c r="IU46" s="216"/>
      <c r="IV46" s="216"/>
      <c r="IW46" s="216"/>
      <c r="IX46" s="216"/>
      <c r="IY46" s="216"/>
      <c r="IZ46" s="216"/>
      <c r="JA46" s="216"/>
      <c r="JB46" s="216"/>
      <c r="JC46" s="216"/>
      <c r="JD46" s="216"/>
      <c r="JE46" s="216"/>
      <c r="JF46" s="216"/>
      <c r="JG46" s="216"/>
      <c r="JH46" s="216"/>
      <c r="JI46" s="216"/>
      <c r="JJ46" s="216"/>
      <c r="JK46" s="216"/>
      <c r="JL46" s="216"/>
      <c r="JM46" s="216"/>
      <c r="JN46" s="216"/>
      <c r="JO46" s="216"/>
      <c r="JP46" s="216"/>
      <c r="JQ46" s="216"/>
      <c r="JR46" s="216"/>
      <c r="JS46" s="216"/>
      <c r="JT46" s="216"/>
      <c r="JU46" s="216"/>
      <c r="JV46" s="216"/>
      <c r="JW46" s="216"/>
      <c r="JX46" s="216"/>
      <c r="JY46" s="216"/>
      <c r="JZ46" s="216"/>
      <c r="KA46" s="216"/>
      <c r="KB46" s="216"/>
      <c r="KC46" s="216"/>
      <c r="KD46" s="216"/>
      <c r="KE46" s="216"/>
      <c r="KF46" s="216"/>
      <c r="KG46" s="216"/>
      <c r="KH46" s="216"/>
      <c r="KI46" s="216"/>
      <c r="KJ46" s="216"/>
      <c r="KK46" s="216"/>
      <c r="KL46" s="216"/>
      <c r="KM46" s="216"/>
      <c r="KN46" s="216"/>
      <c r="KO46" s="216"/>
      <c r="KP46" s="216"/>
      <c r="KQ46" s="216"/>
      <c r="KR46" s="216"/>
      <c r="KS46" s="216"/>
      <c r="KT46" s="216"/>
      <c r="KU46" s="216"/>
      <c r="KV46" s="216"/>
      <c r="KW46" s="216"/>
      <c r="KX46" s="216"/>
      <c r="KY46" s="216"/>
      <c r="KZ46" s="216"/>
      <c r="LA46" s="216"/>
      <c r="LB46" s="216"/>
      <c r="LC46" s="216"/>
      <c r="LD46" s="216"/>
      <c r="LE46" s="216"/>
    </row>
    <row r="47" spans="1:317" x14ac:dyDescent="0.2">
      <c r="A47" s="179" t="s">
        <v>849</v>
      </c>
      <c r="B47" s="180" t="s">
        <v>946</v>
      </c>
      <c r="C47" s="181"/>
      <c r="D47" s="182">
        <v>0</v>
      </c>
      <c r="E47" s="182">
        <v>0</v>
      </c>
      <c r="F47" s="183" t="s">
        <v>1230</v>
      </c>
      <c r="G47" s="183">
        <v>0</v>
      </c>
      <c r="H47" s="183">
        <v>0</v>
      </c>
      <c r="I47" s="183">
        <v>0</v>
      </c>
      <c r="J47" s="183">
        <v>0</v>
      </c>
      <c r="K47" s="183" t="s">
        <v>1356</v>
      </c>
      <c r="L47" s="183">
        <v>0</v>
      </c>
      <c r="M47" s="183">
        <v>0</v>
      </c>
      <c r="N47" s="183" t="s">
        <v>881</v>
      </c>
      <c r="O47" s="183">
        <v>0</v>
      </c>
      <c r="P47" s="183">
        <v>0</v>
      </c>
      <c r="Q47" s="183"/>
      <c r="R47" s="183"/>
      <c r="S47" s="183"/>
      <c r="T47" s="183"/>
      <c r="U47" s="183"/>
      <c r="V47" s="183">
        <v>0</v>
      </c>
      <c r="W47" s="183">
        <v>0</v>
      </c>
      <c r="X47" s="183">
        <v>0</v>
      </c>
      <c r="Y47" s="184">
        <v>0</v>
      </c>
      <c r="Z47" s="184">
        <v>7.84</v>
      </c>
      <c r="AA47" s="184">
        <v>0</v>
      </c>
      <c r="AB47" s="185" t="s">
        <v>615</v>
      </c>
      <c r="AC47" s="185" t="s">
        <v>615</v>
      </c>
      <c r="AD47" s="186" t="s">
        <v>881</v>
      </c>
      <c r="AE47" s="186" t="s">
        <v>858</v>
      </c>
      <c r="AF47" s="187">
        <v>7</v>
      </c>
      <c r="AG47" s="187">
        <v>3</v>
      </c>
      <c r="AH47" s="187">
        <v>4</v>
      </c>
      <c r="AI47" s="188">
        <v>1</v>
      </c>
      <c r="AJ47" s="188" t="s">
        <v>615</v>
      </c>
      <c r="AK47" s="187" t="s">
        <v>1736</v>
      </c>
      <c r="AL47" s="87" t="s">
        <v>615</v>
      </c>
      <c r="AM47" s="189"/>
      <c r="AN47" s="187" t="s">
        <v>615</v>
      </c>
      <c r="AO47" s="13" t="s">
        <v>615</v>
      </c>
      <c r="AP47" s="187">
        <v>0</v>
      </c>
      <c r="AQ47" s="187">
        <v>0</v>
      </c>
      <c r="AR47" s="190">
        <v>0</v>
      </c>
      <c r="AS47" s="190">
        <v>0</v>
      </c>
      <c r="AT47" s="190">
        <v>0</v>
      </c>
      <c r="AU47" s="187">
        <v>0</v>
      </c>
      <c r="AV47" s="187">
        <v>0</v>
      </c>
      <c r="AW47" s="191"/>
      <c r="AX47" s="192"/>
      <c r="AY47" s="193">
        <v>42666</v>
      </c>
      <c r="AZ47" s="193"/>
      <c r="BA47" s="193"/>
      <c r="BB47" s="194"/>
      <c r="BC47" s="194"/>
      <c r="BD47" s="195"/>
      <c r="BE47" s="195" t="s">
        <v>532</v>
      </c>
      <c r="BF47" s="195"/>
      <c r="BG47" s="195">
        <v>40</v>
      </c>
      <c r="BH47" s="196" t="s">
        <v>547</v>
      </c>
      <c r="BI47" s="197">
        <v>1</v>
      </c>
      <c r="BJ47" s="198"/>
      <c r="BK47" s="199">
        <v>0</v>
      </c>
      <c r="BL47" s="13">
        <v>0</v>
      </c>
      <c r="BM47" s="13">
        <v>0</v>
      </c>
      <c r="BN47" s="13" t="s">
        <v>616</v>
      </c>
      <c r="BO47" s="13" t="s">
        <v>616</v>
      </c>
      <c r="BP47" s="200">
        <v>0</v>
      </c>
      <c r="BQ47" s="201"/>
      <c r="BR47" s="202"/>
      <c r="BS47" s="187">
        <v>1000000000</v>
      </c>
      <c r="BT47" s="203">
        <v>0</v>
      </c>
      <c r="BU47" s="204">
        <v>0</v>
      </c>
      <c r="BV47" s="203">
        <v>0</v>
      </c>
      <c r="BW47" s="205">
        <v>0</v>
      </c>
      <c r="BX47" s="205">
        <v>0</v>
      </c>
      <c r="BY47" s="205">
        <v>0</v>
      </c>
      <c r="BZ47" s="203">
        <v>0</v>
      </c>
      <c r="CA47" s="203">
        <v>0</v>
      </c>
      <c r="CB47" s="203">
        <v>0</v>
      </c>
      <c r="CC47" s="204">
        <v>0</v>
      </c>
      <c r="CD47" s="203">
        <v>0</v>
      </c>
      <c r="CE47" s="203">
        <v>0</v>
      </c>
      <c r="CF47" s="13">
        <v>0</v>
      </c>
      <c r="CG47" s="206">
        <v>0</v>
      </c>
      <c r="CH47" s="207">
        <v>0</v>
      </c>
      <c r="CI47" s="201"/>
      <c r="CJ47" s="208"/>
      <c r="CK47" s="209" t="s">
        <v>615</v>
      </c>
      <c r="CL47" s="210" t="s">
        <v>615</v>
      </c>
      <c r="CM47" s="207">
        <v>0</v>
      </c>
      <c r="CN47" s="207">
        <v>0</v>
      </c>
      <c r="CO47" s="204">
        <v>0</v>
      </c>
      <c r="CP47" s="204">
        <v>0</v>
      </c>
      <c r="CQ47" s="211"/>
      <c r="CR47" s="204">
        <v>1</v>
      </c>
      <c r="CS47" s="212">
        <v>42531</v>
      </c>
      <c r="CT47" s="212">
        <v>42780</v>
      </c>
      <c r="CU47" s="213">
        <v>42780</v>
      </c>
      <c r="CV47" s="214">
        <v>42829</v>
      </c>
      <c r="CW47" s="214" t="s">
        <v>615</v>
      </c>
      <c r="CX47" s="214" t="s">
        <v>615</v>
      </c>
      <c r="CY47" s="204">
        <v>1</v>
      </c>
      <c r="CZ47" s="204">
        <v>0.97959183673469385</v>
      </c>
      <c r="DA47" s="203">
        <v>0</v>
      </c>
      <c r="DB47" s="204">
        <v>0.97959183673469385</v>
      </c>
      <c r="DC47" s="204">
        <v>0</v>
      </c>
      <c r="DD47" s="204">
        <v>0</v>
      </c>
      <c r="DE47" s="204">
        <v>0</v>
      </c>
      <c r="DF47" s="215">
        <v>0</v>
      </c>
      <c r="DG47" s="13" t="s">
        <v>615</v>
      </c>
      <c r="DH47" s="86">
        <v>45</v>
      </c>
      <c r="DI47" s="86"/>
      <c r="DJ47" s="86">
        <v>208</v>
      </c>
      <c r="DK47" s="86" t="s">
        <v>1667</v>
      </c>
      <c r="DL47" s="86" t="e">
        <v>#N/A</v>
      </c>
      <c r="DM47" s="86" t="e">
        <v>#N/A</v>
      </c>
      <c r="DN47" s="86" t="e">
        <v>#N/A</v>
      </c>
      <c r="DO47" s="86">
        <v>371</v>
      </c>
      <c r="DP47" s="86">
        <v>5</v>
      </c>
      <c r="DQ47" s="86">
        <v>49</v>
      </c>
      <c r="DR47" s="146">
        <v>0</v>
      </c>
      <c r="DS47" s="146">
        <v>0</v>
      </c>
      <c r="DT47" s="146">
        <v>0</v>
      </c>
      <c r="DU47" s="146">
        <v>0</v>
      </c>
      <c r="DV47" s="146">
        <v>0</v>
      </c>
      <c r="DW47" s="146">
        <v>0</v>
      </c>
      <c r="DX47" s="146">
        <v>0</v>
      </c>
      <c r="DY47" s="146">
        <v>0</v>
      </c>
      <c r="DZ47" s="146">
        <v>0</v>
      </c>
      <c r="EA47" s="146">
        <v>0</v>
      </c>
      <c r="EB47" s="146">
        <v>0</v>
      </c>
      <c r="EC47" s="146">
        <v>0</v>
      </c>
      <c r="ED47" s="146">
        <v>0</v>
      </c>
      <c r="EE47" s="146">
        <v>0</v>
      </c>
      <c r="EF47" s="146">
        <v>0</v>
      </c>
      <c r="EG47" s="146">
        <v>0</v>
      </c>
      <c r="EH47" s="146">
        <v>0</v>
      </c>
      <c r="EI47" s="146">
        <v>0</v>
      </c>
      <c r="EJ47" s="146">
        <v>0</v>
      </c>
      <c r="EK47" s="146">
        <v>0</v>
      </c>
      <c r="EL47" s="146">
        <v>0</v>
      </c>
      <c r="EM47" s="146">
        <v>0</v>
      </c>
      <c r="EN47" s="146">
        <v>0</v>
      </c>
      <c r="EO47" s="146">
        <v>0</v>
      </c>
      <c r="EP47" s="146">
        <v>0</v>
      </c>
      <c r="EQ47" s="146">
        <v>0</v>
      </c>
      <c r="ER47" s="146">
        <v>0</v>
      </c>
      <c r="ES47" s="146">
        <v>0</v>
      </c>
      <c r="ET47" s="146">
        <v>0</v>
      </c>
      <c r="EU47" s="146">
        <v>0</v>
      </c>
      <c r="EV47" s="146">
        <v>0</v>
      </c>
      <c r="EW47" s="146">
        <v>0</v>
      </c>
      <c r="EX47" s="146">
        <v>0</v>
      </c>
      <c r="EY47" s="146">
        <v>0</v>
      </c>
      <c r="EZ47" s="146">
        <v>0</v>
      </c>
      <c r="FA47" s="146">
        <v>0</v>
      </c>
      <c r="FB47" s="146">
        <v>0</v>
      </c>
      <c r="FC47" s="146">
        <v>0</v>
      </c>
      <c r="FD47" s="146">
        <v>0</v>
      </c>
      <c r="FE47" s="146">
        <v>0</v>
      </c>
      <c r="FF47" s="146">
        <v>0</v>
      </c>
      <c r="FG47" s="146">
        <v>0</v>
      </c>
      <c r="FH47" s="146">
        <v>0</v>
      </c>
      <c r="FI47" s="146">
        <v>0</v>
      </c>
      <c r="FJ47" s="146">
        <v>0</v>
      </c>
      <c r="FK47" s="146">
        <v>0</v>
      </c>
      <c r="FL47" s="146">
        <v>0</v>
      </c>
      <c r="FM47" s="146">
        <v>0</v>
      </c>
      <c r="FN47" s="146">
        <v>0</v>
      </c>
      <c r="FO47" s="146">
        <v>0</v>
      </c>
      <c r="FP47" s="146">
        <v>0</v>
      </c>
      <c r="FQ47" s="146">
        <v>0</v>
      </c>
      <c r="FR47" s="146">
        <v>0</v>
      </c>
      <c r="FS47" s="146">
        <v>0</v>
      </c>
      <c r="FT47" s="146">
        <v>0</v>
      </c>
      <c r="FU47" s="146">
        <v>0</v>
      </c>
      <c r="FV47" s="146">
        <v>0</v>
      </c>
      <c r="FW47" s="146">
        <v>0</v>
      </c>
      <c r="FX47" s="146">
        <v>0</v>
      </c>
      <c r="FY47" s="146">
        <v>0</v>
      </c>
      <c r="FZ47" s="146">
        <v>0</v>
      </c>
      <c r="GA47" s="146">
        <v>0</v>
      </c>
      <c r="GB47" s="146">
        <v>0</v>
      </c>
      <c r="GC47" s="146">
        <v>0</v>
      </c>
      <c r="GD47" s="146">
        <v>0</v>
      </c>
      <c r="GE47" s="146">
        <v>0</v>
      </c>
      <c r="GF47" s="146">
        <v>0</v>
      </c>
      <c r="GG47" s="146">
        <v>0</v>
      </c>
      <c r="GH47" s="146">
        <v>0</v>
      </c>
      <c r="GI47" s="146">
        <v>0</v>
      </c>
      <c r="GJ47" s="146">
        <v>0</v>
      </c>
      <c r="GK47" s="146">
        <v>0</v>
      </c>
      <c r="GL47" s="146">
        <v>0</v>
      </c>
      <c r="GM47" s="146">
        <v>0</v>
      </c>
      <c r="GN47" s="146">
        <v>0</v>
      </c>
      <c r="GO47" s="146">
        <v>0</v>
      </c>
      <c r="GP47" s="146">
        <v>0</v>
      </c>
      <c r="GQ47" s="146">
        <v>0</v>
      </c>
      <c r="GR47" s="146">
        <v>0</v>
      </c>
      <c r="GS47" s="146">
        <v>0</v>
      </c>
      <c r="GT47" s="146">
        <v>0</v>
      </c>
      <c r="GU47" s="146">
        <v>0</v>
      </c>
      <c r="GV47" s="146">
        <v>0</v>
      </c>
      <c r="GW47" s="146">
        <v>0</v>
      </c>
      <c r="GX47" s="146">
        <v>0</v>
      </c>
      <c r="GY47" s="146">
        <v>0</v>
      </c>
      <c r="GZ47" s="146">
        <v>0</v>
      </c>
      <c r="HA47" s="146">
        <v>0</v>
      </c>
      <c r="HB47" s="146">
        <v>0</v>
      </c>
      <c r="HC47" s="146">
        <v>0</v>
      </c>
      <c r="HD47" s="146">
        <v>0</v>
      </c>
      <c r="HE47" s="146">
        <v>0</v>
      </c>
      <c r="HF47" s="146">
        <v>0</v>
      </c>
      <c r="HG47" s="146">
        <v>0</v>
      </c>
      <c r="HH47" s="146">
        <v>0</v>
      </c>
      <c r="HI47" s="146">
        <v>0</v>
      </c>
      <c r="HJ47" s="146">
        <v>0</v>
      </c>
      <c r="HK47" s="146">
        <v>0</v>
      </c>
      <c r="HL47" s="146">
        <v>0</v>
      </c>
      <c r="HM47" s="146">
        <v>0</v>
      </c>
      <c r="HN47" s="146">
        <v>0</v>
      </c>
      <c r="HO47" s="146">
        <v>0</v>
      </c>
      <c r="HP47" s="146">
        <v>0</v>
      </c>
      <c r="HQ47" s="146">
        <v>0</v>
      </c>
      <c r="HR47" s="146">
        <v>0</v>
      </c>
      <c r="HS47" s="146">
        <v>0</v>
      </c>
      <c r="HT47" s="146">
        <v>0</v>
      </c>
      <c r="HU47" s="151"/>
      <c r="HV47" s="146">
        <v>0</v>
      </c>
      <c r="HW47" s="151"/>
      <c r="HX47" s="151"/>
      <c r="HY47" s="151"/>
      <c r="HZ47" s="151"/>
      <c r="IA47" s="151"/>
      <c r="IB47" s="151"/>
      <c r="IC47" s="151"/>
      <c r="ID47" s="151"/>
      <c r="IE47" s="151"/>
      <c r="IF47" s="151"/>
      <c r="IG47" s="151"/>
      <c r="IH47" s="151"/>
      <c r="II47" s="151"/>
      <c r="IJ47" s="151"/>
      <c r="IK47" s="151"/>
      <c r="IL47" s="151"/>
      <c r="IM47" s="151"/>
      <c r="IN47" s="151"/>
      <c r="IO47" s="151"/>
      <c r="IP47" s="151"/>
      <c r="IQ47" s="151"/>
      <c r="IR47" s="151"/>
      <c r="IS47" s="151"/>
      <c r="IT47" s="151"/>
      <c r="IU47" s="151"/>
      <c r="IV47" s="151"/>
      <c r="IW47" s="151"/>
      <c r="IX47" s="151"/>
      <c r="IY47" s="151"/>
      <c r="IZ47" s="151"/>
      <c r="JA47" s="151"/>
      <c r="JB47" s="151"/>
      <c r="JC47" s="151"/>
      <c r="JD47" s="151"/>
      <c r="JE47" s="151"/>
      <c r="JF47" s="151"/>
      <c r="JG47" s="151"/>
      <c r="JH47" s="151"/>
      <c r="JI47" s="151"/>
      <c r="JJ47" s="151"/>
      <c r="JK47" s="151"/>
      <c r="JL47" s="151"/>
      <c r="JM47" s="151"/>
      <c r="JN47" s="151"/>
      <c r="JO47" s="151"/>
      <c r="JP47" s="151"/>
      <c r="JQ47" s="151"/>
      <c r="JR47" s="151"/>
      <c r="JS47" s="151"/>
      <c r="JT47" s="151"/>
      <c r="JU47" s="151"/>
      <c r="JV47" s="151"/>
      <c r="JW47" s="151"/>
      <c r="JX47" s="151"/>
      <c r="JY47" s="151"/>
      <c r="JZ47" s="151"/>
      <c r="KA47" s="151"/>
      <c r="KB47" s="151"/>
      <c r="KC47" s="151"/>
      <c r="KD47" s="151"/>
      <c r="KE47" s="151"/>
      <c r="KF47" s="151"/>
      <c r="KG47" s="151"/>
      <c r="KH47" s="151"/>
      <c r="KI47" s="151"/>
      <c r="KJ47" s="151"/>
      <c r="KK47" s="151"/>
      <c r="KL47" s="151"/>
      <c r="KM47" s="151"/>
      <c r="KN47" s="151"/>
      <c r="KO47" s="151"/>
      <c r="KP47" s="151"/>
      <c r="KQ47" s="151"/>
      <c r="KR47" s="151"/>
      <c r="KS47" s="151"/>
      <c r="KT47" s="151"/>
      <c r="KU47" s="151"/>
      <c r="KV47" s="151"/>
      <c r="KW47" s="151"/>
      <c r="KX47" s="151"/>
      <c r="KY47" s="151"/>
      <c r="KZ47" s="151"/>
      <c r="LA47" s="151"/>
      <c r="LB47" s="151"/>
      <c r="LC47" s="151"/>
      <c r="LD47" s="151"/>
      <c r="LE47" s="151"/>
    </row>
    <row r="48" spans="1:317" x14ac:dyDescent="0.2">
      <c r="A48" s="179" t="s">
        <v>849</v>
      </c>
      <c r="B48" s="180" t="s">
        <v>947</v>
      </c>
      <c r="C48" s="181"/>
      <c r="D48" s="182">
        <v>0</v>
      </c>
      <c r="E48" s="182">
        <v>0</v>
      </c>
      <c r="F48" s="183" t="s">
        <v>1231</v>
      </c>
      <c r="G48" s="183">
        <v>0</v>
      </c>
      <c r="H48" s="183">
        <v>0</v>
      </c>
      <c r="I48" s="183">
        <v>0</v>
      </c>
      <c r="J48" s="183">
        <v>0</v>
      </c>
      <c r="K48" s="183" t="s">
        <v>1373</v>
      </c>
      <c r="L48" s="183">
        <v>0</v>
      </c>
      <c r="M48" s="183">
        <v>0</v>
      </c>
      <c r="N48" s="183" t="s">
        <v>872</v>
      </c>
      <c r="O48" s="183">
        <v>0</v>
      </c>
      <c r="P48" s="183">
        <v>0</v>
      </c>
      <c r="Q48" s="183"/>
      <c r="R48" s="183"/>
      <c r="S48" s="183"/>
      <c r="T48" s="183"/>
      <c r="U48" s="183"/>
      <c r="V48" s="183">
        <v>0</v>
      </c>
      <c r="W48" s="183">
        <v>0</v>
      </c>
      <c r="X48" s="183">
        <v>0</v>
      </c>
      <c r="Y48" s="184">
        <v>21.58</v>
      </c>
      <c r="Z48" s="184">
        <v>0</v>
      </c>
      <c r="AA48" s="184">
        <v>0</v>
      </c>
      <c r="AB48" s="185" t="s">
        <v>615</v>
      </c>
      <c r="AC48" s="185" t="s">
        <v>615</v>
      </c>
      <c r="AD48" s="186" t="s">
        <v>872</v>
      </c>
      <c r="AE48" s="186" t="s">
        <v>852</v>
      </c>
      <c r="AF48" s="187">
        <v>7</v>
      </c>
      <c r="AG48" s="187">
        <v>3</v>
      </c>
      <c r="AH48" s="187">
        <v>4</v>
      </c>
      <c r="AI48" s="188">
        <v>1</v>
      </c>
      <c r="AJ48" s="188" t="s">
        <v>615</v>
      </c>
      <c r="AK48" s="187" t="s">
        <v>1733</v>
      </c>
      <c r="AL48" s="87" t="s">
        <v>615</v>
      </c>
      <c r="AM48" s="189"/>
      <c r="AN48" s="187" t="s">
        <v>615</v>
      </c>
      <c r="AO48" s="13" t="s">
        <v>615</v>
      </c>
      <c r="AP48" s="187">
        <v>0</v>
      </c>
      <c r="AQ48" s="187">
        <v>0</v>
      </c>
      <c r="AR48" s="190">
        <v>0</v>
      </c>
      <c r="AS48" s="190">
        <v>0</v>
      </c>
      <c r="AT48" s="190">
        <v>0</v>
      </c>
      <c r="AU48" s="187">
        <v>0</v>
      </c>
      <c r="AV48" s="187">
        <v>0</v>
      </c>
      <c r="AW48" s="191"/>
      <c r="AX48" s="192"/>
      <c r="AY48" s="193">
        <v>42666</v>
      </c>
      <c r="AZ48" s="193"/>
      <c r="BA48" s="193"/>
      <c r="BB48" s="194"/>
      <c r="BC48" s="194"/>
      <c r="BD48" s="195"/>
      <c r="BE48" s="195" t="s">
        <v>532</v>
      </c>
      <c r="BF48" s="195"/>
      <c r="BG48" s="195">
        <v>10</v>
      </c>
      <c r="BH48" s="196" t="s">
        <v>547</v>
      </c>
      <c r="BI48" s="197">
        <v>1</v>
      </c>
      <c r="BJ48" s="198"/>
      <c r="BK48" s="199">
        <v>0</v>
      </c>
      <c r="BL48" s="13">
        <v>0</v>
      </c>
      <c r="BM48" s="13">
        <v>0</v>
      </c>
      <c r="BN48" s="13" t="s">
        <v>616</v>
      </c>
      <c r="BO48" s="13" t="s">
        <v>616</v>
      </c>
      <c r="BP48" s="200">
        <v>10</v>
      </c>
      <c r="BQ48" s="201"/>
      <c r="BR48" s="202"/>
      <c r="BS48" s="187">
        <v>1000000000</v>
      </c>
      <c r="BT48" s="203">
        <v>22</v>
      </c>
      <c r="BU48" s="204">
        <v>0</v>
      </c>
      <c r="BV48" s="203">
        <v>0</v>
      </c>
      <c r="BW48" s="205">
        <v>0</v>
      </c>
      <c r="BX48" s="205">
        <v>0</v>
      </c>
      <c r="BY48" s="205">
        <v>0</v>
      </c>
      <c r="BZ48" s="203">
        <v>0</v>
      </c>
      <c r="CA48" s="203">
        <v>0</v>
      </c>
      <c r="CB48" s="203">
        <v>22</v>
      </c>
      <c r="CC48" s="204">
        <v>0</v>
      </c>
      <c r="CD48" s="203">
        <v>0</v>
      </c>
      <c r="CE48" s="203">
        <v>0</v>
      </c>
      <c r="CF48" s="13">
        <v>0</v>
      </c>
      <c r="CG48" s="206">
        <v>0</v>
      </c>
      <c r="CH48" s="207">
        <v>0</v>
      </c>
      <c r="CI48" s="201"/>
      <c r="CJ48" s="208"/>
      <c r="CK48" s="209" t="s">
        <v>615</v>
      </c>
      <c r="CL48" s="210" t="s">
        <v>615</v>
      </c>
      <c r="CM48" s="207">
        <v>0</v>
      </c>
      <c r="CN48" s="207">
        <v>0</v>
      </c>
      <c r="CO48" s="204">
        <v>0</v>
      </c>
      <c r="CP48" s="204">
        <v>0</v>
      </c>
      <c r="CQ48" s="211"/>
      <c r="CR48" s="204">
        <v>1</v>
      </c>
      <c r="CS48" s="212">
        <v>42592</v>
      </c>
      <c r="CT48" s="212">
        <v>42780</v>
      </c>
      <c r="CU48" s="213">
        <v>42780</v>
      </c>
      <c r="CV48" s="214">
        <v>42829</v>
      </c>
      <c r="CW48" s="214" t="s">
        <v>615</v>
      </c>
      <c r="CX48" s="214" t="s">
        <v>615</v>
      </c>
      <c r="CY48" s="204">
        <v>0</v>
      </c>
      <c r="CZ48" s="204">
        <v>0.97959183673469385</v>
      </c>
      <c r="DA48" s="203">
        <v>0</v>
      </c>
      <c r="DB48" s="204">
        <v>0</v>
      </c>
      <c r="DC48" s="204">
        <v>0</v>
      </c>
      <c r="DD48" s="204">
        <v>0</v>
      </c>
      <c r="DE48" s="204">
        <v>0</v>
      </c>
      <c r="DF48" s="215">
        <v>0.97959183673469385</v>
      </c>
      <c r="DG48" s="13" t="s">
        <v>615</v>
      </c>
      <c r="DH48" s="86">
        <v>46</v>
      </c>
      <c r="DI48" s="86"/>
      <c r="DJ48" s="86">
        <v>153</v>
      </c>
      <c r="DK48" s="86" t="s">
        <v>1505</v>
      </c>
      <c r="DL48" s="86" t="e">
        <v>#N/A</v>
      </c>
      <c r="DM48" s="86">
        <v>68</v>
      </c>
      <c r="DN48" s="86" t="e">
        <v>#N/A</v>
      </c>
      <c r="DO48" s="86">
        <v>160</v>
      </c>
      <c r="DP48" s="86">
        <v>2</v>
      </c>
      <c r="DQ48" s="86">
        <v>49</v>
      </c>
      <c r="DR48" s="152">
        <v>22</v>
      </c>
      <c r="DS48" s="152">
        <v>22</v>
      </c>
      <c r="DT48" s="152">
        <v>22</v>
      </c>
      <c r="DU48" s="152">
        <v>22</v>
      </c>
      <c r="DV48" s="152">
        <v>22</v>
      </c>
      <c r="DW48" s="152">
        <v>22</v>
      </c>
      <c r="DX48" s="152">
        <v>22</v>
      </c>
      <c r="DY48" s="152">
        <v>22</v>
      </c>
      <c r="DZ48" s="152">
        <v>22</v>
      </c>
      <c r="EA48" s="152">
        <v>22</v>
      </c>
      <c r="EB48" s="152">
        <v>22</v>
      </c>
      <c r="EC48" s="152">
        <v>22</v>
      </c>
      <c r="ED48" s="152">
        <v>22</v>
      </c>
      <c r="EE48" s="152">
        <v>22</v>
      </c>
      <c r="EF48" s="152">
        <v>22</v>
      </c>
      <c r="EG48" s="152">
        <v>22</v>
      </c>
      <c r="EH48" s="152">
        <v>22</v>
      </c>
      <c r="EI48" s="152">
        <v>22</v>
      </c>
      <c r="EJ48" s="152">
        <v>22</v>
      </c>
      <c r="EK48" s="152">
        <v>22</v>
      </c>
      <c r="EL48" s="152">
        <v>22</v>
      </c>
      <c r="EM48" s="152">
        <v>22</v>
      </c>
      <c r="EN48" s="152">
        <v>22</v>
      </c>
      <c r="EO48" s="152">
        <v>22</v>
      </c>
      <c r="EP48" s="152">
        <v>22</v>
      </c>
      <c r="EQ48" s="152">
        <v>22</v>
      </c>
      <c r="ER48" s="152">
        <v>22</v>
      </c>
      <c r="ES48" s="152">
        <v>22</v>
      </c>
      <c r="ET48" s="152">
        <v>22</v>
      </c>
      <c r="EU48" s="152">
        <v>22</v>
      </c>
      <c r="EV48" s="152">
        <v>22</v>
      </c>
      <c r="EW48" s="152">
        <v>22</v>
      </c>
      <c r="EX48" s="152">
        <v>22</v>
      </c>
      <c r="EY48" s="152">
        <v>22</v>
      </c>
      <c r="EZ48" s="152">
        <v>22</v>
      </c>
      <c r="FA48" s="152">
        <v>22</v>
      </c>
      <c r="FB48" s="152">
        <v>22</v>
      </c>
      <c r="FC48" s="152">
        <v>22</v>
      </c>
      <c r="FD48" s="152">
        <v>22</v>
      </c>
      <c r="FE48" s="152">
        <v>22</v>
      </c>
      <c r="FF48" s="152">
        <v>22</v>
      </c>
      <c r="FG48" s="152">
        <v>22</v>
      </c>
      <c r="FH48" s="152">
        <v>22</v>
      </c>
      <c r="FI48" s="152">
        <v>22</v>
      </c>
      <c r="FJ48" s="152">
        <v>22</v>
      </c>
      <c r="FK48" s="152">
        <v>22</v>
      </c>
      <c r="FL48" s="152">
        <v>22</v>
      </c>
      <c r="FM48" s="152">
        <v>22</v>
      </c>
      <c r="FN48" s="152">
        <v>22</v>
      </c>
      <c r="FO48" s="152">
        <v>22</v>
      </c>
      <c r="FP48" s="152">
        <v>22</v>
      </c>
      <c r="FQ48" s="152">
        <v>22</v>
      </c>
      <c r="FR48" s="152">
        <v>22</v>
      </c>
      <c r="FS48" s="167">
        <v>22</v>
      </c>
      <c r="FT48" s="167">
        <v>22</v>
      </c>
      <c r="FU48" s="167">
        <v>22</v>
      </c>
      <c r="FV48" s="167">
        <v>22</v>
      </c>
      <c r="FW48" s="167">
        <v>22</v>
      </c>
      <c r="FX48" s="167">
        <v>22</v>
      </c>
      <c r="FY48" s="167">
        <v>22</v>
      </c>
      <c r="FZ48" s="167">
        <v>22</v>
      </c>
      <c r="GA48" s="167">
        <v>22</v>
      </c>
      <c r="GB48" s="167">
        <v>22</v>
      </c>
      <c r="GC48" s="167">
        <v>22</v>
      </c>
      <c r="GD48" s="167">
        <v>22</v>
      </c>
      <c r="GE48" s="167">
        <v>22</v>
      </c>
      <c r="GF48" s="167">
        <v>22</v>
      </c>
      <c r="GG48" s="167">
        <v>22</v>
      </c>
      <c r="GH48" s="167">
        <v>22</v>
      </c>
      <c r="GI48" s="167">
        <v>22</v>
      </c>
      <c r="GJ48" s="167">
        <v>22</v>
      </c>
      <c r="GK48" s="167">
        <v>22</v>
      </c>
      <c r="GL48" s="167">
        <v>22</v>
      </c>
      <c r="GM48" s="167">
        <v>22</v>
      </c>
      <c r="GN48" s="167">
        <v>22</v>
      </c>
      <c r="GO48" s="167">
        <v>22</v>
      </c>
      <c r="GP48" s="167">
        <v>22</v>
      </c>
      <c r="GQ48" s="167">
        <v>22</v>
      </c>
      <c r="GR48" s="167">
        <v>22</v>
      </c>
      <c r="GS48" s="167">
        <v>22</v>
      </c>
      <c r="GT48" s="167">
        <v>22</v>
      </c>
      <c r="GU48" s="167">
        <v>22</v>
      </c>
      <c r="GV48" s="167">
        <v>22</v>
      </c>
      <c r="GW48" s="167">
        <v>22</v>
      </c>
      <c r="GX48" s="167">
        <v>22</v>
      </c>
      <c r="GY48" s="167">
        <v>22</v>
      </c>
      <c r="GZ48" s="167">
        <v>22</v>
      </c>
      <c r="HA48" s="167">
        <v>22</v>
      </c>
      <c r="HB48" s="167">
        <v>22</v>
      </c>
      <c r="HC48" s="167">
        <v>22</v>
      </c>
      <c r="HD48" s="167">
        <v>22</v>
      </c>
      <c r="HE48" s="167">
        <v>22</v>
      </c>
      <c r="HF48" s="167">
        <v>22</v>
      </c>
      <c r="HG48" s="167">
        <v>22</v>
      </c>
      <c r="HH48" s="167">
        <v>22</v>
      </c>
      <c r="HI48" s="152">
        <v>22</v>
      </c>
      <c r="HJ48" s="152">
        <v>22</v>
      </c>
      <c r="HK48" s="152">
        <v>22</v>
      </c>
      <c r="HL48" s="152">
        <v>22</v>
      </c>
      <c r="HM48" s="152">
        <v>22</v>
      </c>
      <c r="HN48" s="152">
        <v>22</v>
      </c>
      <c r="HO48" s="152">
        <v>22</v>
      </c>
      <c r="HP48" s="152">
        <v>22</v>
      </c>
      <c r="HQ48" s="152">
        <v>22</v>
      </c>
      <c r="HR48" s="152">
        <v>22</v>
      </c>
      <c r="HS48" s="152">
        <v>22</v>
      </c>
      <c r="HT48" s="152">
        <v>22</v>
      </c>
      <c r="HU48" s="216"/>
      <c r="HV48" s="152">
        <v>22</v>
      </c>
      <c r="HW48" s="216"/>
      <c r="HX48" s="216"/>
      <c r="HY48" s="216"/>
      <c r="HZ48" s="216"/>
      <c r="IA48" s="216"/>
      <c r="IB48" s="216"/>
      <c r="IC48" s="216"/>
      <c r="ID48" s="216"/>
      <c r="IE48" s="216"/>
      <c r="IF48" s="216"/>
      <c r="IG48" s="216"/>
      <c r="IH48" s="216"/>
      <c r="II48" s="216"/>
      <c r="IJ48" s="216"/>
      <c r="IK48" s="216"/>
      <c r="IL48" s="216"/>
      <c r="IM48" s="216"/>
      <c r="IN48" s="216"/>
      <c r="IO48" s="216"/>
      <c r="IP48" s="216"/>
      <c r="IQ48" s="216"/>
      <c r="IR48" s="216"/>
      <c r="IS48" s="216"/>
      <c r="IT48" s="216"/>
      <c r="IU48" s="216"/>
      <c r="IV48" s="216"/>
      <c r="IW48" s="216"/>
      <c r="IX48" s="216"/>
      <c r="IY48" s="216"/>
      <c r="IZ48" s="216"/>
      <c r="JA48" s="216"/>
      <c r="JB48" s="216"/>
      <c r="JC48" s="216"/>
      <c r="JD48" s="216"/>
      <c r="JE48" s="216"/>
      <c r="JF48" s="216"/>
      <c r="JG48" s="216"/>
      <c r="JH48" s="216"/>
      <c r="JI48" s="216"/>
      <c r="JJ48" s="216"/>
      <c r="JK48" s="216"/>
      <c r="JL48" s="216"/>
      <c r="JM48" s="216"/>
      <c r="JN48" s="216"/>
      <c r="JO48" s="216"/>
      <c r="JP48" s="216"/>
      <c r="JQ48" s="216"/>
      <c r="JR48" s="216"/>
      <c r="JS48" s="216"/>
      <c r="JT48" s="216"/>
      <c r="JU48" s="216"/>
      <c r="JV48" s="216"/>
      <c r="JW48" s="216"/>
      <c r="JX48" s="216"/>
      <c r="JY48" s="216"/>
      <c r="JZ48" s="216"/>
      <c r="KA48" s="216"/>
      <c r="KB48" s="216"/>
      <c r="KC48" s="216"/>
      <c r="KD48" s="216"/>
      <c r="KE48" s="216"/>
      <c r="KF48" s="216"/>
      <c r="KG48" s="216"/>
      <c r="KH48" s="216"/>
      <c r="KI48" s="216"/>
      <c r="KJ48" s="216"/>
      <c r="KK48" s="216"/>
      <c r="KL48" s="216"/>
      <c r="KM48" s="216"/>
      <c r="KN48" s="216"/>
      <c r="KO48" s="216"/>
      <c r="KP48" s="216"/>
      <c r="KQ48" s="216"/>
      <c r="KR48" s="216"/>
      <c r="KS48" s="216"/>
      <c r="KT48" s="216"/>
      <c r="KU48" s="216"/>
      <c r="KV48" s="216"/>
      <c r="KW48" s="216"/>
      <c r="KX48" s="216"/>
      <c r="KY48" s="216"/>
      <c r="KZ48" s="216"/>
      <c r="LA48" s="216"/>
      <c r="LB48" s="216"/>
      <c r="LC48" s="216"/>
      <c r="LD48" s="216"/>
      <c r="LE48" s="216"/>
    </row>
    <row r="49" spans="1:317" x14ac:dyDescent="0.2">
      <c r="A49" s="179" t="s">
        <v>849</v>
      </c>
      <c r="B49" s="180" t="s">
        <v>948</v>
      </c>
      <c r="C49" s="181"/>
      <c r="D49" s="182">
        <v>0</v>
      </c>
      <c r="E49" s="182">
        <v>0</v>
      </c>
      <c r="F49" s="183" t="s">
        <v>1232</v>
      </c>
      <c r="G49" s="183">
        <v>0</v>
      </c>
      <c r="H49" s="183">
        <v>0</v>
      </c>
      <c r="I49" s="183">
        <v>0</v>
      </c>
      <c r="J49" s="183">
        <v>0</v>
      </c>
      <c r="K49" s="183" t="s">
        <v>1373</v>
      </c>
      <c r="L49" s="183">
        <v>0</v>
      </c>
      <c r="M49" s="183">
        <v>0</v>
      </c>
      <c r="N49" s="183" t="s">
        <v>872</v>
      </c>
      <c r="O49" s="183">
        <v>0</v>
      </c>
      <c r="P49" s="183">
        <v>0</v>
      </c>
      <c r="Q49" s="183"/>
      <c r="R49" s="183"/>
      <c r="S49" s="183"/>
      <c r="T49" s="183"/>
      <c r="U49" s="183"/>
      <c r="V49" s="183">
        <v>0</v>
      </c>
      <c r="W49" s="183">
        <v>0</v>
      </c>
      <c r="X49" s="183">
        <v>0</v>
      </c>
      <c r="Y49" s="184">
        <v>17.63</v>
      </c>
      <c r="Z49" s="184">
        <v>0</v>
      </c>
      <c r="AA49" s="184">
        <v>0</v>
      </c>
      <c r="AB49" s="185" t="s">
        <v>615</v>
      </c>
      <c r="AC49" s="185" t="s">
        <v>615</v>
      </c>
      <c r="AD49" s="186" t="s">
        <v>872</v>
      </c>
      <c r="AE49" s="186" t="s">
        <v>852</v>
      </c>
      <c r="AF49" s="187">
        <v>7</v>
      </c>
      <c r="AG49" s="187">
        <v>3</v>
      </c>
      <c r="AH49" s="187">
        <v>4</v>
      </c>
      <c r="AI49" s="188">
        <v>1</v>
      </c>
      <c r="AJ49" s="188" t="s">
        <v>615</v>
      </c>
      <c r="AK49" s="187" t="s">
        <v>1733</v>
      </c>
      <c r="AL49" s="87" t="s">
        <v>615</v>
      </c>
      <c r="AM49" s="189"/>
      <c r="AN49" s="187" t="s">
        <v>615</v>
      </c>
      <c r="AO49" s="13" t="s">
        <v>615</v>
      </c>
      <c r="AP49" s="187">
        <v>0</v>
      </c>
      <c r="AQ49" s="187">
        <v>0</v>
      </c>
      <c r="AR49" s="190">
        <v>0</v>
      </c>
      <c r="AS49" s="190">
        <v>0</v>
      </c>
      <c r="AT49" s="190">
        <v>0</v>
      </c>
      <c r="AU49" s="187">
        <v>0</v>
      </c>
      <c r="AV49" s="187">
        <v>0</v>
      </c>
      <c r="AW49" s="191"/>
      <c r="AX49" s="192"/>
      <c r="AY49" s="193">
        <v>42666</v>
      </c>
      <c r="AZ49" s="193"/>
      <c r="BA49" s="193"/>
      <c r="BB49" s="194"/>
      <c r="BC49" s="194"/>
      <c r="BD49" s="195"/>
      <c r="BE49" s="195" t="s">
        <v>532</v>
      </c>
      <c r="BF49" s="195"/>
      <c r="BG49" s="195">
        <v>10</v>
      </c>
      <c r="BH49" s="196" t="s">
        <v>547</v>
      </c>
      <c r="BI49" s="197">
        <v>1</v>
      </c>
      <c r="BJ49" s="198"/>
      <c r="BK49" s="199">
        <v>0</v>
      </c>
      <c r="BL49" s="13">
        <v>0</v>
      </c>
      <c r="BM49" s="13">
        <v>0</v>
      </c>
      <c r="BN49" s="13" t="s">
        <v>616</v>
      </c>
      <c r="BO49" s="13" t="s">
        <v>616</v>
      </c>
      <c r="BP49" s="200">
        <v>10</v>
      </c>
      <c r="BQ49" s="201"/>
      <c r="BR49" s="202"/>
      <c r="BS49" s="187">
        <v>1000000000</v>
      </c>
      <c r="BT49" s="203">
        <v>21</v>
      </c>
      <c r="BU49" s="204">
        <v>0</v>
      </c>
      <c r="BV49" s="203">
        <v>0</v>
      </c>
      <c r="BW49" s="205">
        <v>0</v>
      </c>
      <c r="BX49" s="205">
        <v>0</v>
      </c>
      <c r="BY49" s="205">
        <v>0</v>
      </c>
      <c r="BZ49" s="203">
        <v>0</v>
      </c>
      <c r="CA49" s="203">
        <v>0</v>
      </c>
      <c r="CB49" s="203">
        <v>21</v>
      </c>
      <c r="CC49" s="204">
        <v>0</v>
      </c>
      <c r="CD49" s="203">
        <v>0</v>
      </c>
      <c r="CE49" s="203">
        <v>0</v>
      </c>
      <c r="CF49" s="13">
        <v>0</v>
      </c>
      <c r="CG49" s="206">
        <v>0</v>
      </c>
      <c r="CH49" s="207">
        <v>0</v>
      </c>
      <c r="CI49" s="201"/>
      <c r="CJ49" s="208"/>
      <c r="CK49" s="209" t="s">
        <v>615</v>
      </c>
      <c r="CL49" s="210" t="s">
        <v>615</v>
      </c>
      <c r="CM49" s="207">
        <v>0</v>
      </c>
      <c r="CN49" s="207">
        <v>0</v>
      </c>
      <c r="CO49" s="204">
        <v>0</v>
      </c>
      <c r="CP49" s="204">
        <v>0</v>
      </c>
      <c r="CQ49" s="211"/>
      <c r="CR49" s="204">
        <v>1</v>
      </c>
      <c r="CS49" s="212">
        <v>42592</v>
      </c>
      <c r="CT49" s="212">
        <v>42780</v>
      </c>
      <c r="CU49" s="213">
        <v>42780</v>
      </c>
      <c r="CV49" s="214">
        <v>42829</v>
      </c>
      <c r="CW49" s="214" t="s">
        <v>615</v>
      </c>
      <c r="CX49" s="214" t="s">
        <v>615</v>
      </c>
      <c r="CY49" s="204">
        <v>0</v>
      </c>
      <c r="CZ49" s="204">
        <v>0.97959183673469385</v>
      </c>
      <c r="DA49" s="203">
        <v>0</v>
      </c>
      <c r="DB49" s="204">
        <v>0</v>
      </c>
      <c r="DC49" s="204">
        <v>0</v>
      </c>
      <c r="DD49" s="204">
        <v>0</v>
      </c>
      <c r="DE49" s="204">
        <v>0</v>
      </c>
      <c r="DF49" s="215">
        <v>0.97959183673469385</v>
      </c>
      <c r="DG49" s="13" t="s">
        <v>615</v>
      </c>
      <c r="DH49" s="86">
        <v>47</v>
      </c>
      <c r="DI49" s="86"/>
      <c r="DJ49" s="86">
        <v>149</v>
      </c>
      <c r="DK49" s="86" t="s">
        <v>1504</v>
      </c>
      <c r="DL49" s="86" t="e">
        <v>#N/A</v>
      </c>
      <c r="DM49" s="86">
        <v>67</v>
      </c>
      <c r="DN49" s="86" t="e">
        <v>#N/A</v>
      </c>
      <c r="DO49" s="86">
        <v>156</v>
      </c>
      <c r="DP49" s="86">
        <v>2</v>
      </c>
      <c r="DQ49" s="86">
        <v>49</v>
      </c>
      <c r="DR49" s="146">
        <v>21</v>
      </c>
      <c r="DS49" s="146">
        <v>21</v>
      </c>
      <c r="DT49" s="146">
        <v>21</v>
      </c>
      <c r="DU49" s="146">
        <v>21</v>
      </c>
      <c r="DV49" s="146">
        <v>21</v>
      </c>
      <c r="DW49" s="146">
        <v>21</v>
      </c>
      <c r="DX49" s="146">
        <v>21</v>
      </c>
      <c r="DY49" s="146">
        <v>21</v>
      </c>
      <c r="DZ49" s="146">
        <v>21</v>
      </c>
      <c r="EA49" s="146">
        <v>21</v>
      </c>
      <c r="EB49" s="146">
        <v>21</v>
      </c>
      <c r="EC49" s="146">
        <v>21</v>
      </c>
      <c r="ED49" s="146">
        <v>21</v>
      </c>
      <c r="EE49" s="146">
        <v>21</v>
      </c>
      <c r="EF49" s="146">
        <v>21</v>
      </c>
      <c r="EG49" s="146">
        <v>21</v>
      </c>
      <c r="EH49" s="146">
        <v>21</v>
      </c>
      <c r="EI49" s="146">
        <v>21</v>
      </c>
      <c r="EJ49" s="146">
        <v>21</v>
      </c>
      <c r="EK49" s="146">
        <v>21</v>
      </c>
      <c r="EL49" s="146">
        <v>21</v>
      </c>
      <c r="EM49" s="146">
        <v>21</v>
      </c>
      <c r="EN49" s="146">
        <v>21</v>
      </c>
      <c r="EO49" s="146">
        <v>21</v>
      </c>
      <c r="EP49" s="146">
        <v>21</v>
      </c>
      <c r="EQ49" s="146">
        <v>21</v>
      </c>
      <c r="ER49" s="146">
        <v>21</v>
      </c>
      <c r="ES49" s="146">
        <v>21</v>
      </c>
      <c r="ET49" s="146">
        <v>21</v>
      </c>
      <c r="EU49" s="146">
        <v>21</v>
      </c>
      <c r="EV49" s="146">
        <v>21</v>
      </c>
      <c r="EW49" s="146">
        <v>21</v>
      </c>
      <c r="EX49" s="146">
        <v>21</v>
      </c>
      <c r="EY49" s="146">
        <v>21</v>
      </c>
      <c r="EZ49" s="146">
        <v>21</v>
      </c>
      <c r="FA49" s="146">
        <v>21</v>
      </c>
      <c r="FB49" s="146">
        <v>21</v>
      </c>
      <c r="FC49" s="146">
        <v>21</v>
      </c>
      <c r="FD49" s="146">
        <v>21</v>
      </c>
      <c r="FE49" s="146">
        <v>21</v>
      </c>
      <c r="FF49" s="146">
        <v>21</v>
      </c>
      <c r="FG49" s="146">
        <v>21</v>
      </c>
      <c r="FH49" s="146">
        <v>21</v>
      </c>
      <c r="FI49" s="146">
        <v>21</v>
      </c>
      <c r="FJ49" s="146">
        <v>21</v>
      </c>
      <c r="FK49" s="146">
        <v>21</v>
      </c>
      <c r="FL49" s="146">
        <v>21</v>
      </c>
      <c r="FM49" s="146">
        <v>21</v>
      </c>
      <c r="FN49" s="146">
        <v>21</v>
      </c>
      <c r="FO49" s="146">
        <v>21</v>
      </c>
      <c r="FP49" s="146">
        <v>21</v>
      </c>
      <c r="FQ49" s="146">
        <v>21</v>
      </c>
      <c r="FR49" s="146">
        <v>21</v>
      </c>
      <c r="FS49" s="161">
        <v>21</v>
      </c>
      <c r="FT49" s="161">
        <v>21</v>
      </c>
      <c r="FU49" s="161">
        <v>21</v>
      </c>
      <c r="FV49" s="161">
        <v>21</v>
      </c>
      <c r="FW49" s="161">
        <v>21</v>
      </c>
      <c r="FX49" s="161">
        <v>21</v>
      </c>
      <c r="FY49" s="161">
        <v>21</v>
      </c>
      <c r="FZ49" s="161">
        <v>21</v>
      </c>
      <c r="GA49" s="161">
        <v>21</v>
      </c>
      <c r="GB49" s="161">
        <v>21</v>
      </c>
      <c r="GC49" s="161">
        <v>21</v>
      </c>
      <c r="GD49" s="161">
        <v>21</v>
      </c>
      <c r="GE49" s="161">
        <v>21</v>
      </c>
      <c r="GF49" s="161">
        <v>21</v>
      </c>
      <c r="GG49" s="161">
        <v>21</v>
      </c>
      <c r="GH49" s="161">
        <v>21</v>
      </c>
      <c r="GI49" s="161">
        <v>21</v>
      </c>
      <c r="GJ49" s="161">
        <v>21</v>
      </c>
      <c r="GK49" s="161">
        <v>21</v>
      </c>
      <c r="GL49" s="161">
        <v>21</v>
      </c>
      <c r="GM49" s="161">
        <v>21</v>
      </c>
      <c r="GN49" s="161">
        <v>21</v>
      </c>
      <c r="GO49" s="161">
        <v>21</v>
      </c>
      <c r="GP49" s="161">
        <v>21</v>
      </c>
      <c r="GQ49" s="161">
        <v>21</v>
      </c>
      <c r="GR49" s="161">
        <v>21</v>
      </c>
      <c r="GS49" s="161">
        <v>21</v>
      </c>
      <c r="GT49" s="161">
        <v>21</v>
      </c>
      <c r="GU49" s="161">
        <v>21</v>
      </c>
      <c r="GV49" s="161">
        <v>21</v>
      </c>
      <c r="GW49" s="161">
        <v>21</v>
      </c>
      <c r="GX49" s="161">
        <v>21</v>
      </c>
      <c r="GY49" s="161">
        <v>21</v>
      </c>
      <c r="GZ49" s="161">
        <v>21</v>
      </c>
      <c r="HA49" s="161">
        <v>21</v>
      </c>
      <c r="HB49" s="161">
        <v>21</v>
      </c>
      <c r="HC49" s="161">
        <v>21</v>
      </c>
      <c r="HD49" s="161">
        <v>21</v>
      </c>
      <c r="HE49" s="161">
        <v>21</v>
      </c>
      <c r="HF49" s="161">
        <v>21</v>
      </c>
      <c r="HG49" s="161">
        <v>21</v>
      </c>
      <c r="HH49" s="161">
        <v>21</v>
      </c>
      <c r="HI49" s="146">
        <v>21</v>
      </c>
      <c r="HJ49" s="146">
        <v>21</v>
      </c>
      <c r="HK49" s="146">
        <v>21</v>
      </c>
      <c r="HL49" s="146">
        <v>21</v>
      </c>
      <c r="HM49" s="146">
        <v>21</v>
      </c>
      <c r="HN49" s="146">
        <v>21</v>
      </c>
      <c r="HO49" s="146">
        <v>21</v>
      </c>
      <c r="HP49" s="146">
        <v>21</v>
      </c>
      <c r="HQ49" s="146">
        <v>21</v>
      </c>
      <c r="HR49" s="146">
        <v>21</v>
      </c>
      <c r="HS49" s="146">
        <v>21</v>
      </c>
      <c r="HT49" s="146">
        <v>21</v>
      </c>
      <c r="HU49" s="151"/>
      <c r="HV49" s="146">
        <v>21</v>
      </c>
      <c r="HW49" s="151"/>
      <c r="HX49" s="151"/>
      <c r="HY49" s="151"/>
      <c r="HZ49" s="151"/>
      <c r="IA49" s="151"/>
      <c r="IB49" s="151"/>
      <c r="IC49" s="151"/>
      <c r="ID49" s="151"/>
      <c r="IE49" s="151"/>
      <c r="IF49" s="151"/>
      <c r="IG49" s="151"/>
      <c r="IH49" s="151"/>
      <c r="II49" s="151"/>
      <c r="IJ49" s="151"/>
      <c r="IK49" s="151"/>
      <c r="IL49" s="151"/>
      <c r="IM49" s="151"/>
      <c r="IN49" s="151"/>
      <c r="IO49" s="151"/>
      <c r="IP49" s="151"/>
      <c r="IQ49" s="151"/>
      <c r="IR49" s="151"/>
      <c r="IS49" s="151"/>
      <c r="IT49" s="151"/>
      <c r="IU49" s="151"/>
      <c r="IV49" s="151"/>
      <c r="IW49" s="151"/>
      <c r="IX49" s="151"/>
      <c r="IY49" s="151"/>
      <c r="IZ49" s="151"/>
      <c r="JA49" s="151"/>
      <c r="JB49" s="151"/>
      <c r="JC49" s="151"/>
      <c r="JD49" s="151"/>
      <c r="JE49" s="151"/>
      <c r="JF49" s="151"/>
      <c r="JG49" s="151"/>
      <c r="JH49" s="151"/>
      <c r="JI49" s="151"/>
      <c r="JJ49" s="151"/>
      <c r="JK49" s="151"/>
      <c r="JL49" s="151"/>
      <c r="JM49" s="151"/>
      <c r="JN49" s="151"/>
      <c r="JO49" s="151"/>
      <c r="JP49" s="151"/>
      <c r="JQ49" s="151"/>
      <c r="JR49" s="151"/>
      <c r="JS49" s="151"/>
      <c r="JT49" s="151"/>
      <c r="JU49" s="151"/>
      <c r="JV49" s="151"/>
      <c r="JW49" s="151"/>
      <c r="JX49" s="151"/>
      <c r="JY49" s="151"/>
      <c r="JZ49" s="151"/>
      <c r="KA49" s="151"/>
      <c r="KB49" s="151"/>
      <c r="KC49" s="151"/>
      <c r="KD49" s="151"/>
      <c r="KE49" s="151"/>
      <c r="KF49" s="151"/>
      <c r="KG49" s="151"/>
      <c r="KH49" s="151"/>
      <c r="KI49" s="151"/>
      <c r="KJ49" s="151"/>
      <c r="KK49" s="151"/>
      <c r="KL49" s="151"/>
      <c r="KM49" s="151"/>
      <c r="KN49" s="151"/>
      <c r="KO49" s="151"/>
      <c r="KP49" s="151"/>
      <c r="KQ49" s="151"/>
      <c r="KR49" s="151"/>
      <c r="KS49" s="151"/>
      <c r="KT49" s="151"/>
      <c r="KU49" s="151"/>
      <c r="KV49" s="151"/>
      <c r="KW49" s="151"/>
      <c r="KX49" s="151"/>
      <c r="KY49" s="151"/>
      <c r="KZ49" s="151"/>
      <c r="LA49" s="151"/>
      <c r="LB49" s="151"/>
      <c r="LC49" s="151"/>
      <c r="LD49" s="151"/>
      <c r="LE49" s="151"/>
    </row>
    <row r="50" spans="1:317" x14ac:dyDescent="0.2">
      <c r="A50" s="179" t="s">
        <v>849</v>
      </c>
      <c r="B50" s="180" t="s">
        <v>949</v>
      </c>
      <c r="C50" s="181"/>
      <c r="D50" s="182">
        <v>0</v>
      </c>
      <c r="E50" s="182">
        <v>0</v>
      </c>
      <c r="F50" s="183" t="s">
        <v>1233</v>
      </c>
      <c r="G50" s="183">
        <v>0</v>
      </c>
      <c r="H50" s="183">
        <v>0</v>
      </c>
      <c r="I50" s="183">
        <v>0</v>
      </c>
      <c r="J50" s="183">
        <v>0</v>
      </c>
      <c r="K50" s="183" t="s">
        <v>1374</v>
      </c>
      <c r="L50" s="183">
        <v>0</v>
      </c>
      <c r="M50" s="183">
        <v>0</v>
      </c>
      <c r="N50" s="183" t="s">
        <v>872</v>
      </c>
      <c r="O50" s="183">
        <v>0</v>
      </c>
      <c r="P50" s="183">
        <v>0</v>
      </c>
      <c r="Q50" s="183"/>
      <c r="R50" s="183"/>
      <c r="S50" s="183"/>
      <c r="T50" s="183"/>
      <c r="U50" s="183"/>
      <c r="V50" s="183">
        <v>0</v>
      </c>
      <c r="W50" s="183">
        <v>0</v>
      </c>
      <c r="X50" s="183">
        <v>0</v>
      </c>
      <c r="Y50" s="184">
        <v>0</v>
      </c>
      <c r="Z50" s="184">
        <v>28.97</v>
      </c>
      <c r="AA50" s="184">
        <v>0</v>
      </c>
      <c r="AB50" s="185" t="s">
        <v>615</v>
      </c>
      <c r="AC50" s="185" t="s">
        <v>615</v>
      </c>
      <c r="AD50" s="186" t="s">
        <v>872</v>
      </c>
      <c r="AE50" s="186" t="s">
        <v>852</v>
      </c>
      <c r="AF50" s="187">
        <v>7</v>
      </c>
      <c r="AG50" s="187">
        <v>3</v>
      </c>
      <c r="AH50" s="187">
        <v>4</v>
      </c>
      <c r="AI50" s="188">
        <v>1</v>
      </c>
      <c r="AJ50" s="188" t="s">
        <v>615</v>
      </c>
      <c r="AK50" s="187" t="s">
        <v>1736</v>
      </c>
      <c r="AL50" s="87" t="s">
        <v>615</v>
      </c>
      <c r="AM50" s="189"/>
      <c r="AN50" s="187" t="s">
        <v>615</v>
      </c>
      <c r="AO50" s="13" t="s">
        <v>615</v>
      </c>
      <c r="AP50" s="187">
        <v>0</v>
      </c>
      <c r="AQ50" s="187">
        <v>0</v>
      </c>
      <c r="AR50" s="190">
        <v>0</v>
      </c>
      <c r="AS50" s="190">
        <v>0</v>
      </c>
      <c r="AT50" s="190">
        <v>0</v>
      </c>
      <c r="AU50" s="187">
        <v>0</v>
      </c>
      <c r="AV50" s="187">
        <v>0</v>
      </c>
      <c r="AW50" s="191"/>
      <c r="AX50" s="192"/>
      <c r="AY50" s="193">
        <v>42666</v>
      </c>
      <c r="AZ50" s="193"/>
      <c r="BA50" s="193"/>
      <c r="BB50" s="194"/>
      <c r="BC50" s="194"/>
      <c r="BD50" s="195"/>
      <c r="BE50" s="195" t="s">
        <v>532</v>
      </c>
      <c r="BF50" s="195"/>
      <c r="BG50" s="195">
        <v>20</v>
      </c>
      <c r="BH50" s="196" t="s">
        <v>547</v>
      </c>
      <c r="BI50" s="197">
        <v>1</v>
      </c>
      <c r="BJ50" s="198"/>
      <c r="BK50" s="199">
        <v>0</v>
      </c>
      <c r="BL50" s="13">
        <v>0</v>
      </c>
      <c r="BM50" s="13">
        <v>0</v>
      </c>
      <c r="BN50" s="13" t="s">
        <v>616</v>
      </c>
      <c r="BO50" s="13" t="s">
        <v>616</v>
      </c>
      <c r="BP50" s="200">
        <v>20</v>
      </c>
      <c r="BQ50" s="201"/>
      <c r="BR50" s="202"/>
      <c r="BS50" s="187">
        <v>1000000000</v>
      </c>
      <c r="BT50" s="203">
        <v>0</v>
      </c>
      <c r="BU50" s="204">
        <v>0</v>
      </c>
      <c r="BV50" s="203">
        <v>0</v>
      </c>
      <c r="BW50" s="205">
        <v>0</v>
      </c>
      <c r="BX50" s="205">
        <v>0</v>
      </c>
      <c r="BY50" s="205">
        <v>0</v>
      </c>
      <c r="BZ50" s="203">
        <v>0</v>
      </c>
      <c r="CA50" s="203">
        <v>0</v>
      </c>
      <c r="CB50" s="203">
        <v>0</v>
      </c>
      <c r="CC50" s="204">
        <v>0</v>
      </c>
      <c r="CD50" s="203">
        <v>0</v>
      </c>
      <c r="CE50" s="203">
        <v>0</v>
      </c>
      <c r="CF50" s="13">
        <v>0</v>
      </c>
      <c r="CG50" s="206">
        <v>0</v>
      </c>
      <c r="CH50" s="207">
        <v>0</v>
      </c>
      <c r="CI50" s="201"/>
      <c r="CJ50" s="208"/>
      <c r="CK50" s="209" t="s">
        <v>615</v>
      </c>
      <c r="CL50" s="210" t="s">
        <v>615</v>
      </c>
      <c r="CM50" s="207">
        <v>0</v>
      </c>
      <c r="CN50" s="207">
        <v>0</v>
      </c>
      <c r="CO50" s="204">
        <v>0</v>
      </c>
      <c r="CP50" s="204">
        <v>0</v>
      </c>
      <c r="CQ50" s="211"/>
      <c r="CR50" s="204">
        <v>1</v>
      </c>
      <c r="CS50" s="212">
        <v>42531</v>
      </c>
      <c r="CT50" s="212">
        <v>42780</v>
      </c>
      <c r="CU50" s="213">
        <v>42780</v>
      </c>
      <c r="CV50" s="214">
        <v>42829</v>
      </c>
      <c r="CW50" s="214" t="s">
        <v>615</v>
      </c>
      <c r="CX50" s="214" t="s">
        <v>615</v>
      </c>
      <c r="CY50" s="204">
        <v>1</v>
      </c>
      <c r="CZ50" s="204">
        <v>0.97959183673469385</v>
      </c>
      <c r="DA50" s="203">
        <v>0</v>
      </c>
      <c r="DB50" s="204">
        <v>0.97959183673469385</v>
      </c>
      <c r="DC50" s="204">
        <v>0</v>
      </c>
      <c r="DD50" s="204">
        <v>0</v>
      </c>
      <c r="DE50" s="204">
        <v>0</v>
      </c>
      <c r="DF50" s="215">
        <v>0</v>
      </c>
      <c r="DG50" s="13" t="s">
        <v>615</v>
      </c>
      <c r="DH50" s="86">
        <v>48</v>
      </c>
      <c r="DI50" s="86"/>
      <c r="DJ50" s="86">
        <v>128</v>
      </c>
      <c r="DK50" s="86" t="s">
        <v>1599</v>
      </c>
      <c r="DL50" s="86" t="e">
        <v>#N/A</v>
      </c>
      <c r="DM50" s="86" t="e">
        <v>#N/A</v>
      </c>
      <c r="DN50" s="86" t="e">
        <v>#N/A</v>
      </c>
      <c r="DO50" s="86">
        <v>132</v>
      </c>
      <c r="DP50" s="86">
        <v>2</v>
      </c>
      <c r="DQ50" s="86">
        <v>49</v>
      </c>
      <c r="DR50" s="152">
        <v>0</v>
      </c>
      <c r="DS50" s="152">
        <v>0</v>
      </c>
      <c r="DT50" s="152">
        <v>0</v>
      </c>
      <c r="DU50" s="152">
        <v>0</v>
      </c>
      <c r="DV50" s="152">
        <v>0</v>
      </c>
      <c r="DW50" s="152">
        <v>0</v>
      </c>
      <c r="DX50" s="152">
        <v>0</v>
      </c>
      <c r="DY50" s="152">
        <v>0</v>
      </c>
      <c r="DZ50" s="152">
        <v>0</v>
      </c>
      <c r="EA50" s="152">
        <v>0</v>
      </c>
      <c r="EB50" s="152">
        <v>0</v>
      </c>
      <c r="EC50" s="152">
        <v>0</v>
      </c>
      <c r="ED50" s="152">
        <v>0</v>
      </c>
      <c r="EE50" s="152">
        <v>0</v>
      </c>
      <c r="EF50" s="152">
        <v>0</v>
      </c>
      <c r="EG50" s="152">
        <v>0</v>
      </c>
      <c r="EH50" s="152">
        <v>0</v>
      </c>
      <c r="EI50" s="152">
        <v>0</v>
      </c>
      <c r="EJ50" s="152">
        <v>0</v>
      </c>
      <c r="EK50" s="152">
        <v>0</v>
      </c>
      <c r="EL50" s="152">
        <v>0</v>
      </c>
      <c r="EM50" s="152">
        <v>0</v>
      </c>
      <c r="EN50" s="152">
        <v>0</v>
      </c>
      <c r="EO50" s="152">
        <v>0</v>
      </c>
      <c r="EP50" s="152">
        <v>0</v>
      </c>
      <c r="EQ50" s="152">
        <v>0</v>
      </c>
      <c r="ER50" s="152">
        <v>0</v>
      </c>
      <c r="ES50" s="152">
        <v>0</v>
      </c>
      <c r="ET50" s="152">
        <v>0</v>
      </c>
      <c r="EU50" s="152">
        <v>0</v>
      </c>
      <c r="EV50" s="152">
        <v>0</v>
      </c>
      <c r="EW50" s="152">
        <v>0</v>
      </c>
      <c r="EX50" s="152">
        <v>0</v>
      </c>
      <c r="EY50" s="152">
        <v>0</v>
      </c>
      <c r="EZ50" s="152">
        <v>0</v>
      </c>
      <c r="FA50" s="152">
        <v>0</v>
      </c>
      <c r="FB50" s="152">
        <v>0</v>
      </c>
      <c r="FC50" s="152">
        <v>0</v>
      </c>
      <c r="FD50" s="152">
        <v>0</v>
      </c>
      <c r="FE50" s="152">
        <v>0</v>
      </c>
      <c r="FF50" s="152">
        <v>0</v>
      </c>
      <c r="FG50" s="152">
        <v>0</v>
      </c>
      <c r="FH50" s="152">
        <v>0</v>
      </c>
      <c r="FI50" s="152">
        <v>0</v>
      </c>
      <c r="FJ50" s="152">
        <v>0</v>
      </c>
      <c r="FK50" s="152">
        <v>0</v>
      </c>
      <c r="FL50" s="152">
        <v>0</v>
      </c>
      <c r="FM50" s="152">
        <v>0</v>
      </c>
      <c r="FN50" s="152">
        <v>0</v>
      </c>
      <c r="FO50" s="152">
        <v>0</v>
      </c>
      <c r="FP50" s="152">
        <v>0</v>
      </c>
      <c r="FQ50" s="152">
        <v>0</v>
      </c>
      <c r="FR50" s="152">
        <v>0</v>
      </c>
      <c r="FS50" s="166">
        <v>0</v>
      </c>
      <c r="FT50" s="166">
        <v>0</v>
      </c>
      <c r="FU50" s="166">
        <v>0</v>
      </c>
      <c r="FV50" s="166">
        <v>0</v>
      </c>
      <c r="FW50" s="166">
        <v>0</v>
      </c>
      <c r="FX50" s="166">
        <v>0</v>
      </c>
      <c r="FY50" s="166">
        <v>0</v>
      </c>
      <c r="FZ50" s="166">
        <v>0</v>
      </c>
      <c r="GA50" s="166">
        <v>0</v>
      </c>
      <c r="GB50" s="166">
        <v>0</v>
      </c>
      <c r="GC50" s="166">
        <v>0</v>
      </c>
      <c r="GD50" s="166">
        <v>0</v>
      </c>
      <c r="GE50" s="166">
        <v>0</v>
      </c>
      <c r="GF50" s="166">
        <v>0</v>
      </c>
      <c r="GG50" s="166">
        <v>0</v>
      </c>
      <c r="GH50" s="166">
        <v>0</v>
      </c>
      <c r="GI50" s="166">
        <v>0</v>
      </c>
      <c r="GJ50" s="166">
        <v>0</v>
      </c>
      <c r="GK50" s="166">
        <v>0</v>
      </c>
      <c r="GL50" s="166">
        <v>0</v>
      </c>
      <c r="GM50" s="166">
        <v>0</v>
      </c>
      <c r="GN50" s="166">
        <v>0</v>
      </c>
      <c r="GO50" s="166">
        <v>0</v>
      </c>
      <c r="GP50" s="166">
        <v>0</v>
      </c>
      <c r="GQ50" s="166">
        <v>0</v>
      </c>
      <c r="GR50" s="166">
        <v>0</v>
      </c>
      <c r="GS50" s="166">
        <v>0</v>
      </c>
      <c r="GT50" s="166">
        <v>0</v>
      </c>
      <c r="GU50" s="166">
        <v>0</v>
      </c>
      <c r="GV50" s="166">
        <v>0</v>
      </c>
      <c r="GW50" s="166">
        <v>0</v>
      </c>
      <c r="GX50" s="166">
        <v>0</v>
      </c>
      <c r="GY50" s="166">
        <v>0</v>
      </c>
      <c r="GZ50" s="166">
        <v>0</v>
      </c>
      <c r="HA50" s="166">
        <v>0</v>
      </c>
      <c r="HB50" s="166">
        <v>0</v>
      </c>
      <c r="HC50" s="166">
        <v>0</v>
      </c>
      <c r="HD50" s="166">
        <v>0</v>
      </c>
      <c r="HE50" s="166">
        <v>0</v>
      </c>
      <c r="HF50" s="166">
        <v>0</v>
      </c>
      <c r="HG50" s="166">
        <v>0</v>
      </c>
      <c r="HH50" s="152">
        <v>0</v>
      </c>
      <c r="HI50" s="152">
        <v>0</v>
      </c>
      <c r="HJ50" s="152">
        <v>0</v>
      </c>
      <c r="HK50" s="152">
        <v>0</v>
      </c>
      <c r="HL50" s="152">
        <v>0</v>
      </c>
      <c r="HM50" s="152">
        <v>0</v>
      </c>
      <c r="HN50" s="152">
        <v>0</v>
      </c>
      <c r="HO50" s="152">
        <v>0</v>
      </c>
      <c r="HP50" s="152">
        <v>0</v>
      </c>
      <c r="HQ50" s="152">
        <v>0</v>
      </c>
      <c r="HR50" s="152">
        <v>0</v>
      </c>
      <c r="HS50" s="152">
        <v>0</v>
      </c>
      <c r="HT50" s="152">
        <v>0</v>
      </c>
      <c r="HU50" s="216"/>
      <c r="HV50" s="152">
        <v>0</v>
      </c>
      <c r="HW50" s="216"/>
      <c r="HX50" s="216"/>
      <c r="HY50" s="216"/>
      <c r="HZ50" s="216"/>
      <c r="IA50" s="216"/>
      <c r="IB50" s="216"/>
      <c r="IC50" s="216"/>
      <c r="ID50" s="216"/>
      <c r="IE50" s="216"/>
      <c r="IF50" s="216"/>
      <c r="IG50" s="216"/>
      <c r="IH50" s="216"/>
      <c r="II50" s="216"/>
      <c r="IJ50" s="216"/>
      <c r="IK50" s="216"/>
      <c r="IL50" s="216"/>
      <c r="IM50" s="216"/>
      <c r="IN50" s="216"/>
      <c r="IO50" s="216"/>
      <c r="IP50" s="216"/>
      <c r="IQ50" s="216"/>
      <c r="IR50" s="216"/>
      <c r="IS50" s="216"/>
      <c r="IT50" s="216"/>
      <c r="IU50" s="216"/>
      <c r="IV50" s="216"/>
      <c r="IW50" s="216"/>
      <c r="IX50" s="216"/>
      <c r="IY50" s="216"/>
      <c r="IZ50" s="216"/>
      <c r="JA50" s="216"/>
      <c r="JB50" s="216"/>
      <c r="JC50" s="216"/>
      <c r="JD50" s="216"/>
      <c r="JE50" s="216"/>
      <c r="JF50" s="216"/>
      <c r="JG50" s="216"/>
      <c r="JH50" s="216"/>
      <c r="JI50" s="216"/>
      <c r="JJ50" s="216"/>
      <c r="JK50" s="216"/>
      <c r="JL50" s="216"/>
      <c r="JM50" s="216"/>
      <c r="JN50" s="216"/>
      <c r="JO50" s="216"/>
      <c r="JP50" s="216"/>
      <c r="JQ50" s="216"/>
      <c r="JR50" s="216"/>
      <c r="JS50" s="216"/>
      <c r="JT50" s="216"/>
      <c r="JU50" s="216"/>
      <c r="JV50" s="216"/>
      <c r="JW50" s="216"/>
      <c r="JX50" s="216"/>
      <c r="JY50" s="216"/>
      <c r="JZ50" s="216"/>
      <c r="KA50" s="216"/>
      <c r="KB50" s="216"/>
      <c r="KC50" s="216"/>
      <c r="KD50" s="216"/>
      <c r="KE50" s="216"/>
      <c r="KF50" s="216"/>
      <c r="KG50" s="216"/>
      <c r="KH50" s="216"/>
      <c r="KI50" s="216"/>
      <c r="KJ50" s="216"/>
      <c r="KK50" s="216"/>
      <c r="KL50" s="216"/>
      <c r="KM50" s="216"/>
      <c r="KN50" s="216"/>
      <c r="KO50" s="216"/>
      <c r="KP50" s="216"/>
      <c r="KQ50" s="216"/>
      <c r="KR50" s="216"/>
      <c r="KS50" s="216"/>
      <c r="KT50" s="216"/>
      <c r="KU50" s="216"/>
      <c r="KV50" s="216"/>
      <c r="KW50" s="216"/>
      <c r="KX50" s="216"/>
      <c r="KY50" s="216"/>
      <c r="KZ50" s="216"/>
      <c r="LA50" s="216"/>
      <c r="LB50" s="216"/>
      <c r="LC50" s="216"/>
      <c r="LD50" s="216"/>
      <c r="LE50" s="216"/>
    </row>
    <row r="51" spans="1:317" x14ac:dyDescent="0.2">
      <c r="A51" s="179" t="s">
        <v>849</v>
      </c>
      <c r="B51" s="180" t="s">
        <v>950</v>
      </c>
      <c r="C51" s="181"/>
      <c r="D51" s="182">
        <v>0</v>
      </c>
      <c r="E51" s="182">
        <v>0</v>
      </c>
      <c r="F51" s="183" t="s">
        <v>1234</v>
      </c>
      <c r="G51" s="183">
        <v>0</v>
      </c>
      <c r="H51" s="183">
        <v>0</v>
      </c>
      <c r="I51" s="183">
        <v>0</v>
      </c>
      <c r="J51" s="183">
        <v>0</v>
      </c>
      <c r="K51" s="183" t="s">
        <v>1374</v>
      </c>
      <c r="L51" s="183">
        <v>0</v>
      </c>
      <c r="M51" s="183">
        <v>0</v>
      </c>
      <c r="N51" s="183" t="s">
        <v>872</v>
      </c>
      <c r="O51" s="183">
        <v>0</v>
      </c>
      <c r="P51" s="183">
        <v>0</v>
      </c>
      <c r="Q51" s="183"/>
      <c r="R51" s="183"/>
      <c r="S51" s="183"/>
      <c r="T51" s="183"/>
      <c r="U51" s="183"/>
      <c r="V51" s="183">
        <v>0</v>
      </c>
      <c r="W51" s="183">
        <v>0</v>
      </c>
      <c r="X51" s="183">
        <v>0</v>
      </c>
      <c r="Y51" s="184">
        <v>9</v>
      </c>
      <c r="Z51" s="184">
        <v>28.97</v>
      </c>
      <c r="AA51" s="184">
        <v>0</v>
      </c>
      <c r="AB51" s="185" t="s">
        <v>615</v>
      </c>
      <c r="AC51" s="185" t="s">
        <v>615</v>
      </c>
      <c r="AD51" s="186" t="s">
        <v>872</v>
      </c>
      <c r="AE51" s="186" t="s">
        <v>852</v>
      </c>
      <c r="AF51" s="187">
        <v>7</v>
      </c>
      <c r="AG51" s="187">
        <v>3</v>
      </c>
      <c r="AH51" s="187">
        <v>4</v>
      </c>
      <c r="AI51" s="188">
        <v>1</v>
      </c>
      <c r="AJ51" s="188" t="s">
        <v>615</v>
      </c>
      <c r="AK51" s="187" t="s">
        <v>1737</v>
      </c>
      <c r="AL51" s="87" t="s">
        <v>615</v>
      </c>
      <c r="AM51" s="189"/>
      <c r="AN51" s="187" t="s">
        <v>615</v>
      </c>
      <c r="AO51" s="13" t="s">
        <v>615</v>
      </c>
      <c r="AP51" s="187">
        <v>1.1399999999999999</v>
      </c>
      <c r="AQ51" s="187">
        <v>12</v>
      </c>
      <c r="AR51" s="190">
        <v>0</v>
      </c>
      <c r="AS51" s="190">
        <v>9.6491228070175445</v>
      </c>
      <c r="AT51" s="190">
        <v>0</v>
      </c>
      <c r="AU51" s="187">
        <v>0</v>
      </c>
      <c r="AV51" s="187">
        <v>0</v>
      </c>
      <c r="AW51" s="191"/>
      <c r="AX51" s="192"/>
      <c r="AY51" s="193">
        <v>42666</v>
      </c>
      <c r="AZ51" s="193"/>
      <c r="BA51" s="193">
        <v>42796</v>
      </c>
      <c r="BB51" s="194"/>
      <c r="BC51" s="194"/>
      <c r="BD51" s="195"/>
      <c r="BE51" s="195" t="s">
        <v>532</v>
      </c>
      <c r="BF51" s="195"/>
      <c r="BG51" s="195">
        <v>20</v>
      </c>
      <c r="BH51" s="196" t="s">
        <v>547</v>
      </c>
      <c r="BI51" s="197">
        <v>1</v>
      </c>
      <c r="BJ51" s="198"/>
      <c r="BK51" s="199">
        <v>0</v>
      </c>
      <c r="BL51" s="13">
        <v>0</v>
      </c>
      <c r="BM51" s="13">
        <v>0</v>
      </c>
      <c r="BN51" s="13" t="s">
        <v>616</v>
      </c>
      <c r="BO51" s="13" t="s">
        <v>616</v>
      </c>
      <c r="BP51" s="200">
        <v>32</v>
      </c>
      <c r="BQ51" s="201"/>
      <c r="BR51" s="202"/>
      <c r="BS51" s="187">
        <v>1000000000</v>
      </c>
      <c r="BT51" s="203">
        <v>24</v>
      </c>
      <c r="BU51" s="204">
        <v>0</v>
      </c>
      <c r="BV51" s="203">
        <v>20</v>
      </c>
      <c r="BW51" s="205">
        <v>0</v>
      </c>
      <c r="BX51" s="205">
        <v>0</v>
      </c>
      <c r="BY51" s="205">
        <v>0</v>
      </c>
      <c r="BZ51" s="203">
        <v>0</v>
      </c>
      <c r="CA51" s="203">
        <v>0</v>
      </c>
      <c r="CB51" s="203">
        <v>44</v>
      </c>
      <c r="CC51" s="204">
        <v>0</v>
      </c>
      <c r="CD51" s="203">
        <v>0</v>
      </c>
      <c r="CE51" s="203">
        <v>0</v>
      </c>
      <c r="CF51" s="13">
        <v>0</v>
      </c>
      <c r="CG51" s="206">
        <v>0</v>
      </c>
      <c r="CH51" s="207">
        <v>0</v>
      </c>
      <c r="CI51" s="201"/>
      <c r="CJ51" s="208"/>
      <c r="CK51" s="209" t="s">
        <v>615</v>
      </c>
      <c r="CL51" s="210" t="s">
        <v>615</v>
      </c>
      <c r="CM51" s="207">
        <v>0</v>
      </c>
      <c r="CN51" s="207">
        <v>0</v>
      </c>
      <c r="CO51" s="204">
        <v>0</v>
      </c>
      <c r="CP51" s="204">
        <v>0</v>
      </c>
      <c r="CQ51" s="211"/>
      <c r="CR51" s="204">
        <v>1</v>
      </c>
      <c r="CS51" s="212">
        <v>42709</v>
      </c>
      <c r="CT51" s="212">
        <v>42780</v>
      </c>
      <c r="CU51" s="213">
        <v>42780</v>
      </c>
      <c r="CV51" s="214">
        <v>42829</v>
      </c>
      <c r="CW51" s="214" t="s">
        <v>615</v>
      </c>
      <c r="CX51" s="214" t="s">
        <v>615</v>
      </c>
      <c r="CY51" s="204">
        <v>0.2445605958067745</v>
      </c>
      <c r="CZ51" s="204">
        <v>0.97959183673469385</v>
      </c>
      <c r="DA51" s="203">
        <v>0</v>
      </c>
      <c r="DB51" s="204">
        <v>0</v>
      </c>
      <c r="DC51" s="204">
        <v>0</v>
      </c>
      <c r="DD51" s="204">
        <v>0</v>
      </c>
      <c r="DE51" s="204">
        <v>0</v>
      </c>
      <c r="DF51" s="215">
        <v>0.97959183673469385</v>
      </c>
      <c r="DG51" s="13" t="s">
        <v>615</v>
      </c>
      <c r="DH51" s="86">
        <v>49</v>
      </c>
      <c r="DI51" s="86"/>
      <c r="DJ51" s="86">
        <v>127</v>
      </c>
      <c r="DK51" s="86" t="s">
        <v>1459</v>
      </c>
      <c r="DL51" s="86">
        <v>22</v>
      </c>
      <c r="DM51" s="86">
        <v>55</v>
      </c>
      <c r="DN51" s="86" t="e">
        <v>#N/A</v>
      </c>
      <c r="DO51" s="86">
        <v>131</v>
      </c>
      <c r="DP51" s="86">
        <v>2</v>
      </c>
      <c r="DQ51" s="86">
        <v>49</v>
      </c>
      <c r="DR51" s="162">
        <v>29</v>
      </c>
      <c r="DS51" s="162">
        <v>29</v>
      </c>
      <c r="DT51" s="162">
        <v>29</v>
      </c>
      <c r="DU51" s="162">
        <v>29</v>
      </c>
      <c r="DV51" s="162">
        <v>29</v>
      </c>
      <c r="DW51" s="162">
        <v>29</v>
      </c>
      <c r="DX51" s="162">
        <v>29</v>
      </c>
      <c r="DY51" s="162">
        <v>29</v>
      </c>
      <c r="DZ51" s="162">
        <v>29</v>
      </c>
      <c r="EA51" s="162">
        <v>29</v>
      </c>
      <c r="EB51" s="162">
        <v>29</v>
      </c>
      <c r="EC51" s="162">
        <v>29</v>
      </c>
      <c r="ED51" s="162">
        <v>29</v>
      </c>
      <c r="EE51" s="162">
        <v>29</v>
      </c>
      <c r="EF51" s="162">
        <v>29</v>
      </c>
      <c r="EG51" s="162">
        <v>29</v>
      </c>
      <c r="EH51" s="162">
        <v>29</v>
      </c>
      <c r="EI51" s="162">
        <v>29</v>
      </c>
      <c r="EJ51" s="162">
        <v>29</v>
      </c>
      <c r="EK51" s="162">
        <v>29</v>
      </c>
      <c r="EL51" s="162">
        <v>29</v>
      </c>
      <c r="EM51" s="162">
        <v>29</v>
      </c>
      <c r="EN51" s="162">
        <v>29</v>
      </c>
      <c r="EO51" s="162">
        <v>29</v>
      </c>
      <c r="EP51" s="162">
        <v>29</v>
      </c>
      <c r="EQ51" s="162">
        <v>29</v>
      </c>
      <c r="ER51" s="162">
        <v>29</v>
      </c>
      <c r="ES51" s="162">
        <v>29</v>
      </c>
      <c r="ET51" s="162">
        <v>29</v>
      </c>
      <c r="EU51" s="162">
        <v>29</v>
      </c>
      <c r="EV51" s="162">
        <v>29</v>
      </c>
      <c r="EW51" s="163">
        <v>24</v>
      </c>
      <c r="EX51" s="163">
        <v>24</v>
      </c>
      <c r="EY51" s="163">
        <v>24</v>
      </c>
      <c r="EZ51" s="163">
        <v>24</v>
      </c>
      <c r="FA51" s="163">
        <v>24</v>
      </c>
      <c r="FB51" s="163">
        <v>24</v>
      </c>
      <c r="FC51" s="163">
        <v>24</v>
      </c>
      <c r="FD51" s="163">
        <v>24</v>
      </c>
      <c r="FE51" s="163">
        <v>24</v>
      </c>
      <c r="FF51" s="163">
        <v>24</v>
      </c>
      <c r="FG51" s="163">
        <v>24</v>
      </c>
      <c r="FH51" s="163">
        <v>24</v>
      </c>
      <c r="FI51" s="163">
        <v>24</v>
      </c>
      <c r="FJ51" s="163">
        <v>24</v>
      </c>
      <c r="FK51" s="163">
        <v>24</v>
      </c>
      <c r="FL51" s="163">
        <v>24</v>
      </c>
      <c r="FM51" s="163">
        <v>24</v>
      </c>
      <c r="FN51" s="163">
        <v>24</v>
      </c>
      <c r="FO51" s="163">
        <v>24</v>
      </c>
      <c r="FP51" s="163">
        <v>24</v>
      </c>
      <c r="FQ51" s="163">
        <v>24</v>
      </c>
      <c r="FR51" s="163">
        <v>24</v>
      </c>
      <c r="FS51" s="163">
        <v>24</v>
      </c>
      <c r="FT51" s="163">
        <v>24</v>
      </c>
      <c r="FU51" s="163">
        <v>24</v>
      </c>
      <c r="FV51" s="163">
        <v>24</v>
      </c>
      <c r="FW51" s="163">
        <v>24</v>
      </c>
      <c r="FX51" s="163">
        <v>24</v>
      </c>
      <c r="FY51" s="163">
        <v>24</v>
      </c>
      <c r="FZ51" s="163">
        <v>24</v>
      </c>
      <c r="GA51" s="163">
        <v>24</v>
      </c>
      <c r="GB51" s="163">
        <v>24</v>
      </c>
      <c r="GC51" s="163">
        <v>24</v>
      </c>
      <c r="GD51" s="163">
        <v>24</v>
      </c>
      <c r="GE51" s="163">
        <v>24</v>
      </c>
      <c r="GF51" s="163">
        <v>24</v>
      </c>
      <c r="GG51" s="163">
        <v>24</v>
      </c>
      <c r="GH51" s="163">
        <v>24</v>
      </c>
      <c r="GI51" s="163">
        <v>24</v>
      </c>
      <c r="GJ51" s="163">
        <v>21</v>
      </c>
      <c r="GK51" s="163">
        <v>21</v>
      </c>
      <c r="GL51" s="163">
        <v>21</v>
      </c>
      <c r="GM51" s="163">
        <v>21</v>
      </c>
      <c r="GN51" s="163">
        <v>21</v>
      </c>
      <c r="GO51" s="163">
        <v>21</v>
      </c>
      <c r="GP51" s="163">
        <v>21</v>
      </c>
      <c r="GQ51" s="163">
        <v>21</v>
      </c>
      <c r="GR51" s="163">
        <v>21</v>
      </c>
      <c r="GS51" s="163">
        <v>21</v>
      </c>
      <c r="GT51" s="163">
        <v>21</v>
      </c>
      <c r="GU51" s="163">
        <v>21</v>
      </c>
      <c r="GV51" s="163">
        <v>21</v>
      </c>
      <c r="GW51" s="163">
        <v>21</v>
      </c>
      <c r="GX51" s="163">
        <v>21</v>
      </c>
      <c r="GY51" s="163">
        <v>21</v>
      </c>
      <c r="GZ51" s="163">
        <v>21</v>
      </c>
      <c r="HA51" s="163">
        <v>21</v>
      </c>
      <c r="HB51" s="163">
        <v>21</v>
      </c>
      <c r="HC51" s="163">
        <v>21</v>
      </c>
      <c r="HD51" s="163">
        <v>16</v>
      </c>
      <c r="HE51" s="163">
        <v>16</v>
      </c>
      <c r="HF51" s="163">
        <v>16</v>
      </c>
      <c r="HG51" s="163">
        <v>16</v>
      </c>
      <c r="HH51" s="146">
        <v>16</v>
      </c>
      <c r="HI51" s="146">
        <v>16</v>
      </c>
      <c r="HJ51" s="146">
        <v>16</v>
      </c>
      <c r="HK51" s="146">
        <v>16</v>
      </c>
      <c r="HL51" s="146">
        <v>16</v>
      </c>
      <c r="HM51" s="146">
        <v>16</v>
      </c>
      <c r="HN51" s="146">
        <v>16</v>
      </c>
      <c r="HO51" s="146">
        <v>11</v>
      </c>
      <c r="HP51" s="146">
        <v>11</v>
      </c>
      <c r="HQ51" s="146">
        <v>11</v>
      </c>
      <c r="HR51" s="146">
        <v>11</v>
      </c>
      <c r="HS51" s="146">
        <v>1</v>
      </c>
      <c r="HT51" s="146">
        <v>24</v>
      </c>
      <c r="HU51" s="151"/>
      <c r="HV51" s="146">
        <v>24</v>
      </c>
      <c r="HW51" s="151"/>
      <c r="HX51" s="151"/>
      <c r="HY51" s="151"/>
      <c r="HZ51" s="151"/>
      <c r="IA51" s="151"/>
      <c r="IB51" s="151"/>
      <c r="IC51" s="151"/>
      <c r="ID51" s="151"/>
      <c r="IE51" s="151"/>
      <c r="IF51" s="151"/>
      <c r="IG51" s="151"/>
      <c r="IH51" s="151"/>
      <c r="II51" s="151"/>
      <c r="IJ51" s="151"/>
      <c r="IK51" s="151"/>
      <c r="IL51" s="151"/>
      <c r="IM51" s="151"/>
      <c r="IN51" s="151"/>
      <c r="IO51" s="151"/>
      <c r="IP51" s="151"/>
      <c r="IQ51" s="151"/>
      <c r="IR51" s="151"/>
      <c r="IS51" s="151"/>
      <c r="IT51" s="151"/>
      <c r="IU51" s="151"/>
      <c r="IV51" s="151"/>
      <c r="IW51" s="151"/>
      <c r="IX51" s="151"/>
      <c r="IY51" s="151"/>
      <c r="IZ51" s="151"/>
      <c r="JA51" s="151"/>
      <c r="JB51" s="151"/>
      <c r="JC51" s="151"/>
      <c r="JD51" s="151"/>
      <c r="JE51" s="151"/>
      <c r="JF51" s="151"/>
      <c r="JG51" s="151"/>
      <c r="JH51" s="151"/>
      <c r="JI51" s="151"/>
      <c r="JJ51" s="151"/>
      <c r="JK51" s="151"/>
      <c r="JL51" s="151"/>
      <c r="JM51" s="151"/>
      <c r="JN51" s="151"/>
      <c r="JO51" s="151"/>
      <c r="JP51" s="151"/>
      <c r="JQ51" s="151"/>
      <c r="JR51" s="151"/>
      <c r="JS51" s="151"/>
      <c r="JT51" s="151"/>
      <c r="JU51" s="151"/>
      <c r="JV51" s="151"/>
      <c r="JW51" s="151"/>
      <c r="JX51" s="151"/>
      <c r="JY51" s="151"/>
      <c r="JZ51" s="151"/>
      <c r="KA51" s="151"/>
      <c r="KB51" s="151"/>
      <c r="KC51" s="151"/>
      <c r="KD51" s="151"/>
      <c r="KE51" s="151"/>
      <c r="KF51" s="151"/>
      <c r="KG51" s="151"/>
      <c r="KH51" s="151"/>
      <c r="KI51" s="151"/>
      <c r="KJ51" s="151"/>
      <c r="KK51" s="151"/>
      <c r="KL51" s="151"/>
      <c r="KM51" s="151"/>
      <c r="KN51" s="151"/>
      <c r="KO51" s="151"/>
      <c r="KP51" s="151"/>
      <c r="KQ51" s="151"/>
      <c r="KR51" s="151"/>
      <c r="KS51" s="151"/>
      <c r="KT51" s="151"/>
      <c r="KU51" s="151"/>
      <c r="KV51" s="151"/>
      <c r="KW51" s="151"/>
      <c r="KX51" s="151"/>
      <c r="KY51" s="151"/>
      <c r="KZ51" s="151"/>
      <c r="LA51" s="151"/>
      <c r="LB51" s="151"/>
      <c r="LC51" s="151"/>
      <c r="LD51" s="151"/>
      <c r="LE51" s="151"/>
    </row>
    <row r="52" spans="1:317" x14ac:dyDescent="0.2">
      <c r="A52" s="179" t="s">
        <v>849</v>
      </c>
      <c r="B52" s="180" t="s">
        <v>951</v>
      </c>
      <c r="C52" s="181"/>
      <c r="D52" s="182">
        <v>0</v>
      </c>
      <c r="E52" s="182">
        <v>0</v>
      </c>
      <c r="F52" s="183" t="s">
        <v>1235</v>
      </c>
      <c r="G52" s="183">
        <v>0</v>
      </c>
      <c r="H52" s="183">
        <v>0</v>
      </c>
      <c r="I52" s="183">
        <v>0</v>
      </c>
      <c r="J52" s="183">
        <v>0</v>
      </c>
      <c r="K52" s="183" t="s">
        <v>1374</v>
      </c>
      <c r="L52" s="183">
        <v>0</v>
      </c>
      <c r="M52" s="183">
        <v>0</v>
      </c>
      <c r="N52" s="183" t="s">
        <v>872</v>
      </c>
      <c r="O52" s="183">
        <v>0</v>
      </c>
      <c r="P52" s="183">
        <v>0</v>
      </c>
      <c r="Q52" s="183"/>
      <c r="R52" s="183"/>
      <c r="S52" s="183"/>
      <c r="T52" s="183"/>
      <c r="U52" s="183"/>
      <c r="V52" s="183">
        <v>0</v>
      </c>
      <c r="W52" s="183">
        <v>0</v>
      </c>
      <c r="X52" s="183">
        <v>0</v>
      </c>
      <c r="Y52" s="184">
        <v>0</v>
      </c>
      <c r="Z52" s="184">
        <v>28.97</v>
      </c>
      <c r="AA52" s="184">
        <v>0</v>
      </c>
      <c r="AB52" s="185" t="s">
        <v>615</v>
      </c>
      <c r="AC52" s="185" t="s">
        <v>615</v>
      </c>
      <c r="AD52" s="186" t="s">
        <v>872</v>
      </c>
      <c r="AE52" s="186" t="s">
        <v>852</v>
      </c>
      <c r="AF52" s="187">
        <v>7</v>
      </c>
      <c r="AG52" s="187">
        <v>3</v>
      </c>
      <c r="AH52" s="187">
        <v>4</v>
      </c>
      <c r="AI52" s="188">
        <v>1</v>
      </c>
      <c r="AJ52" s="188" t="s">
        <v>615</v>
      </c>
      <c r="AK52" s="187" t="s">
        <v>1736</v>
      </c>
      <c r="AL52" s="87" t="s">
        <v>615</v>
      </c>
      <c r="AM52" s="189"/>
      <c r="AN52" s="187" t="s">
        <v>615</v>
      </c>
      <c r="AO52" s="13" t="s">
        <v>615</v>
      </c>
      <c r="AP52" s="187">
        <v>0</v>
      </c>
      <c r="AQ52" s="187">
        <v>0</v>
      </c>
      <c r="AR52" s="190">
        <v>0</v>
      </c>
      <c r="AS52" s="190">
        <v>0</v>
      </c>
      <c r="AT52" s="190">
        <v>0</v>
      </c>
      <c r="AU52" s="187">
        <v>0</v>
      </c>
      <c r="AV52" s="187">
        <v>0</v>
      </c>
      <c r="AW52" s="191"/>
      <c r="AX52" s="192"/>
      <c r="AY52" s="193">
        <v>42666</v>
      </c>
      <c r="AZ52" s="193"/>
      <c r="BA52" s="193"/>
      <c r="BB52" s="194"/>
      <c r="BC52" s="194"/>
      <c r="BD52" s="195"/>
      <c r="BE52" s="195" t="s">
        <v>532</v>
      </c>
      <c r="BF52" s="195"/>
      <c r="BG52" s="195">
        <v>20</v>
      </c>
      <c r="BH52" s="196" t="s">
        <v>547</v>
      </c>
      <c r="BI52" s="197">
        <v>1</v>
      </c>
      <c r="BJ52" s="198"/>
      <c r="BK52" s="199">
        <v>0</v>
      </c>
      <c r="BL52" s="13">
        <v>0</v>
      </c>
      <c r="BM52" s="13">
        <v>0</v>
      </c>
      <c r="BN52" s="13" t="s">
        <v>616</v>
      </c>
      <c r="BO52" s="13" t="s">
        <v>616</v>
      </c>
      <c r="BP52" s="200">
        <v>20</v>
      </c>
      <c r="BQ52" s="201"/>
      <c r="BR52" s="202"/>
      <c r="BS52" s="187">
        <v>1000000000</v>
      </c>
      <c r="BT52" s="203">
        <v>0</v>
      </c>
      <c r="BU52" s="204">
        <v>0</v>
      </c>
      <c r="BV52" s="203">
        <v>0</v>
      </c>
      <c r="BW52" s="205">
        <v>0</v>
      </c>
      <c r="BX52" s="205">
        <v>0</v>
      </c>
      <c r="BY52" s="205">
        <v>0</v>
      </c>
      <c r="BZ52" s="203">
        <v>0</v>
      </c>
      <c r="CA52" s="203">
        <v>0</v>
      </c>
      <c r="CB52" s="203">
        <v>0</v>
      </c>
      <c r="CC52" s="204">
        <v>0</v>
      </c>
      <c r="CD52" s="203">
        <v>0</v>
      </c>
      <c r="CE52" s="203">
        <v>0</v>
      </c>
      <c r="CF52" s="13">
        <v>0</v>
      </c>
      <c r="CG52" s="206">
        <v>0</v>
      </c>
      <c r="CH52" s="207">
        <v>0</v>
      </c>
      <c r="CI52" s="201"/>
      <c r="CJ52" s="208"/>
      <c r="CK52" s="209" t="s">
        <v>615</v>
      </c>
      <c r="CL52" s="210" t="s">
        <v>615</v>
      </c>
      <c r="CM52" s="207">
        <v>0</v>
      </c>
      <c r="CN52" s="207">
        <v>0</v>
      </c>
      <c r="CO52" s="204">
        <v>0</v>
      </c>
      <c r="CP52" s="204">
        <v>0</v>
      </c>
      <c r="CQ52" s="211"/>
      <c r="CR52" s="204">
        <v>1</v>
      </c>
      <c r="CS52" s="212">
        <v>42531</v>
      </c>
      <c r="CT52" s="212">
        <v>42780</v>
      </c>
      <c r="CU52" s="213">
        <v>42780</v>
      </c>
      <c r="CV52" s="214">
        <v>42829</v>
      </c>
      <c r="CW52" s="214" t="s">
        <v>615</v>
      </c>
      <c r="CX52" s="214" t="s">
        <v>615</v>
      </c>
      <c r="CY52" s="204">
        <v>1</v>
      </c>
      <c r="CZ52" s="204">
        <v>0.97959183673469385</v>
      </c>
      <c r="DA52" s="203">
        <v>0</v>
      </c>
      <c r="DB52" s="204">
        <v>0.97959183673469385</v>
      </c>
      <c r="DC52" s="204">
        <v>0</v>
      </c>
      <c r="DD52" s="204">
        <v>0</v>
      </c>
      <c r="DE52" s="204">
        <v>0</v>
      </c>
      <c r="DF52" s="215">
        <v>0</v>
      </c>
      <c r="DG52" s="13" t="s">
        <v>615</v>
      </c>
      <c r="DH52" s="86">
        <v>50</v>
      </c>
      <c r="DI52" s="86"/>
      <c r="DJ52" s="86">
        <v>126</v>
      </c>
      <c r="DK52" s="86" t="s">
        <v>1598</v>
      </c>
      <c r="DL52" s="86" t="e">
        <v>#N/A</v>
      </c>
      <c r="DM52" s="86" t="e">
        <v>#N/A</v>
      </c>
      <c r="DN52" s="86" t="e">
        <v>#N/A</v>
      </c>
      <c r="DO52" s="86">
        <v>130</v>
      </c>
      <c r="DP52" s="86">
        <v>2</v>
      </c>
      <c r="DQ52" s="86">
        <v>49</v>
      </c>
      <c r="DR52" s="152">
        <v>0</v>
      </c>
      <c r="DS52" s="152">
        <v>0</v>
      </c>
      <c r="DT52" s="152">
        <v>0</v>
      </c>
      <c r="DU52" s="152">
        <v>0</v>
      </c>
      <c r="DV52" s="152">
        <v>0</v>
      </c>
      <c r="DW52" s="152">
        <v>0</v>
      </c>
      <c r="DX52" s="152">
        <v>0</v>
      </c>
      <c r="DY52" s="152">
        <v>0</v>
      </c>
      <c r="DZ52" s="152">
        <v>0</v>
      </c>
      <c r="EA52" s="152">
        <v>0</v>
      </c>
      <c r="EB52" s="152">
        <v>0</v>
      </c>
      <c r="EC52" s="152">
        <v>0</v>
      </c>
      <c r="ED52" s="152">
        <v>0</v>
      </c>
      <c r="EE52" s="152">
        <v>0</v>
      </c>
      <c r="EF52" s="152">
        <v>0</v>
      </c>
      <c r="EG52" s="152">
        <v>0</v>
      </c>
      <c r="EH52" s="152">
        <v>0</v>
      </c>
      <c r="EI52" s="152">
        <v>0</v>
      </c>
      <c r="EJ52" s="152">
        <v>0</v>
      </c>
      <c r="EK52" s="152">
        <v>0</v>
      </c>
      <c r="EL52" s="152">
        <v>0</v>
      </c>
      <c r="EM52" s="152">
        <v>0</v>
      </c>
      <c r="EN52" s="152">
        <v>0</v>
      </c>
      <c r="EO52" s="152">
        <v>0</v>
      </c>
      <c r="EP52" s="152">
        <v>0</v>
      </c>
      <c r="EQ52" s="152">
        <v>0</v>
      </c>
      <c r="ER52" s="152">
        <v>0</v>
      </c>
      <c r="ES52" s="152">
        <v>0</v>
      </c>
      <c r="ET52" s="152">
        <v>0</v>
      </c>
      <c r="EU52" s="152">
        <v>0</v>
      </c>
      <c r="EV52" s="152">
        <v>0</v>
      </c>
      <c r="EW52" s="152">
        <v>0</v>
      </c>
      <c r="EX52" s="152">
        <v>0</v>
      </c>
      <c r="EY52" s="152">
        <v>0</v>
      </c>
      <c r="EZ52" s="152">
        <v>0</v>
      </c>
      <c r="FA52" s="152">
        <v>0</v>
      </c>
      <c r="FB52" s="152">
        <v>0</v>
      </c>
      <c r="FC52" s="152">
        <v>0</v>
      </c>
      <c r="FD52" s="152">
        <v>0</v>
      </c>
      <c r="FE52" s="152">
        <v>0</v>
      </c>
      <c r="FF52" s="152">
        <v>0</v>
      </c>
      <c r="FG52" s="152">
        <v>0</v>
      </c>
      <c r="FH52" s="152">
        <v>0</v>
      </c>
      <c r="FI52" s="152">
        <v>0</v>
      </c>
      <c r="FJ52" s="152">
        <v>0</v>
      </c>
      <c r="FK52" s="152">
        <v>0</v>
      </c>
      <c r="FL52" s="152">
        <v>0</v>
      </c>
      <c r="FM52" s="152">
        <v>0</v>
      </c>
      <c r="FN52" s="152">
        <v>0</v>
      </c>
      <c r="FO52" s="152">
        <v>0</v>
      </c>
      <c r="FP52" s="152">
        <v>0</v>
      </c>
      <c r="FQ52" s="152">
        <v>0</v>
      </c>
      <c r="FR52" s="152">
        <v>0</v>
      </c>
      <c r="FS52" s="166">
        <v>0</v>
      </c>
      <c r="FT52" s="166">
        <v>0</v>
      </c>
      <c r="FU52" s="166">
        <v>0</v>
      </c>
      <c r="FV52" s="166">
        <v>0</v>
      </c>
      <c r="FW52" s="166">
        <v>0</v>
      </c>
      <c r="FX52" s="166">
        <v>0</v>
      </c>
      <c r="FY52" s="166">
        <v>0</v>
      </c>
      <c r="FZ52" s="166">
        <v>0</v>
      </c>
      <c r="GA52" s="166">
        <v>0</v>
      </c>
      <c r="GB52" s="166">
        <v>0</v>
      </c>
      <c r="GC52" s="166">
        <v>0</v>
      </c>
      <c r="GD52" s="166">
        <v>0</v>
      </c>
      <c r="GE52" s="166">
        <v>0</v>
      </c>
      <c r="GF52" s="166">
        <v>0</v>
      </c>
      <c r="GG52" s="166">
        <v>0</v>
      </c>
      <c r="GH52" s="166">
        <v>0</v>
      </c>
      <c r="GI52" s="166">
        <v>0</v>
      </c>
      <c r="GJ52" s="166">
        <v>0</v>
      </c>
      <c r="GK52" s="166">
        <v>0</v>
      </c>
      <c r="GL52" s="166">
        <v>0</v>
      </c>
      <c r="GM52" s="166">
        <v>0</v>
      </c>
      <c r="GN52" s="166">
        <v>0</v>
      </c>
      <c r="GO52" s="166">
        <v>0</v>
      </c>
      <c r="GP52" s="166">
        <v>0</v>
      </c>
      <c r="GQ52" s="166">
        <v>0</v>
      </c>
      <c r="GR52" s="166">
        <v>0</v>
      </c>
      <c r="GS52" s="166">
        <v>0</v>
      </c>
      <c r="GT52" s="166">
        <v>0</v>
      </c>
      <c r="GU52" s="166">
        <v>0</v>
      </c>
      <c r="GV52" s="166">
        <v>0</v>
      </c>
      <c r="GW52" s="166">
        <v>0</v>
      </c>
      <c r="GX52" s="166">
        <v>0</v>
      </c>
      <c r="GY52" s="166">
        <v>0</v>
      </c>
      <c r="GZ52" s="166">
        <v>0</v>
      </c>
      <c r="HA52" s="166">
        <v>0</v>
      </c>
      <c r="HB52" s="166">
        <v>0</v>
      </c>
      <c r="HC52" s="166">
        <v>0</v>
      </c>
      <c r="HD52" s="166">
        <v>0</v>
      </c>
      <c r="HE52" s="166">
        <v>0</v>
      </c>
      <c r="HF52" s="166">
        <v>0</v>
      </c>
      <c r="HG52" s="166">
        <v>0</v>
      </c>
      <c r="HH52" s="152">
        <v>0</v>
      </c>
      <c r="HI52" s="152">
        <v>0</v>
      </c>
      <c r="HJ52" s="152">
        <v>0</v>
      </c>
      <c r="HK52" s="152">
        <v>0</v>
      </c>
      <c r="HL52" s="152">
        <v>0</v>
      </c>
      <c r="HM52" s="152">
        <v>0</v>
      </c>
      <c r="HN52" s="152">
        <v>0</v>
      </c>
      <c r="HO52" s="152">
        <v>0</v>
      </c>
      <c r="HP52" s="152">
        <v>0</v>
      </c>
      <c r="HQ52" s="152">
        <v>0</v>
      </c>
      <c r="HR52" s="152">
        <v>0</v>
      </c>
      <c r="HS52" s="152">
        <v>0</v>
      </c>
      <c r="HT52" s="152">
        <v>0</v>
      </c>
      <c r="HU52" s="216"/>
      <c r="HV52" s="152">
        <v>0</v>
      </c>
      <c r="HW52" s="216"/>
      <c r="HX52" s="216"/>
      <c r="HY52" s="216"/>
      <c r="HZ52" s="216"/>
      <c r="IA52" s="216"/>
      <c r="IB52" s="216"/>
      <c r="IC52" s="216"/>
      <c r="ID52" s="216"/>
      <c r="IE52" s="216"/>
      <c r="IF52" s="216"/>
      <c r="IG52" s="216"/>
      <c r="IH52" s="216"/>
      <c r="II52" s="216"/>
      <c r="IJ52" s="216"/>
      <c r="IK52" s="216"/>
      <c r="IL52" s="216"/>
      <c r="IM52" s="216"/>
      <c r="IN52" s="216"/>
      <c r="IO52" s="216"/>
      <c r="IP52" s="216"/>
      <c r="IQ52" s="216"/>
      <c r="IR52" s="216"/>
      <c r="IS52" s="216"/>
      <c r="IT52" s="216"/>
      <c r="IU52" s="216"/>
      <c r="IV52" s="216"/>
      <c r="IW52" s="216"/>
      <c r="IX52" s="216"/>
      <c r="IY52" s="216"/>
      <c r="IZ52" s="216"/>
      <c r="JA52" s="216"/>
      <c r="JB52" s="216"/>
      <c r="JC52" s="216"/>
      <c r="JD52" s="216"/>
      <c r="JE52" s="216"/>
      <c r="JF52" s="216"/>
      <c r="JG52" s="216"/>
      <c r="JH52" s="216"/>
      <c r="JI52" s="216"/>
      <c r="JJ52" s="216"/>
      <c r="JK52" s="216"/>
      <c r="JL52" s="216"/>
      <c r="JM52" s="216"/>
      <c r="JN52" s="216"/>
      <c r="JO52" s="216"/>
      <c r="JP52" s="216"/>
      <c r="JQ52" s="216"/>
      <c r="JR52" s="216"/>
      <c r="JS52" s="216"/>
      <c r="JT52" s="216"/>
      <c r="JU52" s="216"/>
      <c r="JV52" s="216"/>
      <c r="JW52" s="216"/>
      <c r="JX52" s="216"/>
      <c r="JY52" s="216"/>
      <c r="JZ52" s="216"/>
      <c r="KA52" s="216"/>
      <c r="KB52" s="216"/>
      <c r="KC52" s="216"/>
      <c r="KD52" s="216"/>
      <c r="KE52" s="216"/>
      <c r="KF52" s="216"/>
      <c r="KG52" s="216"/>
      <c r="KH52" s="216"/>
      <c r="KI52" s="216"/>
      <c r="KJ52" s="216"/>
      <c r="KK52" s="216"/>
      <c r="KL52" s="216"/>
      <c r="KM52" s="216"/>
      <c r="KN52" s="216"/>
      <c r="KO52" s="216"/>
      <c r="KP52" s="216"/>
      <c r="KQ52" s="216"/>
      <c r="KR52" s="216"/>
      <c r="KS52" s="216"/>
      <c r="KT52" s="216"/>
      <c r="KU52" s="216"/>
      <c r="KV52" s="216"/>
      <c r="KW52" s="216"/>
      <c r="KX52" s="216"/>
      <c r="KY52" s="216"/>
      <c r="KZ52" s="216"/>
      <c r="LA52" s="216"/>
      <c r="LB52" s="216"/>
      <c r="LC52" s="216"/>
      <c r="LD52" s="216"/>
      <c r="LE52" s="216"/>
    </row>
    <row r="53" spans="1:317" x14ac:dyDescent="0.2">
      <c r="A53" s="179" t="s">
        <v>849</v>
      </c>
      <c r="B53" s="180" t="s">
        <v>952</v>
      </c>
      <c r="C53" s="181"/>
      <c r="D53" s="182">
        <v>0</v>
      </c>
      <c r="E53" s="182">
        <v>0</v>
      </c>
      <c r="F53" s="183" t="s">
        <v>1236</v>
      </c>
      <c r="G53" s="183">
        <v>0</v>
      </c>
      <c r="H53" s="183">
        <v>0</v>
      </c>
      <c r="I53" s="183">
        <v>0</v>
      </c>
      <c r="J53" s="183">
        <v>0</v>
      </c>
      <c r="K53" s="183" t="s">
        <v>1374</v>
      </c>
      <c r="L53" s="183">
        <v>0</v>
      </c>
      <c r="M53" s="183">
        <v>0</v>
      </c>
      <c r="N53" s="183" t="s">
        <v>872</v>
      </c>
      <c r="O53" s="183">
        <v>0</v>
      </c>
      <c r="P53" s="183">
        <v>0</v>
      </c>
      <c r="Q53" s="183"/>
      <c r="R53" s="183"/>
      <c r="S53" s="183"/>
      <c r="T53" s="183"/>
      <c r="U53" s="183"/>
      <c r="V53" s="183">
        <v>0</v>
      </c>
      <c r="W53" s="183">
        <v>0</v>
      </c>
      <c r="X53" s="183">
        <v>0</v>
      </c>
      <c r="Y53" s="184">
        <v>0</v>
      </c>
      <c r="Z53" s="184">
        <v>28.97</v>
      </c>
      <c r="AA53" s="184">
        <v>0</v>
      </c>
      <c r="AB53" s="185" t="s">
        <v>615</v>
      </c>
      <c r="AC53" s="185" t="s">
        <v>615</v>
      </c>
      <c r="AD53" s="186" t="s">
        <v>872</v>
      </c>
      <c r="AE53" s="186" t="s">
        <v>852</v>
      </c>
      <c r="AF53" s="187">
        <v>7</v>
      </c>
      <c r="AG53" s="187">
        <v>3</v>
      </c>
      <c r="AH53" s="187">
        <v>4</v>
      </c>
      <c r="AI53" s="188">
        <v>1</v>
      </c>
      <c r="AJ53" s="188" t="s">
        <v>615</v>
      </c>
      <c r="AK53" s="187" t="s">
        <v>1736</v>
      </c>
      <c r="AL53" s="87" t="s">
        <v>615</v>
      </c>
      <c r="AM53" s="189"/>
      <c r="AN53" s="187" t="s">
        <v>615</v>
      </c>
      <c r="AO53" s="13" t="s">
        <v>615</v>
      </c>
      <c r="AP53" s="187">
        <v>0</v>
      </c>
      <c r="AQ53" s="187">
        <v>0</v>
      </c>
      <c r="AR53" s="190">
        <v>0</v>
      </c>
      <c r="AS53" s="190">
        <v>0</v>
      </c>
      <c r="AT53" s="190">
        <v>0</v>
      </c>
      <c r="AU53" s="187">
        <v>0</v>
      </c>
      <c r="AV53" s="187">
        <v>0</v>
      </c>
      <c r="AW53" s="191"/>
      <c r="AX53" s="192"/>
      <c r="AY53" s="193">
        <v>42666</v>
      </c>
      <c r="AZ53" s="193"/>
      <c r="BA53" s="193"/>
      <c r="BB53" s="194"/>
      <c r="BC53" s="194"/>
      <c r="BD53" s="195"/>
      <c r="BE53" s="195" t="s">
        <v>532</v>
      </c>
      <c r="BF53" s="195"/>
      <c r="BG53" s="195">
        <v>20</v>
      </c>
      <c r="BH53" s="196" t="s">
        <v>547</v>
      </c>
      <c r="BI53" s="197">
        <v>1</v>
      </c>
      <c r="BJ53" s="198"/>
      <c r="BK53" s="199">
        <v>0</v>
      </c>
      <c r="BL53" s="13">
        <v>0</v>
      </c>
      <c r="BM53" s="13">
        <v>0</v>
      </c>
      <c r="BN53" s="13" t="s">
        <v>616</v>
      </c>
      <c r="BO53" s="13" t="s">
        <v>616</v>
      </c>
      <c r="BP53" s="200">
        <v>20</v>
      </c>
      <c r="BQ53" s="201"/>
      <c r="BR53" s="202"/>
      <c r="BS53" s="187">
        <v>1000000000</v>
      </c>
      <c r="BT53" s="203">
        <v>0</v>
      </c>
      <c r="BU53" s="204">
        <v>0</v>
      </c>
      <c r="BV53" s="203">
        <v>0</v>
      </c>
      <c r="BW53" s="205">
        <v>0</v>
      </c>
      <c r="BX53" s="205">
        <v>0</v>
      </c>
      <c r="BY53" s="205">
        <v>0</v>
      </c>
      <c r="BZ53" s="203">
        <v>0</v>
      </c>
      <c r="CA53" s="203">
        <v>0</v>
      </c>
      <c r="CB53" s="203">
        <v>0</v>
      </c>
      <c r="CC53" s="204">
        <v>0</v>
      </c>
      <c r="CD53" s="203">
        <v>0</v>
      </c>
      <c r="CE53" s="203">
        <v>0</v>
      </c>
      <c r="CF53" s="13">
        <v>0</v>
      </c>
      <c r="CG53" s="206">
        <v>0</v>
      </c>
      <c r="CH53" s="207">
        <v>0</v>
      </c>
      <c r="CI53" s="201"/>
      <c r="CJ53" s="208"/>
      <c r="CK53" s="209" t="s">
        <v>615</v>
      </c>
      <c r="CL53" s="210" t="s">
        <v>615</v>
      </c>
      <c r="CM53" s="207">
        <v>0</v>
      </c>
      <c r="CN53" s="207">
        <v>0</v>
      </c>
      <c r="CO53" s="204">
        <v>0</v>
      </c>
      <c r="CP53" s="204">
        <v>0</v>
      </c>
      <c r="CQ53" s="211"/>
      <c r="CR53" s="204">
        <v>1</v>
      </c>
      <c r="CS53" s="212">
        <v>42531</v>
      </c>
      <c r="CT53" s="212">
        <v>42780</v>
      </c>
      <c r="CU53" s="213">
        <v>42780</v>
      </c>
      <c r="CV53" s="214">
        <v>42829</v>
      </c>
      <c r="CW53" s="214" t="s">
        <v>615</v>
      </c>
      <c r="CX53" s="214" t="s">
        <v>615</v>
      </c>
      <c r="CY53" s="204">
        <v>1</v>
      </c>
      <c r="CZ53" s="204">
        <v>0.97959183673469385</v>
      </c>
      <c r="DA53" s="203">
        <v>0</v>
      </c>
      <c r="DB53" s="204">
        <v>0.97959183673469385</v>
      </c>
      <c r="DC53" s="204">
        <v>0</v>
      </c>
      <c r="DD53" s="204">
        <v>0</v>
      </c>
      <c r="DE53" s="204">
        <v>0</v>
      </c>
      <c r="DF53" s="215">
        <v>0</v>
      </c>
      <c r="DG53" s="13" t="s">
        <v>615</v>
      </c>
      <c r="DH53" s="86">
        <v>51</v>
      </c>
      <c r="DI53" s="86"/>
      <c r="DJ53" s="86">
        <v>125</v>
      </c>
      <c r="DK53" s="86" t="s">
        <v>1597</v>
      </c>
      <c r="DL53" s="86" t="e">
        <v>#N/A</v>
      </c>
      <c r="DM53" s="86" t="e">
        <v>#N/A</v>
      </c>
      <c r="DN53" s="86" t="e">
        <v>#N/A</v>
      </c>
      <c r="DO53" s="86">
        <v>129</v>
      </c>
      <c r="DP53" s="86">
        <v>2</v>
      </c>
      <c r="DQ53" s="86">
        <v>49</v>
      </c>
      <c r="DR53" s="146">
        <v>0</v>
      </c>
      <c r="DS53" s="146">
        <v>0</v>
      </c>
      <c r="DT53" s="146">
        <v>0</v>
      </c>
      <c r="DU53" s="146">
        <v>0</v>
      </c>
      <c r="DV53" s="146">
        <v>0</v>
      </c>
      <c r="DW53" s="146">
        <v>0</v>
      </c>
      <c r="DX53" s="146">
        <v>0</v>
      </c>
      <c r="DY53" s="146">
        <v>0</v>
      </c>
      <c r="DZ53" s="146">
        <v>0</v>
      </c>
      <c r="EA53" s="146">
        <v>0</v>
      </c>
      <c r="EB53" s="146">
        <v>0</v>
      </c>
      <c r="EC53" s="146">
        <v>0</v>
      </c>
      <c r="ED53" s="146">
        <v>0</v>
      </c>
      <c r="EE53" s="146">
        <v>0</v>
      </c>
      <c r="EF53" s="146">
        <v>0</v>
      </c>
      <c r="EG53" s="146">
        <v>0</v>
      </c>
      <c r="EH53" s="146">
        <v>0</v>
      </c>
      <c r="EI53" s="146">
        <v>0</v>
      </c>
      <c r="EJ53" s="146">
        <v>0</v>
      </c>
      <c r="EK53" s="146">
        <v>0</v>
      </c>
      <c r="EL53" s="146">
        <v>0</v>
      </c>
      <c r="EM53" s="146">
        <v>0</v>
      </c>
      <c r="EN53" s="146">
        <v>0</v>
      </c>
      <c r="EO53" s="146">
        <v>0</v>
      </c>
      <c r="EP53" s="146">
        <v>0</v>
      </c>
      <c r="EQ53" s="146">
        <v>0</v>
      </c>
      <c r="ER53" s="146">
        <v>0</v>
      </c>
      <c r="ES53" s="146">
        <v>0</v>
      </c>
      <c r="ET53" s="146">
        <v>0</v>
      </c>
      <c r="EU53" s="146">
        <v>0</v>
      </c>
      <c r="EV53" s="146">
        <v>0</v>
      </c>
      <c r="EW53" s="146">
        <v>0</v>
      </c>
      <c r="EX53" s="146">
        <v>0</v>
      </c>
      <c r="EY53" s="146">
        <v>0</v>
      </c>
      <c r="EZ53" s="146">
        <v>0</v>
      </c>
      <c r="FA53" s="146">
        <v>0</v>
      </c>
      <c r="FB53" s="146">
        <v>0</v>
      </c>
      <c r="FC53" s="146">
        <v>0</v>
      </c>
      <c r="FD53" s="146">
        <v>0</v>
      </c>
      <c r="FE53" s="146">
        <v>0</v>
      </c>
      <c r="FF53" s="146">
        <v>0</v>
      </c>
      <c r="FG53" s="146">
        <v>0</v>
      </c>
      <c r="FH53" s="146">
        <v>0</v>
      </c>
      <c r="FI53" s="146">
        <v>0</v>
      </c>
      <c r="FJ53" s="146">
        <v>0</v>
      </c>
      <c r="FK53" s="146">
        <v>0</v>
      </c>
      <c r="FL53" s="146">
        <v>0</v>
      </c>
      <c r="FM53" s="146">
        <v>0</v>
      </c>
      <c r="FN53" s="146">
        <v>0</v>
      </c>
      <c r="FO53" s="146">
        <v>0</v>
      </c>
      <c r="FP53" s="146">
        <v>0</v>
      </c>
      <c r="FQ53" s="146">
        <v>0</v>
      </c>
      <c r="FR53" s="146">
        <v>0</v>
      </c>
      <c r="FS53" s="160">
        <v>0</v>
      </c>
      <c r="FT53" s="160">
        <v>0</v>
      </c>
      <c r="FU53" s="160">
        <v>0</v>
      </c>
      <c r="FV53" s="160">
        <v>0</v>
      </c>
      <c r="FW53" s="160">
        <v>0</v>
      </c>
      <c r="FX53" s="160">
        <v>0</v>
      </c>
      <c r="FY53" s="160">
        <v>0</v>
      </c>
      <c r="FZ53" s="160">
        <v>0</v>
      </c>
      <c r="GA53" s="160">
        <v>0</v>
      </c>
      <c r="GB53" s="160">
        <v>0</v>
      </c>
      <c r="GC53" s="160">
        <v>0</v>
      </c>
      <c r="GD53" s="160">
        <v>0</v>
      </c>
      <c r="GE53" s="160">
        <v>0</v>
      </c>
      <c r="GF53" s="160">
        <v>0</v>
      </c>
      <c r="GG53" s="160">
        <v>0</v>
      </c>
      <c r="GH53" s="160">
        <v>0</v>
      </c>
      <c r="GI53" s="160">
        <v>0</v>
      </c>
      <c r="GJ53" s="160">
        <v>0</v>
      </c>
      <c r="GK53" s="160">
        <v>0</v>
      </c>
      <c r="GL53" s="160">
        <v>0</v>
      </c>
      <c r="GM53" s="160">
        <v>0</v>
      </c>
      <c r="GN53" s="160">
        <v>0</v>
      </c>
      <c r="GO53" s="160">
        <v>0</v>
      </c>
      <c r="GP53" s="160">
        <v>0</v>
      </c>
      <c r="GQ53" s="160">
        <v>0</v>
      </c>
      <c r="GR53" s="160">
        <v>0</v>
      </c>
      <c r="GS53" s="160">
        <v>0</v>
      </c>
      <c r="GT53" s="160">
        <v>0</v>
      </c>
      <c r="GU53" s="160">
        <v>0</v>
      </c>
      <c r="GV53" s="160">
        <v>0</v>
      </c>
      <c r="GW53" s="160">
        <v>0</v>
      </c>
      <c r="GX53" s="160">
        <v>0</v>
      </c>
      <c r="GY53" s="160">
        <v>0</v>
      </c>
      <c r="GZ53" s="160">
        <v>0</v>
      </c>
      <c r="HA53" s="160">
        <v>0</v>
      </c>
      <c r="HB53" s="160">
        <v>0</v>
      </c>
      <c r="HC53" s="160">
        <v>0</v>
      </c>
      <c r="HD53" s="160">
        <v>0</v>
      </c>
      <c r="HE53" s="160">
        <v>0</v>
      </c>
      <c r="HF53" s="160">
        <v>0</v>
      </c>
      <c r="HG53" s="160">
        <v>0</v>
      </c>
      <c r="HH53" s="146">
        <v>0</v>
      </c>
      <c r="HI53" s="146">
        <v>0</v>
      </c>
      <c r="HJ53" s="146">
        <v>0</v>
      </c>
      <c r="HK53" s="146">
        <v>0</v>
      </c>
      <c r="HL53" s="146">
        <v>0</v>
      </c>
      <c r="HM53" s="146">
        <v>0</v>
      </c>
      <c r="HN53" s="146">
        <v>0</v>
      </c>
      <c r="HO53" s="146">
        <v>0</v>
      </c>
      <c r="HP53" s="146">
        <v>0</v>
      </c>
      <c r="HQ53" s="146">
        <v>0</v>
      </c>
      <c r="HR53" s="146">
        <v>0</v>
      </c>
      <c r="HS53" s="146">
        <v>0</v>
      </c>
      <c r="HT53" s="146">
        <v>0</v>
      </c>
      <c r="HU53" s="151"/>
      <c r="HV53" s="146">
        <v>0</v>
      </c>
      <c r="HW53" s="151"/>
      <c r="HX53" s="151"/>
      <c r="HY53" s="151"/>
      <c r="HZ53" s="151"/>
      <c r="IA53" s="151"/>
      <c r="IB53" s="151"/>
      <c r="IC53" s="151"/>
      <c r="ID53" s="151"/>
      <c r="IE53" s="151"/>
      <c r="IF53" s="151"/>
      <c r="IG53" s="151"/>
      <c r="IH53" s="151"/>
      <c r="II53" s="151"/>
      <c r="IJ53" s="151"/>
      <c r="IK53" s="151"/>
      <c r="IL53" s="151"/>
      <c r="IM53" s="151"/>
      <c r="IN53" s="151"/>
      <c r="IO53" s="151"/>
      <c r="IP53" s="151"/>
      <c r="IQ53" s="151"/>
      <c r="IR53" s="151"/>
      <c r="IS53" s="151"/>
      <c r="IT53" s="151"/>
      <c r="IU53" s="151"/>
      <c r="IV53" s="151"/>
      <c r="IW53" s="151"/>
      <c r="IX53" s="151"/>
      <c r="IY53" s="151"/>
      <c r="IZ53" s="151"/>
      <c r="JA53" s="151"/>
      <c r="JB53" s="151"/>
      <c r="JC53" s="151"/>
      <c r="JD53" s="151"/>
      <c r="JE53" s="151"/>
      <c r="JF53" s="151"/>
      <c r="JG53" s="151"/>
      <c r="JH53" s="151"/>
      <c r="JI53" s="151"/>
      <c r="JJ53" s="151"/>
      <c r="JK53" s="151"/>
      <c r="JL53" s="151"/>
      <c r="JM53" s="151"/>
      <c r="JN53" s="151"/>
      <c r="JO53" s="151"/>
      <c r="JP53" s="151"/>
      <c r="JQ53" s="151"/>
      <c r="JR53" s="151"/>
      <c r="JS53" s="151"/>
      <c r="JT53" s="151"/>
      <c r="JU53" s="151"/>
      <c r="JV53" s="151"/>
      <c r="JW53" s="151"/>
      <c r="JX53" s="151"/>
      <c r="JY53" s="151"/>
      <c r="JZ53" s="151"/>
      <c r="KA53" s="151"/>
      <c r="KB53" s="151"/>
      <c r="KC53" s="151"/>
      <c r="KD53" s="151"/>
      <c r="KE53" s="151"/>
      <c r="KF53" s="151"/>
      <c r="KG53" s="151"/>
      <c r="KH53" s="151"/>
      <c r="KI53" s="151"/>
      <c r="KJ53" s="151"/>
      <c r="KK53" s="151"/>
      <c r="KL53" s="151"/>
      <c r="KM53" s="151"/>
      <c r="KN53" s="151"/>
      <c r="KO53" s="151"/>
      <c r="KP53" s="151"/>
      <c r="KQ53" s="151"/>
      <c r="KR53" s="151"/>
      <c r="KS53" s="151"/>
      <c r="KT53" s="151"/>
      <c r="KU53" s="151"/>
      <c r="KV53" s="151"/>
      <c r="KW53" s="151"/>
      <c r="KX53" s="151"/>
      <c r="KY53" s="151"/>
      <c r="KZ53" s="151"/>
      <c r="LA53" s="151"/>
      <c r="LB53" s="151"/>
      <c r="LC53" s="151"/>
      <c r="LD53" s="151"/>
      <c r="LE53" s="151"/>
    </row>
    <row r="54" spans="1:317" x14ac:dyDescent="0.2">
      <c r="A54" s="179" t="s">
        <v>849</v>
      </c>
      <c r="B54" s="180" t="s">
        <v>953</v>
      </c>
      <c r="C54" s="181"/>
      <c r="D54" s="182">
        <v>0</v>
      </c>
      <c r="E54" s="182">
        <v>0</v>
      </c>
      <c r="F54" s="183" t="s">
        <v>1237</v>
      </c>
      <c r="G54" s="183">
        <v>0</v>
      </c>
      <c r="H54" s="183">
        <v>0</v>
      </c>
      <c r="I54" s="183">
        <v>0</v>
      </c>
      <c r="J54" s="183">
        <v>0</v>
      </c>
      <c r="K54" s="183" t="s">
        <v>1374</v>
      </c>
      <c r="L54" s="183">
        <v>0</v>
      </c>
      <c r="M54" s="183">
        <v>0</v>
      </c>
      <c r="N54" s="183" t="s">
        <v>872</v>
      </c>
      <c r="O54" s="183">
        <v>0</v>
      </c>
      <c r="P54" s="183">
        <v>0</v>
      </c>
      <c r="Q54" s="183"/>
      <c r="R54" s="183"/>
      <c r="S54" s="183"/>
      <c r="T54" s="183"/>
      <c r="U54" s="183"/>
      <c r="V54" s="183">
        <v>0</v>
      </c>
      <c r="W54" s="183">
        <v>0</v>
      </c>
      <c r="X54" s="183">
        <v>0</v>
      </c>
      <c r="Y54" s="184">
        <v>0</v>
      </c>
      <c r="Z54" s="184">
        <v>28.97</v>
      </c>
      <c r="AA54" s="184">
        <v>0</v>
      </c>
      <c r="AB54" s="185" t="s">
        <v>615</v>
      </c>
      <c r="AC54" s="185" t="s">
        <v>615</v>
      </c>
      <c r="AD54" s="186" t="s">
        <v>872</v>
      </c>
      <c r="AE54" s="186" t="s">
        <v>852</v>
      </c>
      <c r="AF54" s="187">
        <v>7</v>
      </c>
      <c r="AG54" s="187">
        <v>3</v>
      </c>
      <c r="AH54" s="187">
        <v>4</v>
      </c>
      <c r="AI54" s="188">
        <v>1</v>
      </c>
      <c r="AJ54" s="188" t="s">
        <v>615</v>
      </c>
      <c r="AK54" s="187" t="s">
        <v>1736</v>
      </c>
      <c r="AL54" s="87" t="s">
        <v>615</v>
      </c>
      <c r="AM54" s="189"/>
      <c r="AN54" s="187" t="s">
        <v>615</v>
      </c>
      <c r="AO54" s="13" t="s">
        <v>615</v>
      </c>
      <c r="AP54" s="187">
        <v>0</v>
      </c>
      <c r="AQ54" s="187">
        <v>0</v>
      </c>
      <c r="AR54" s="190">
        <v>0</v>
      </c>
      <c r="AS54" s="190">
        <v>0</v>
      </c>
      <c r="AT54" s="190">
        <v>0</v>
      </c>
      <c r="AU54" s="187">
        <v>0</v>
      </c>
      <c r="AV54" s="187">
        <v>0</v>
      </c>
      <c r="AW54" s="191"/>
      <c r="AX54" s="192"/>
      <c r="AY54" s="193">
        <v>42666</v>
      </c>
      <c r="AZ54" s="193"/>
      <c r="BA54" s="193"/>
      <c r="BB54" s="194"/>
      <c r="BC54" s="194"/>
      <c r="BD54" s="195"/>
      <c r="BE54" s="195" t="s">
        <v>532</v>
      </c>
      <c r="BF54" s="195"/>
      <c r="BG54" s="195">
        <v>20</v>
      </c>
      <c r="BH54" s="196" t="s">
        <v>547</v>
      </c>
      <c r="BI54" s="197">
        <v>1</v>
      </c>
      <c r="BJ54" s="198"/>
      <c r="BK54" s="199">
        <v>0</v>
      </c>
      <c r="BL54" s="13">
        <v>0</v>
      </c>
      <c r="BM54" s="13">
        <v>0</v>
      </c>
      <c r="BN54" s="13" t="s">
        <v>616</v>
      </c>
      <c r="BO54" s="13" t="s">
        <v>616</v>
      </c>
      <c r="BP54" s="200">
        <v>20</v>
      </c>
      <c r="BQ54" s="201"/>
      <c r="BR54" s="202"/>
      <c r="BS54" s="187">
        <v>1000000000</v>
      </c>
      <c r="BT54" s="203">
        <v>0</v>
      </c>
      <c r="BU54" s="204">
        <v>0</v>
      </c>
      <c r="BV54" s="203">
        <v>0</v>
      </c>
      <c r="BW54" s="205">
        <v>0</v>
      </c>
      <c r="BX54" s="205">
        <v>0</v>
      </c>
      <c r="BY54" s="205">
        <v>0</v>
      </c>
      <c r="BZ54" s="203">
        <v>0</v>
      </c>
      <c r="CA54" s="203">
        <v>0</v>
      </c>
      <c r="CB54" s="203">
        <v>0</v>
      </c>
      <c r="CC54" s="204">
        <v>0</v>
      </c>
      <c r="CD54" s="203">
        <v>0</v>
      </c>
      <c r="CE54" s="203">
        <v>0</v>
      </c>
      <c r="CF54" s="13">
        <v>0</v>
      </c>
      <c r="CG54" s="206">
        <v>0</v>
      </c>
      <c r="CH54" s="207">
        <v>0</v>
      </c>
      <c r="CI54" s="201"/>
      <c r="CJ54" s="208"/>
      <c r="CK54" s="209" t="s">
        <v>615</v>
      </c>
      <c r="CL54" s="210" t="s">
        <v>615</v>
      </c>
      <c r="CM54" s="207">
        <v>0</v>
      </c>
      <c r="CN54" s="207">
        <v>0</v>
      </c>
      <c r="CO54" s="204">
        <v>0</v>
      </c>
      <c r="CP54" s="204">
        <v>0</v>
      </c>
      <c r="CQ54" s="211"/>
      <c r="CR54" s="204">
        <v>1</v>
      </c>
      <c r="CS54" s="212">
        <v>42531</v>
      </c>
      <c r="CT54" s="212">
        <v>42780</v>
      </c>
      <c r="CU54" s="213">
        <v>42780</v>
      </c>
      <c r="CV54" s="214">
        <v>42829</v>
      </c>
      <c r="CW54" s="214" t="s">
        <v>615</v>
      </c>
      <c r="CX54" s="214" t="s">
        <v>615</v>
      </c>
      <c r="CY54" s="204">
        <v>1</v>
      </c>
      <c r="CZ54" s="204">
        <v>0.97959183673469385</v>
      </c>
      <c r="DA54" s="203">
        <v>0</v>
      </c>
      <c r="DB54" s="204">
        <v>0.97959183673469385</v>
      </c>
      <c r="DC54" s="204">
        <v>0</v>
      </c>
      <c r="DD54" s="204">
        <v>0</v>
      </c>
      <c r="DE54" s="204">
        <v>0</v>
      </c>
      <c r="DF54" s="215">
        <v>0</v>
      </c>
      <c r="DG54" s="13" t="s">
        <v>615</v>
      </c>
      <c r="DH54" s="86">
        <v>52</v>
      </c>
      <c r="DI54" s="86"/>
      <c r="DJ54" s="86">
        <v>124</v>
      </c>
      <c r="DK54" s="86" t="s">
        <v>1596</v>
      </c>
      <c r="DL54" s="86" t="e">
        <v>#N/A</v>
      </c>
      <c r="DM54" s="86" t="e">
        <v>#N/A</v>
      </c>
      <c r="DN54" s="86" t="e">
        <v>#N/A</v>
      </c>
      <c r="DO54" s="86">
        <v>128</v>
      </c>
      <c r="DP54" s="86">
        <v>2</v>
      </c>
      <c r="DQ54" s="86">
        <v>49</v>
      </c>
      <c r="DR54" s="152">
        <v>0</v>
      </c>
      <c r="DS54" s="152">
        <v>0</v>
      </c>
      <c r="DT54" s="152">
        <v>0</v>
      </c>
      <c r="DU54" s="152">
        <v>0</v>
      </c>
      <c r="DV54" s="152">
        <v>0</v>
      </c>
      <c r="DW54" s="152">
        <v>0</v>
      </c>
      <c r="DX54" s="152">
        <v>0</v>
      </c>
      <c r="DY54" s="152">
        <v>0</v>
      </c>
      <c r="DZ54" s="152">
        <v>0</v>
      </c>
      <c r="EA54" s="152">
        <v>0</v>
      </c>
      <c r="EB54" s="152">
        <v>0</v>
      </c>
      <c r="EC54" s="152">
        <v>0</v>
      </c>
      <c r="ED54" s="152">
        <v>0</v>
      </c>
      <c r="EE54" s="152">
        <v>0</v>
      </c>
      <c r="EF54" s="152">
        <v>0</v>
      </c>
      <c r="EG54" s="152">
        <v>0</v>
      </c>
      <c r="EH54" s="152">
        <v>0</v>
      </c>
      <c r="EI54" s="152">
        <v>0</v>
      </c>
      <c r="EJ54" s="152">
        <v>0</v>
      </c>
      <c r="EK54" s="152">
        <v>0</v>
      </c>
      <c r="EL54" s="152">
        <v>0</v>
      </c>
      <c r="EM54" s="152">
        <v>0</v>
      </c>
      <c r="EN54" s="152">
        <v>0</v>
      </c>
      <c r="EO54" s="152">
        <v>0</v>
      </c>
      <c r="EP54" s="152">
        <v>0</v>
      </c>
      <c r="EQ54" s="152">
        <v>0</v>
      </c>
      <c r="ER54" s="152">
        <v>0</v>
      </c>
      <c r="ES54" s="152">
        <v>0</v>
      </c>
      <c r="ET54" s="152">
        <v>0</v>
      </c>
      <c r="EU54" s="152">
        <v>0</v>
      </c>
      <c r="EV54" s="152">
        <v>0</v>
      </c>
      <c r="EW54" s="152">
        <v>0</v>
      </c>
      <c r="EX54" s="152">
        <v>0</v>
      </c>
      <c r="EY54" s="152">
        <v>0</v>
      </c>
      <c r="EZ54" s="152">
        <v>0</v>
      </c>
      <c r="FA54" s="152">
        <v>0</v>
      </c>
      <c r="FB54" s="152">
        <v>0</v>
      </c>
      <c r="FC54" s="152">
        <v>0</v>
      </c>
      <c r="FD54" s="152">
        <v>0</v>
      </c>
      <c r="FE54" s="152">
        <v>0</v>
      </c>
      <c r="FF54" s="152">
        <v>0</v>
      </c>
      <c r="FG54" s="152">
        <v>0</v>
      </c>
      <c r="FH54" s="152">
        <v>0</v>
      </c>
      <c r="FI54" s="152">
        <v>0</v>
      </c>
      <c r="FJ54" s="152">
        <v>0</v>
      </c>
      <c r="FK54" s="152">
        <v>0</v>
      </c>
      <c r="FL54" s="152">
        <v>0</v>
      </c>
      <c r="FM54" s="152">
        <v>0</v>
      </c>
      <c r="FN54" s="152">
        <v>0</v>
      </c>
      <c r="FO54" s="152">
        <v>0</v>
      </c>
      <c r="FP54" s="152">
        <v>0</v>
      </c>
      <c r="FQ54" s="152">
        <v>0</v>
      </c>
      <c r="FR54" s="152">
        <v>0</v>
      </c>
      <c r="FS54" s="166">
        <v>0</v>
      </c>
      <c r="FT54" s="166">
        <v>0</v>
      </c>
      <c r="FU54" s="166">
        <v>0</v>
      </c>
      <c r="FV54" s="166">
        <v>0</v>
      </c>
      <c r="FW54" s="166">
        <v>0</v>
      </c>
      <c r="FX54" s="166">
        <v>0</v>
      </c>
      <c r="FY54" s="166">
        <v>0</v>
      </c>
      <c r="FZ54" s="166">
        <v>0</v>
      </c>
      <c r="GA54" s="166">
        <v>0</v>
      </c>
      <c r="GB54" s="166">
        <v>0</v>
      </c>
      <c r="GC54" s="166">
        <v>0</v>
      </c>
      <c r="GD54" s="166">
        <v>0</v>
      </c>
      <c r="GE54" s="166">
        <v>0</v>
      </c>
      <c r="GF54" s="166">
        <v>0</v>
      </c>
      <c r="GG54" s="166">
        <v>0</v>
      </c>
      <c r="GH54" s="166">
        <v>0</v>
      </c>
      <c r="GI54" s="166">
        <v>0</v>
      </c>
      <c r="GJ54" s="166">
        <v>0</v>
      </c>
      <c r="GK54" s="166">
        <v>0</v>
      </c>
      <c r="GL54" s="166">
        <v>0</v>
      </c>
      <c r="GM54" s="166">
        <v>0</v>
      </c>
      <c r="GN54" s="166">
        <v>0</v>
      </c>
      <c r="GO54" s="166">
        <v>0</v>
      </c>
      <c r="GP54" s="166">
        <v>0</v>
      </c>
      <c r="GQ54" s="166">
        <v>0</v>
      </c>
      <c r="GR54" s="166">
        <v>0</v>
      </c>
      <c r="GS54" s="166">
        <v>0</v>
      </c>
      <c r="GT54" s="166">
        <v>0</v>
      </c>
      <c r="GU54" s="166">
        <v>0</v>
      </c>
      <c r="GV54" s="166">
        <v>0</v>
      </c>
      <c r="GW54" s="166">
        <v>0</v>
      </c>
      <c r="GX54" s="166">
        <v>0</v>
      </c>
      <c r="GY54" s="166">
        <v>0</v>
      </c>
      <c r="GZ54" s="166">
        <v>0</v>
      </c>
      <c r="HA54" s="166">
        <v>0</v>
      </c>
      <c r="HB54" s="166">
        <v>0</v>
      </c>
      <c r="HC54" s="166">
        <v>0</v>
      </c>
      <c r="HD54" s="166">
        <v>0</v>
      </c>
      <c r="HE54" s="166">
        <v>0</v>
      </c>
      <c r="HF54" s="166">
        <v>0</v>
      </c>
      <c r="HG54" s="166">
        <v>0</v>
      </c>
      <c r="HH54" s="152">
        <v>0</v>
      </c>
      <c r="HI54" s="152">
        <v>0</v>
      </c>
      <c r="HJ54" s="152">
        <v>0</v>
      </c>
      <c r="HK54" s="152">
        <v>0</v>
      </c>
      <c r="HL54" s="152">
        <v>0</v>
      </c>
      <c r="HM54" s="152">
        <v>0</v>
      </c>
      <c r="HN54" s="152">
        <v>0</v>
      </c>
      <c r="HO54" s="152">
        <v>0</v>
      </c>
      <c r="HP54" s="152">
        <v>0</v>
      </c>
      <c r="HQ54" s="152">
        <v>0</v>
      </c>
      <c r="HR54" s="152">
        <v>0</v>
      </c>
      <c r="HS54" s="152">
        <v>0</v>
      </c>
      <c r="HT54" s="152">
        <v>0</v>
      </c>
      <c r="HU54" s="216"/>
      <c r="HV54" s="152">
        <v>0</v>
      </c>
      <c r="HW54" s="216"/>
      <c r="HX54" s="216"/>
      <c r="HY54" s="216"/>
      <c r="HZ54" s="216"/>
      <c r="IA54" s="216"/>
      <c r="IB54" s="216"/>
      <c r="IC54" s="216"/>
      <c r="ID54" s="216"/>
      <c r="IE54" s="216"/>
      <c r="IF54" s="216"/>
      <c r="IG54" s="216"/>
      <c r="IH54" s="216"/>
      <c r="II54" s="216"/>
      <c r="IJ54" s="216"/>
      <c r="IK54" s="216"/>
      <c r="IL54" s="216"/>
      <c r="IM54" s="216"/>
      <c r="IN54" s="216"/>
      <c r="IO54" s="216"/>
      <c r="IP54" s="216"/>
      <c r="IQ54" s="216"/>
      <c r="IR54" s="216"/>
      <c r="IS54" s="216"/>
      <c r="IT54" s="216"/>
      <c r="IU54" s="216"/>
      <c r="IV54" s="216"/>
      <c r="IW54" s="216"/>
      <c r="IX54" s="216"/>
      <c r="IY54" s="216"/>
      <c r="IZ54" s="216"/>
      <c r="JA54" s="216"/>
      <c r="JB54" s="216"/>
      <c r="JC54" s="216"/>
      <c r="JD54" s="216"/>
      <c r="JE54" s="216"/>
      <c r="JF54" s="216"/>
      <c r="JG54" s="216"/>
      <c r="JH54" s="216"/>
      <c r="JI54" s="216"/>
      <c r="JJ54" s="216"/>
      <c r="JK54" s="216"/>
      <c r="JL54" s="216"/>
      <c r="JM54" s="216"/>
      <c r="JN54" s="216"/>
      <c r="JO54" s="216"/>
      <c r="JP54" s="216"/>
      <c r="JQ54" s="216"/>
      <c r="JR54" s="216"/>
      <c r="JS54" s="216"/>
      <c r="JT54" s="216"/>
      <c r="JU54" s="216"/>
      <c r="JV54" s="216"/>
      <c r="JW54" s="216"/>
      <c r="JX54" s="216"/>
      <c r="JY54" s="216"/>
      <c r="JZ54" s="216"/>
      <c r="KA54" s="216"/>
      <c r="KB54" s="216"/>
      <c r="KC54" s="216"/>
      <c r="KD54" s="216"/>
      <c r="KE54" s="216"/>
      <c r="KF54" s="216"/>
      <c r="KG54" s="216"/>
      <c r="KH54" s="216"/>
      <c r="KI54" s="216"/>
      <c r="KJ54" s="216"/>
      <c r="KK54" s="216"/>
      <c r="KL54" s="216"/>
      <c r="KM54" s="216"/>
      <c r="KN54" s="216"/>
      <c r="KO54" s="216"/>
      <c r="KP54" s="216"/>
      <c r="KQ54" s="216"/>
      <c r="KR54" s="216"/>
      <c r="KS54" s="216"/>
      <c r="KT54" s="216"/>
      <c r="KU54" s="216"/>
      <c r="KV54" s="216"/>
      <c r="KW54" s="216"/>
      <c r="KX54" s="216"/>
      <c r="KY54" s="216"/>
      <c r="KZ54" s="216"/>
      <c r="LA54" s="216"/>
      <c r="LB54" s="216"/>
      <c r="LC54" s="216"/>
      <c r="LD54" s="216"/>
      <c r="LE54" s="216"/>
    </row>
    <row r="55" spans="1:317" x14ac:dyDescent="0.2">
      <c r="A55" s="179" t="s">
        <v>849</v>
      </c>
      <c r="B55" s="180" t="s">
        <v>954</v>
      </c>
      <c r="C55" s="181"/>
      <c r="D55" s="182">
        <v>0</v>
      </c>
      <c r="E55" s="182">
        <v>0</v>
      </c>
      <c r="F55" s="183" t="s">
        <v>1238</v>
      </c>
      <c r="G55" s="183">
        <v>0</v>
      </c>
      <c r="H55" s="183">
        <v>0</v>
      </c>
      <c r="I55" s="183">
        <v>0</v>
      </c>
      <c r="J55" s="183">
        <v>0</v>
      </c>
      <c r="K55" s="183" t="s">
        <v>1375</v>
      </c>
      <c r="L55" s="183">
        <v>0</v>
      </c>
      <c r="M55" s="183">
        <v>0</v>
      </c>
      <c r="N55" s="183" t="s">
        <v>872</v>
      </c>
      <c r="O55" s="183">
        <v>0</v>
      </c>
      <c r="P55" s="183">
        <v>0</v>
      </c>
      <c r="Q55" s="183"/>
      <c r="R55" s="183"/>
      <c r="S55" s="183"/>
      <c r="T55" s="183"/>
      <c r="U55" s="183"/>
      <c r="V55" s="183">
        <v>0</v>
      </c>
      <c r="W55" s="183">
        <v>0</v>
      </c>
      <c r="X55" s="183">
        <v>0</v>
      </c>
      <c r="Y55" s="184">
        <v>6.73</v>
      </c>
      <c r="Z55" s="184">
        <v>14.34</v>
      </c>
      <c r="AA55" s="184">
        <v>0</v>
      </c>
      <c r="AB55" s="185" t="s">
        <v>615</v>
      </c>
      <c r="AC55" s="185" t="s">
        <v>615</v>
      </c>
      <c r="AD55" s="186" t="s">
        <v>872</v>
      </c>
      <c r="AE55" s="186" t="s">
        <v>852</v>
      </c>
      <c r="AF55" s="187">
        <v>7</v>
      </c>
      <c r="AG55" s="187">
        <v>3</v>
      </c>
      <c r="AH55" s="187">
        <v>4</v>
      </c>
      <c r="AI55" s="188">
        <v>1</v>
      </c>
      <c r="AJ55" s="188" t="s">
        <v>615</v>
      </c>
      <c r="AK55" s="187" t="s">
        <v>1733</v>
      </c>
      <c r="AL55" s="87" t="s">
        <v>615</v>
      </c>
      <c r="AM55" s="189"/>
      <c r="AN55" s="187" t="s">
        <v>615</v>
      </c>
      <c r="AO55" s="13" t="s">
        <v>615</v>
      </c>
      <c r="AP55" s="187">
        <v>0</v>
      </c>
      <c r="AQ55" s="187">
        <v>0</v>
      </c>
      <c r="AR55" s="190">
        <v>0</v>
      </c>
      <c r="AS55" s="190">
        <v>0</v>
      </c>
      <c r="AT55" s="190">
        <v>0</v>
      </c>
      <c r="AU55" s="187">
        <v>0</v>
      </c>
      <c r="AV55" s="187">
        <v>0</v>
      </c>
      <c r="AW55" s="191"/>
      <c r="AX55" s="192"/>
      <c r="AY55" s="193">
        <v>42666</v>
      </c>
      <c r="AZ55" s="193"/>
      <c r="BA55" s="193"/>
      <c r="BB55" s="194"/>
      <c r="BC55" s="194"/>
      <c r="BD55" s="195"/>
      <c r="BE55" s="195" t="s">
        <v>532</v>
      </c>
      <c r="BF55" s="195"/>
      <c r="BG55" s="195">
        <v>10</v>
      </c>
      <c r="BH55" s="196" t="s">
        <v>547</v>
      </c>
      <c r="BI55" s="197">
        <v>1</v>
      </c>
      <c r="BJ55" s="198"/>
      <c r="BK55" s="199">
        <v>0</v>
      </c>
      <c r="BL55" s="13">
        <v>0</v>
      </c>
      <c r="BM55" s="13">
        <v>0</v>
      </c>
      <c r="BN55" s="13" t="s">
        <v>616</v>
      </c>
      <c r="BO55" s="13" t="s">
        <v>616</v>
      </c>
      <c r="BP55" s="200">
        <v>10</v>
      </c>
      <c r="BQ55" s="201"/>
      <c r="BR55" s="202"/>
      <c r="BS55" s="187">
        <v>1000000000</v>
      </c>
      <c r="BT55" s="203">
        <v>12</v>
      </c>
      <c r="BU55" s="204">
        <v>0</v>
      </c>
      <c r="BV55" s="203">
        <v>0</v>
      </c>
      <c r="BW55" s="205">
        <v>0</v>
      </c>
      <c r="BX55" s="205">
        <v>0</v>
      </c>
      <c r="BY55" s="205">
        <v>0</v>
      </c>
      <c r="BZ55" s="203">
        <v>0</v>
      </c>
      <c r="CA55" s="203">
        <v>0</v>
      </c>
      <c r="CB55" s="203">
        <v>12</v>
      </c>
      <c r="CC55" s="204">
        <v>0</v>
      </c>
      <c r="CD55" s="203">
        <v>0</v>
      </c>
      <c r="CE55" s="203">
        <v>0</v>
      </c>
      <c r="CF55" s="13">
        <v>0</v>
      </c>
      <c r="CG55" s="206">
        <v>0</v>
      </c>
      <c r="CH55" s="207">
        <v>0</v>
      </c>
      <c r="CI55" s="201"/>
      <c r="CJ55" s="208"/>
      <c r="CK55" s="209" t="s">
        <v>615</v>
      </c>
      <c r="CL55" s="210" t="s">
        <v>615</v>
      </c>
      <c r="CM55" s="207">
        <v>0</v>
      </c>
      <c r="CN55" s="207">
        <v>0</v>
      </c>
      <c r="CO55" s="204">
        <v>0</v>
      </c>
      <c r="CP55" s="204">
        <v>0</v>
      </c>
      <c r="CQ55" s="211"/>
      <c r="CR55" s="204">
        <v>1</v>
      </c>
      <c r="CS55" s="212">
        <v>42592</v>
      </c>
      <c r="CT55" s="212">
        <v>42780</v>
      </c>
      <c r="CU55" s="213">
        <v>42780</v>
      </c>
      <c r="CV55" s="214">
        <v>42829</v>
      </c>
      <c r="CW55" s="214" t="s">
        <v>615</v>
      </c>
      <c r="CX55" s="214" t="s">
        <v>615</v>
      </c>
      <c r="CY55" s="204">
        <v>0</v>
      </c>
      <c r="CZ55" s="204">
        <v>0.97959183673469385</v>
      </c>
      <c r="DA55" s="203">
        <v>0</v>
      </c>
      <c r="DB55" s="204">
        <v>0</v>
      </c>
      <c r="DC55" s="204">
        <v>0</v>
      </c>
      <c r="DD55" s="204">
        <v>0</v>
      </c>
      <c r="DE55" s="204">
        <v>0</v>
      </c>
      <c r="DF55" s="215">
        <v>0.97959183673469385</v>
      </c>
      <c r="DG55" s="13" t="s">
        <v>615</v>
      </c>
      <c r="DH55" s="86">
        <v>53</v>
      </c>
      <c r="DI55" s="86"/>
      <c r="DJ55" s="86">
        <v>123</v>
      </c>
      <c r="DK55" s="86" t="s">
        <v>1496</v>
      </c>
      <c r="DL55" s="86" t="e">
        <v>#N/A</v>
      </c>
      <c r="DM55" s="86">
        <v>53</v>
      </c>
      <c r="DN55" s="86" t="e">
        <v>#N/A</v>
      </c>
      <c r="DO55" s="86">
        <v>126</v>
      </c>
      <c r="DP55" s="86">
        <v>2</v>
      </c>
      <c r="DQ55" s="86">
        <v>49</v>
      </c>
      <c r="DR55" s="146">
        <v>12</v>
      </c>
      <c r="DS55" s="146">
        <v>12</v>
      </c>
      <c r="DT55" s="146">
        <v>12</v>
      </c>
      <c r="DU55" s="146">
        <v>12</v>
      </c>
      <c r="DV55" s="146">
        <v>12</v>
      </c>
      <c r="DW55" s="146">
        <v>12</v>
      </c>
      <c r="DX55" s="146">
        <v>12</v>
      </c>
      <c r="DY55" s="146">
        <v>12</v>
      </c>
      <c r="DZ55" s="146">
        <v>12</v>
      </c>
      <c r="EA55" s="146">
        <v>12</v>
      </c>
      <c r="EB55" s="146">
        <v>12</v>
      </c>
      <c r="EC55" s="146">
        <v>12</v>
      </c>
      <c r="ED55" s="146">
        <v>12</v>
      </c>
      <c r="EE55" s="146">
        <v>12</v>
      </c>
      <c r="EF55" s="146">
        <v>12</v>
      </c>
      <c r="EG55" s="146">
        <v>12</v>
      </c>
      <c r="EH55" s="146">
        <v>12</v>
      </c>
      <c r="EI55" s="146">
        <v>12</v>
      </c>
      <c r="EJ55" s="146">
        <v>12</v>
      </c>
      <c r="EK55" s="146">
        <v>12</v>
      </c>
      <c r="EL55" s="146">
        <v>12</v>
      </c>
      <c r="EM55" s="146">
        <v>12</v>
      </c>
      <c r="EN55" s="146">
        <v>12</v>
      </c>
      <c r="EO55" s="146">
        <v>12</v>
      </c>
      <c r="EP55" s="146">
        <v>12</v>
      </c>
      <c r="EQ55" s="146">
        <v>12</v>
      </c>
      <c r="ER55" s="146">
        <v>12</v>
      </c>
      <c r="ES55" s="146">
        <v>12</v>
      </c>
      <c r="ET55" s="146">
        <v>12</v>
      </c>
      <c r="EU55" s="146">
        <v>12</v>
      </c>
      <c r="EV55" s="146">
        <v>12</v>
      </c>
      <c r="EW55" s="146">
        <v>12</v>
      </c>
      <c r="EX55" s="146">
        <v>12</v>
      </c>
      <c r="EY55" s="146">
        <v>12</v>
      </c>
      <c r="EZ55" s="146">
        <v>12</v>
      </c>
      <c r="FA55" s="146">
        <v>12</v>
      </c>
      <c r="FB55" s="146">
        <v>12</v>
      </c>
      <c r="FC55" s="146">
        <v>12</v>
      </c>
      <c r="FD55" s="146">
        <v>12</v>
      </c>
      <c r="FE55" s="146">
        <v>12</v>
      </c>
      <c r="FF55" s="146">
        <v>12</v>
      </c>
      <c r="FG55" s="146">
        <v>12</v>
      </c>
      <c r="FH55" s="146">
        <v>12</v>
      </c>
      <c r="FI55" s="146">
        <v>12</v>
      </c>
      <c r="FJ55" s="146">
        <v>12</v>
      </c>
      <c r="FK55" s="146">
        <v>12</v>
      </c>
      <c r="FL55" s="146">
        <v>12</v>
      </c>
      <c r="FM55" s="146">
        <v>12</v>
      </c>
      <c r="FN55" s="146">
        <v>12</v>
      </c>
      <c r="FO55" s="146">
        <v>12</v>
      </c>
      <c r="FP55" s="146">
        <v>12</v>
      </c>
      <c r="FQ55" s="146">
        <v>12</v>
      </c>
      <c r="FR55" s="146">
        <v>12</v>
      </c>
      <c r="FS55" s="161">
        <v>12</v>
      </c>
      <c r="FT55" s="161">
        <v>12</v>
      </c>
      <c r="FU55" s="161">
        <v>12</v>
      </c>
      <c r="FV55" s="161">
        <v>12</v>
      </c>
      <c r="FW55" s="161">
        <v>12</v>
      </c>
      <c r="FX55" s="161">
        <v>12</v>
      </c>
      <c r="FY55" s="161">
        <v>12</v>
      </c>
      <c r="FZ55" s="161">
        <v>12</v>
      </c>
      <c r="GA55" s="161">
        <v>12</v>
      </c>
      <c r="GB55" s="161">
        <v>12</v>
      </c>
      <c r="GC55" s="161">
        <v>12</v>
      </c>
      <c r="GD55" s="161">
        <v>12</v>
      </c>
      <c r="GE55" s="161">
        <v>12</v>
      </c>
      <c r="GF55" s="161">
        <v>12</v>
      </c>
      <c r="GG55" s="161">
        <v>12</v>
      </c>
      <c r="GH55" s="161">
        <v>12</v>
      </c>
      <c r="GI55" s="161">
        <v>12</v>
      </c>
      <c r="GJ55" s="161">
        <v>12</v>
      </c>
      <c r="GK55" s="161">
        <v>12</v>
      </c>
      <c r="GL55" s="161">
        <v>12</v>
      </c>
      <c r="GM55" s="161">
        <v>12</v>
      </c>
      <c r="GN55" s="161">
        <v>12</v>
      </c>
      <c r="GO55" s="161">
        <v>12</v>
      </c>
      <c r="GP55" s="161">
        <v>12</v>
      </c>
      <c r="GQ55" s="161">
        <v>12</v>
      </c>
      <c r="GR55" s="161">
        <v>12</v>
      </c>
      <c r="GS55" s="161">
        <v>12</v>
      </c>
      <c r="GT55" s="161">
        <v>12</v>
      </c>
      <c r="GU55" s="161">
        <v>12</v>
      </c>
      <c r="GV55" s="161">
        <v>12</v>
      </c>
      <c r="GW55" s="161">
        <v>12</v>
      </c>
      <c r="GX55" s="161">
        <v>12</v>
      </c>
      <c r="GY55" s="161">
        <v>12</v>
      </c>
      <c r="GZ55" s="161">
        <v>12</v>
      </c>
      <c r="HA55" s="161">
        <v>12</v>
      </c>
      <c r="HB55" s="161">
        <v>12</v>
      </c>
      <c r="HC55" s="161">
        <v>12</v>
      </c>
      <c r="HD55" s="161">
        <v>12</v>
      </c>
      <c r="HE55" s="161">
        <v>12</v>
      </c>
      <c r="HF55" s="161">
        <v>12</v>
      </c>
      <c r="HG55" s="161">
        <v>12</v>
      </c>
      <c r="HH55" s="146">
        <v>12</v>
      </c>
      <c r="HI55" s="146">
        <v>12</v>
      </c>
      <c r="HJ55" s="146">
        <v>12</v>
      </c>
      <c r="HK55" s="146">
        <v>12</v>
      </c>
      <c r="HL55" s="146">
        <v>12</v>
      </c>
      <c r="HM55" s="146">
        <v>12</v>
      </c>
      <c r="HN55" s="146">
        <v>12</v>
      </c>
      <c r="HO55" s="146">
        <v>12</v>
      </c>
      <c r="HP55" s="146">
        <v>12</v>
      </c>
      <c r="HQ55" s="146">
        <v>12</v>
      </c>
      <c r="HR55" s="146">
        <v>12</v>
      </c>
      <c r="HS55" s="146">
        <v>12</v>
      </c>
      <c r="HT55" s="146">
        <v>12</v>
      </c>
      <c r="HU55" s="151"/>
      <c r="HV55" s="146">
        <v>12</v>
      </c>
      <c r="HW55" s="151"/>
      <c r="HX55" s="151"/>
      <c r="HY55" s="151"/>
      <c r="HZ55" s="151"/>
      <c r="IA55" s="151"/>
      <c r="IB55" s="151"/>
      <c r="IC55" s="151"/>
      <c r="ID55" s="151"/>
      <c r="IE55" s="151"/>
      <c r="IF55" s="151"/>
      <c r="IG55" s="151"/>
      <c r="IH55" s="151"/>
      <c r="II55" s="151"/>
      <c r="IJ55" s="151"/>
      <c r="IK55" s="151"/>
      <c r="IL55" s="151"/>
      <c r="IM55" s="151"/>
      <c r="IN55" s="151"/>
      <c r="IO55" s="151"/>
      <c r="IP55" s="151"/>
      <c r="IQ55" s="151"/>
      <c r="IR55" s="151"/>
      <c r="IS55" s="151"/>
      <c r="IT55" s="151"/>
      <c r="IU55" s="151"/>
      <c r="IV55" s="151"/>
      <c r="IW55" s="151"/>
      <c r="IX55" s="151"/>
      <c r="IY55" s="151"/>
      <c r="IZ55" s="151"/>
      <c r="JA55" s="151"/>
      <c r="JB55" s="151"/>
      <c r="JC55" s="151"/>
      <c r="JD55" s="151"/>
      <c r="JE55" s="151"/>
      <c r="JF55" s="151"/>
      <c r="JG55" s="151"/>
      <c r="JH55" s="151"/>
      <c r="JI55" s="151"/>
      <c r="JJ55" s="151"/>
      <c r="JK55" s="151"/>
      <c r="JL55" s="151"/>
      <c r="JM55" s="151"/>
      <c r="JN55" s="151"/>
      <c r="JO55" s="151"/>
      <c r="JP55" s="151"/>
      <c r="JQ55" s="151"/>
      <c r="JR55" s="151"/>
      <c r="JS55" s="151"/>
      <c r="JT55" s="151"/>
      <c r="JU55" s="151"/>
      <c r="JV55" s="151"/>
      <c r="JW55" s="151"/>
      <c r="JX55" s="151"/>
      <c r="JY55" s="151"/>
      <c r="JZ55" s="151"/>
      <c r="KA55" s="151"/>
      <c r="KB55" s="151"/>
      <c r="KC55" s="151"/>
      <c r="KD55" s="151"/>
      <c r="KE55" s="151"/>
      <c r="KF55" s="151"/>
      <c r="KG55" s="151"/>
      <c r="KH55" s="151"/>
      <c r="KI55" s="151"/>
      <c r="KJ55" s="151"/>
      <c r="KK55" s="151"/>
      <c r="KL55" s="151"/>
      <c r="KM55" s="151"/>
      <c r="KN55" s="151"/>
      <c r="KO55" s="151"/>
      <c r="KP55" s="151"/>
      <c r="KQ55" s="151"/>
      <c r="KR55" s="151"/>
      <c r="KS55" s="151"/>
      <c r="KT55" s="151"/>
      <c r="KU55" s="151"/>
      <c r="KV55" s="151"/>
      <c r="KW55" s="151"/>
      <c r="KX55" s="151"/>
      <c r="KY55" s="151"/>
      <c r="KZ55" s="151"/>
      <c r="LA55" s="151"/>
      <c r="LB55" s="151"/>
      <c r="LC55" s="151"/>
      <c r="LD55" s="151"/>
      <c r="LE55" s="151"/>
    </row>
    <row r="56" spans="1:317" x14ac:dyDescent="0.2">
      <c r="A56" s="179" t="s">
        <v>849</v>
      </c>
      <c r="B56" s="180" t="s">
        <v>955</v>
      </c>
      <c r="C56" s="181"/>
      <c r="D56" s="182">
        <v>0</v>
      </c>
      <c r="E56" s="182">
        <v>0</v>
      </c>
      <c r="F56" s="183" t="s">
        <v>1239</v>
      </c>
      <c r="G56" s="183">
        <v>0</v>
      </c>
      <c r="H56" s="183">
        <v>0</v>
      </c>
      <c r="I56" s="183">
        <v>0</v>
      </c>
      <c r="J56" s="183">
        <v>0</v>
      </c>
      <c r="K56" s="183" t="s">
        <v>1375</v>
      </c>
      <c r="L56" s="183">
        <v>0</v>
      </c>
      <c r="M56" s="183">
        <v>0</v>
      </c>
      <c r="N56" s="183" t="s">
        <v>872</v>
      </c>
      <c r="O56" s="183">
        <v>0</v>
      </c>
      <c r="P56" s="183">
        <v>0</v>
      </c>
      <c r="Q56" s="183"/>
      <c r="R56" s="183"/>
      <c r="S56" s="183"/>
      <c r="T56" s="183"/>
      <c r="U56" s="183"/>
      <c r="V56" s="183">
        <v>0</v>
      </c>
      <c r="W56" s="183">
        <v>0</v>
      </c>
      <c r="X56" s="183">
        <v>0</v>
      </c>
      <c r="Y56" s="184">
        <v>5.05</v>
      </c>
      <c r="Z56" s="184">
        <v>14.34</v>
      </c>
      <c r="AA56" s="184">
        <v>0</v>
      </c>
      <c r="AB56" s="185" t="s">
        <v>615</v>
      </c>
      <c r="AC56" s="185" t="s">
        <v>615</v>
      </c>
      <c r="AD56" s="186" t="s">
        <v>872</v>
      </c>
      <c r="AE56" s="186" t="s">
        <v>852</v>
      </c>
      <c r="AF56" s="187">
        <v>7</v>
      </c>
      <c r="AG56" s="187">
        <v>3</v>
      </c>
      <c r="AH56" s="187">
        <v>4</v>
      </c>
      <c r="AI56" s="188">
        <v>1</v>
      </c>
      <c r="AJ56" s="188" t="s">
        <v>615</v>
      </c>
      <c r="AK56" s="187" t="s">
        <v>1737</v>
      </c>
      <c r="AL56" s="87" t="s">
        <v>615</v>
      </c>
      <c r="AM56" s="189"/>
      <c r="AN56" s="187" t="s">
        <v>615</v>
      </c>
      <c r="AO56" s="13" t="s">
        <v>615</v>
      </c>
      <c r="AP56" s="187">
        <v>0</v>
      </c>
      <c r="AQ56" s="187">
        <v>0</v>
      </c>
      <c r="AR56" s="190">
        <v>0</v>
      </c>
      <c r="AS56" s="190">
        <v>0</v>
      </c>
      <c r="AT56" s="190">
        <v>0</v>
      </c>
      <c r="AU56" s="187">
        <v>0</v>
      </c>
      <c r="AV56" s="187">
        <v>0</v>
      </c>
      <c r="AW56" s="191"/>
      <c r="AX56" s="192"/>
      <c r="AY56" s="193">
        <v>42796</v>
      </c>
      <c r="AZ56" s="193">
        <v>42796</v>
      </c>
      <c r="BA56" s="193">
        <v>42796</v>
      </c>
      <c r="BB56" s="194"/>
      <c r="BC56" s="194"/>
      <c r="BD56" s="195"/>
      <c r="BE56" s="195" t="s">
        <v>532</v>
      </c>
      <c r="BF56" s="195"/>
      <c r="BG56" s="195">
        <v>10</v>
      </c>
      <c r="BH56" s="196" t="s">
        <v>547</v>
      </c>
      <c r="BI56" s="197">
        <v>1</v>
      </c>
      <c r="BJ56" s="198"/>
      <c r="BK56" s="199">
        <v>0</v>
      </c>
      <c r="BL56" s="13">
        <v>0</v>
      </c>
      <c r="BM56" s="13">
        <v>0</v>
      </c>
      <c r="BN56" s="13" t="s">
        <v>616</v>
      </c>
      <c r="BO56" s="13" t="s">
        <v>616</v>
      </c>
      <c r="BP56" s="200">
        <v>16</v>
      </c>
      <c r="BQ56" s="201"/>
      <c r="BR56" s="202"/>
      <c r="BS56" s="187">
        <v>1000000000</v>
      </c>
      <c r="BT56" s="203">
        <v>11</v>
      </c>
      <c r="BU56" s="204">
        <v>0</v>
      </c>
      <c r="BV56" s="203">
        <v>10</v>
      </c>
      <c r="BW56" s="205">
        <v>0</v>
      </c>
      <c r="BX56" s="205">
        <v>0</v>
      </c>
      <c r="BY56" s="205">
        <v>0</v>
      </c>
      <c r="BZ56" s="203">
        <v>0</v>
      </c>
      <c r="CA56" s="203">
        <v>0</v>
      </c>
      <c r="CB56" s="203">
        <v>21</v>
      </c>
      <c r="CC56" s="204">
        <v>0</v>
      </c>
      <c r="CD56" s="203">
        <v>0</v>
      </c>
      <c r="CE56" s="203">
        <v>0</v>
      </c>
      <c r="CF56" s="13">
        <v>0</v>
      </c>
      <c r="CG56" s="206">
        <v>0</v>
      </c>
      <c r="CH56" s="207">
        <v>0</v>
      </c>
      <c r="CI56" s="201"/>
      <c r="CJ56" s="208"/>
      <c r="CK56" s="209" t="s">
        <v>615</v>
      </c>
      <c r="CL56" s="210" t="s">
        <v>615</v>
      </c>
      <c r="CM56" s="207">
        <v>0</v>
      </c>
      <c r="CN56" s="207">
        <v>0</v>
      </c>
      <c r="CO56" s="204">
        <v>0</v>
      </c>
      <c r="CP56" s="204">
        <v>0</v>
      </c>
      <c r="CQ56" s="211"/>
      <c r="CR56" s="204">
        <v>1</v>
      </c>
      <c r="CS56" s="212">
        <v>42709</v>
      </c>
      <c r="CT56" s="212">
        <v>42780</v>
      </c>
      <c r="CU56" s="213">
        <v>42780</v>
      </c>
      <c r="CV56" s="214">
        <v>42829</v>
      </c>
      <c r="CW56" s="214" t="s">
        <v>615</v>
      </c>
      <c r="CX56" s="214" t="s">
        <v>615</v>
      </c>
      <c r="CY56" s="204">
        <v>0</v>
      </c>
      <c r="CZ56" s="204">
        <v>0.97959183673469385</v>
      </c>
      <c r="DA56" s="203">
        <v>0</v>
      </c>
      <c r="DB56" s="204">
        <v>0</v>
      </c>
      <c r="DC56" s="204">
        <v>0</v>
      </c>
      <c r="DD56" s="204">
        <v>0</v>
      </c>
      <c r="DE56" s="204">
        <v>0</v>
      </c>
      <c r="DF56" s="215">
        <v>0.97959183673469385</v>
      </c>
      <c r="DG56" s="13" t="s">
        <v>615</v>
      </c>
      <c r="DH56" s="86">
        <v>54</v>
      </c>
      <c r="DI56" s="86"/>
      <c r="DJ56" s="86">
        <v>122</v>
      </c>
      <c r="DK56" s="86" t="s">
        <v>1495</v>
      </c>
      <c r="DL56" s="86" t="e">
        <v>#N/A</v>
      </c>
      <c r="DM56" s="86">
        <v>52</v>
      </c>
      <c r="DN56" s="86" t="e">
        <v>#N/A</v>
      </c>
      <c r="DO56" s="86">
        <v>125</v>
      </c>
      <c r="DP56" s="86">
        <v>2</v>
      </c>
      <c r="DQ56" s="86">
        <v>49</v>
      </c>
      <c r="DR56" s="164">
        <v>11</v>
      </c>
      <c r="DS56" s="164">
        <v>11</v>
      </c>
      <c r="DT56" s="164">
        <v>11</v>
      </c>
      <c r="DU56" s="164">
        <v>11</v>
      </c>
      <c r="DV56" s="164">
        <v>11</v>
      </c>
      <c r="DW56" s="164">
        <v>11</v>
      </c>
      <c r="DX56" s="164">
        <v>11</v>
      </c>
      <c r="DY56" s="164">
        <v>11</v>
      </c>
      <c r="DZ56" s="164">
        <v>11</v>
      </c>
      <c r="EA56" s="168">
        <v>11</v>
      </c>
      <c r="EB56" s="168">
        <v>11</v>
      </c>
      <c r="EC56" s="168">
        <v>11</v>
      </c>
      <c r="ED56" s="168">
        <v>11</v>
      </c>
      <c r="EE56" s="168">
        <v>11</v>
      </c>
      <c r="EF56" s="168">
        <v>11</v>
      </c>
      <c r="EG56" s="168">
        <v>11</v>
      </c>
      <c r="EH56" s="168">
        <v>11</v>
      </c>
      <c r="EI56" s="168">
        <v>11</v>
      </c>
      <c r="EJ56" s="168">
        <v>11</v>
      </c>
      <c r="EK56" s="168">
        <v>11</v>
      </c>
      <c r="EL56" s="168">
        <v>11</v>
      </c>
      <c r="EM56" s="168">
        <v>11</v>
      </c>
      <c r="EN56" s="168">
        <v>11</v>
      </c>
      <c r="EO56" s="168">
        <v>11</v>
      </c>
      <c r="EP56" s="168">
        <v>11</v>
      </c>
      <c r="EQ56" s="168">
        <v>11</v>
      </c>
      <c r="ER56" s="168">
        <v>11</v>
      </c>
      <c r="ES56" s="168">
        <v>11</v>
      </c>
      <c r="ET56" s="168">
        <v>11</v>
      </c>
      <c r="EU56" s="168">
        <v>11</v>
      </c>
      <c r="EV56" s="168">
        <v>11</v>
      </c>
      <c r="EW56" s="168">
        <v>11</v>
      </c>
      <c r="EX56" s="168">
        <v>11</v>
      </c>
      <c r="EY56" s="168">
        <v>11</v>
      </c>
      <c r="EZ56" s="168">
        <v>11</v>
      </c>
      <c r="FA56" s="168">
        <v>11</v>
      </c>
      <c r="FB56" s="168">
        <v>11</v>
      </c>
      <c r="FC56" s="168">
        <v>11</v>
      </c>
      <c r="FD56" s="168">
        <v>11</v>
      </c>
      <c r="FE56" s="168">
        <v>11</v>
      </c>
      <c r="FF56" s="168">
        <v>11</v>
      </c>
      <c r="FG56" s="168">
        <v>11</v>
      </c>
      <c r="FH56" s="168">
        <v>11</v>
      </c>
      <c r="FI56" s="168">
        <v>11</v>
      </c>
      <c r="FJ56" s="168">
        <v>11</v>
      </c>
      <c r="FK56" s="168">
        <v>11</v>
      </c>
      <c r="FL56" s="168">
        <v>11</v>
      </c>
      <c r="FM56" s="168">
        <v>11</v>
      </c>
      <c r="FN56" s="168">
        <v>11</v>
      </c>
      <c r="FO56" s="168">
        <v>11</v>
      </c>
      <c r="FP56" s="168">
        <v>11</v>
      </c>
      <c r="FQ56" s="168">
        <v>11</v>
      </c>
      <c r="FR56" s="168">
        <v>11</v>
      </c>
      <c r="FS56" s="168">
        <v>11</v>
      </c>
      <c r="FT56" s="168">
        <v>11</v>
      </c>
      <c r="FU56" s="168">
        <v>11</v>
      </c>
      <c r="FV56" s="168">
        <v>11</v>
      </c>
      <c r="FW56" s="168">
        <v>11</v>
      </c>
      <c r="FX56" s="168">
        <v>11</v>
      </c>
      <c r="FY56" s="168">
        <v>11</v>
      </c>
      <c r="FZ56" s="168">
        <v>11</v>
      </c>
      <c r="GA56" s="168">
        <v>11</v>
      </c>
      <c r="GB56" s="168">
        <v>11</v>
      </c>
      <c r="GC56" s="168">
        <v>11</v>
      </c>
      <c r="GD56" s="168">
        <v>11</v>
      </c>
      <c r="GE56" s="168">
        <v>11</v>
      </c>
      <c r="GF56" s="168">
        <v>11</v>
      </c>
      <c r="GG56" s="168">
        <v>11</v>
      </c>
      <c r="GH56" s="168">
        <v>11</v>
      </c>
      <c r="GI56" s="168">
        <v>11</v>
      </c>
      <c r="GJ56" s="168">
        <v>11</v>
      </c>
      <c r="GK56" s="168">
        <v>11</v>
      </c>
      <c r="GL56" s="168">
        <v>11</v>
      </c>
      <c r="GM56" s="168">
        <v>11</v>
      </c>
      <c r="GN56" s="168">
        <v>11</v>
      </c>
      <c r="GO56" s="168">
        <v>11</v>
      </c>
      <c r="GP56" s="168">
        <v>11</v>
      </c>
      <c r="GQ56" s="168">
        <v>11</v>
      </c>
      <c r="GR56" s="168">
        <v>11</v>
      </c>
      <c r="GS56" s="168">
        <v>11</v>
      </c>
      <c r="GT56" s="168">
        <v>11</v>
      </c>
      <c r="GU56" s="168">
        <v>11</v>
      </c>
      <c r="GV56" s="168">
        <v>11</v>
      </c>
      <c r="GW56" s="168">
        <v>11</v>
      </c>
      <c r="GX56" s="168">
        <v>11</v>
      </c>
      <c r="GY56" s="168">
        <v>11</v>
      </c>
      <c r="GZ56" s="168">
        <v>11</v>
      </c>
      <c r="HA56" s="168">
        <v>11</v>
      </c>
      <c r="HB56" s="168">
        <v>11</v>
      </c>
      <c r="HC56" s="168">
        <v>11</v>
      </c>
      <c r="HD56" s="168">
        <v>11</v>
      </c>
      <c r="HE56" s="168">
        <v>11</v>
      </c>
      <c r="HF56" s="168">
        <v>11</v>
      </c>
      <c r="HG56" s="168">
        <v>11</v>
      </c>
      <c r="HH56" s="152">
        <v>11</v>
      </c>
      <c r="HI56" s="152">
        <v>11</v>
      </c>
      <c r="HJ56" s="152">
        <v>11</v>
      </c>
      <c r="HK56" s="152">
        <v>11</v>
      </c>
      <c r="HL56" s="152">
        <v>11</v>
      </c>
      <c r="HM56" s="152">
        <v>11</v>
      </c>
      <c r="HN56" s="152">
        <v>11</v>
      </c>
      <c r="HO56" s="152">
        <v>11</v>
      </c>
      <c r="HP56" s="152">
        <v>11</v>
      </c>
      <c r="HQ56" s="152">
        <v>11</v>
      </c>
      <c r="HR56" s="152">
        <v>11</v>
      </c>
      <c r="HS56" s="152">
        <v>11</v>
      </c>
      <c r="HT56" s="152">
        <v>11</v>
      </c>
      <c r="HU56" s="216"/>
      <c r="HV56" s="152">
        <v>11</v>
      </c>
      <c r="HW56" s="216"/>
      <c r="HX56" s="216"/>
      <c r="HY56" s="216"/>
      <c r="HZ56" s="216"/>
      <c r="IA56" s="216"/>
      <c r="IB56" s="216"/>
      <c r="IC56" s="216"/>
      <c r="ID56" s="216"/>
      <c r="IE56" s="216"/>
      <c r="IF56" s="216"/>
      <c r="IG56" s="216"/>
      <c r="IH56" s="216"/>
      <c r="II56" s="216"/>
      <c r="IJ56" s="216"/>
      <c r="IK56" s="216"/>
      <c r="IL56" s="216"/>
      <c r="IM56" s="216"/>
      <c r="IN56" s="216"/>
      <c r="IO56" s="216"/>
      <c r="IP56" s="216"/>
      <c r="IQ56" s="216"/>
      <c r="IR56" s="216"/>
      <c r="IS56" s="216"/>
      <c r="IT56" s="216"/>
      <c r="IU56" s="216"/>
      <c r="IV56" s="216"/>
      <c r="IW56" s="216"/>
      <c r="IX56" s="216"/>
      <c r="IY56" s="216"/>
      <c r="IZ56" s="216"/>
      <c r="JA56" s="216"/>
      <c r="JB56" s="216"/>
      <c r="JC56" s="216"/>
      <c r="JD56" s="216"/>
      <c r="JE56" s="216"/>
      <c r="JF56" s="216"/>
      <c r="JG56" s="216"/>
      <c r="JH56" s="216"/>
      <c r="JI56" s="216"/>
      <c r="JJ56" s="216"/>
      <c r="JK56" s="216"/>
      <c r="JL56" s="216"/>
      <c r="JM56" s="216"/>
      <c r="JN56" s="216"/>
      <c r="JO56" s="216"/>
      <c r="JP56" s="216"/>
      <c r="JQ56" s="216"/>
      <c r="JR56" s="216"/>
      <c r="JS56" s="216"/>
      <c r="JT56" s="216"/>
      <c r="JU56" s="216"/>
      <c r="JV56" s="216"/>
      <c r="JW56" s="216"/>
      <c r="JX56" s="216"/>
      <c r="JY56" s="216"/>
      <c r="JZ56" s="216"/>
      <c r="KA56" s="216"/>
      <c r="KB56" s="216"/>
      <c r="KC56" s="216"/>
      <c r="KD56" s="216"/>
      <c r="KE56" s="216"/>
      <c r="KF56" s="216"/>
      <c r="KG56" s="216"/>
      <c r="KH56" s="216"/>
      <c r="KI56" s="216"/>
      <c r="KJ56" s="216"/>
      <c r="KK56" s="216"/>
      <c r="KL56" s="216"/>
      <c r="KM56" s="216"/>
      <c r="KN56" s="216"/>
      <c r="KO56" s="216"/>
      <c r="KP56" s="216"/>
      <c r="KQ56" s="216"/>
      <c r="KR56" s="216"/>
      <c r="KS56" s="216"/>
      <c r="KT56" s="216"/>
      <c r="KU56" s="216"/>
      <c r="KV56" s="216"/>
      <c r="KW56" s="216"/>
      <c r="KX56" s="216"/>
      <c r="KY56" s="216"/>
      <c r="KZ56" s="216"/>
      <c r="LA56" s="216"/>
      <c r="LB56" s="216"/>
      <c r="LC56" s="216"/>
      <c r="LD56" s="216"/>
      <c r="LE56" s="216"/>
    </row>
    <row r="57" spans="1:317" x14ac:dyDescent="0.2">
      <c r="A57" s="179" t="s">
        <v>849</v>
      </c>
      <c r="B57" s="180" t="s">
        <v>956</v>
      </c>
      <c r="C57" s="181"/>
      <c r="D57" s="182">
        <v>0</v>
      </c>
      <c r="E57" s="182">
        <v>0</v>
      </c>
      <c r="F57" s="183" t="s">
        <v>1240</v>
      </c>
      <c r="G57" s="183">
        <v>0</v>
      </c>
      <c r="H57" s="183">
        <v>0</v>
      </c>
      <c r="I57" s="183">
        <v>0</v>
      </c>
      <c r="J57" s="183">
        <v>0</v>
      </c>
      <c r="K57" s="183" t="s">
        <v>1375</v>
      </c>
      <c r="L57" s="183">
        <v>0</v>
      </c>
      <c r="M57" s="183">
        <v>0</v>
      </c>
      <c r="N57" s="183" t="s">
        <v>872</v>
      </c>
      <c r="O57" s="183">
        <v>0</v>
      </c>
      <c r="P57" s="183">
        <v>0</v>
      </c>
      <c r="Q57" s="183"/>
      <c r="R57" s="183"/>
      <c r="S57" s="183"/>
      <c r="T57" s="183"/>
      <c r="U57" s="183"/>
      <c r="V57" s="183">
        <v>0</v>
      </c>
      <c r="W57" s="183">
        <v>0</v>
      </c>
      <c r="X57" s="183">
        <v>0</v>
      </c>
      <c r="Y57" s="184">
        <v>0</v>
      </c>
      <c r="Z57" s="184">
        <v>18.440000000000001</v>
      </c>
      <c r="AA57" s="184">
        <v>0</v>
      </c>
      <c r="AB57" s="185" t="s">
        <v>615</v>
      </c>
      <c r="AC57" s="185" t="s">
        <v>615</v>
      </c>
      <c r="AD57" s="186" t="s">
        <v>872</v>
      </c>
      <c r="AE57" s="186" t="s">
        <v>852</v>
      </c>
      <c r="AF57" s="187">
        <v>7</v>
      </c>
      <c r="AG57" s="187">
        <v>3</v>
      </c>
      <c r="AH57" s="187">
        <v>4</v>
      </c>
      <c r="AI57" s="188">
        <v>1</v>
      </c>
      <c r="AJ57" s="188" t="s">
        <v>615</v>
      </c>
      <c r="AK57" s="187" t="s">
        <v>1736</v>
      </c>
      <c r="AL57" s="87" t="s">
        <v>615</v>
      </c>
      <c r="AM57" s="189"/>
      <c r="AN57" s="187" t="s">
        <v>615</v>
      </c>
      <c r="AO57" s="13" t="s">
        <v>615</v>
      </c>
      <c r="AP57" s="187">
        <v>0</v>
      </c>
      <c r="AQ57" s="187">
        <v>0</v>
      </c>
      <c r="AR57" s="190">
        <v>0</v>
      </c>
      <c r="AS57" s="190">
        <v>0</v>
      </c>
      <c r="AT57" s="190">
        <v>0</v>
      </c>
      <c r="AU57" s="187">
        <v>0</v>
      </c>
      <c r="AV57" s="187">
        <v>0</v>
      </c>
      <c r="AW57" s="191"/>
      <c r="AX57" s="192"/>
      <c r="AY57" s="193">
        <v>42666</v>
      </c>
      <c r="AZ57" s="193"/>
      <c r="BA57" s="193"/>
      <c r="BB57" s="194"/>
      <c r="BC57" s="194"/>
      <c r="BD57" s="195"/>
      <c r="BE57" s="195" t="s">
        <v>532</v>
      </c>
      <c r="BF57" s="195"/>
      <c r="BG57" s="195">
        <v>10</v>
      </c>
      <c r="BH57" s="196" t="s">
        <v>547</v>
      </c>
      <c r="BI57" s="197">
        <v>1</v>
      </c>
      <c r="BJ57" s="198"/>
      <c r="BK57" s="199">
        <v>0</v>
      </c>
      <c r="BL57" s="13">
        <v>0</v>
      </c>
      <c r="BM57" s="13">
        <v>0</v>
      </c>
      <c r="BN57" s="13" t="s">
        <v>616</v>
      </c>
      <c r="BO57" s="13" t="s">
        <v>616</v>
      </c>
      <c r="BP57" s="200">
        <v>10</v>
      </c>
      <c r="BQ57" s="201"/>
      <c r="BR57" s="202"/>
      <c r="BS57" s="187">
        <v>1000000000</v>
      </c>
      <c r="BT57" s="203">
        <v>0</v>
      </c>
      <c r="BU57" s="204">
        <v>0</v>
      </c>
      <c r="BV57" s="203">
        <v>0</v>
      </c>
      <c r="BW57" s="205">
        <v>0</v>
      </c>
      <c r="BX57" s="205">
        <v>0</v>
      </c>
      <c r="BY57" s="205">
        <v>0</v>
      </c>
      <c r="BZ57" s="203">
        <v>0</v>
      </c>
      <c r="CA57" s="203">
        <v>0</v>
      </c>
      <c r="CB57" s="203">
        <v>0</v>
      </c>
      <c r="CC57" s="204">
        <v>0</v>
      </c>
      <c r="CD57" s="203">
        <v>0</v>
      </c>
      <c r="CE57" s="203">
        <v>0</v>
      </c>
      <c r="CF57" s="13">
        <v>0</v>
      </c>
      <c r="CG57" s="206">
        <v>0</v>
      </c>
      <c r="CH57" s="207">
        <v>0</v>
      </c>
      <c r="CI57" s="201"/>
      <c r="CJ57" s="208"/>
      <c r="CK57" s="209" t="s">
        <v>615</v>
      </c>
      <c r="CL57" s="210" t="s">
        <v>615</v>
      </c>
      <c r="CM57" s="207">
        <v>0</v>
      </c>
      <c r="CN57" s="207">
        <v>0</v>
      </c>
      <c r="CO57" s="204">
        <v>0</v>
      </c>
      <c r="CP57" s="204">
        <v>0</v>
      </c>
      <c r="CQ57" s="211"/>
      <c r="CR57" s="204">
        <v>1</v>
      </c>
      <c r="CS57" s="212">
        <v>42531</v>
      </c>
      <c r="CT57" s="212">
        <v>42780</v>
      </c>
      <c r="CU57" s="213">
        <v>42780</v>
      </c>
      <c r="CV57" s="214">
        <v>42829</v>
      </c>
      <c r="CW57" s="214" t="s">
        <v>615</v>
      </c>
      <c r="CX57" s="214" t="s">
        <v>615</v>
      </c>
      <c r="CY57" s="204">
        <v>1</v>
      </c>
      <c r="CZ57" s="204">
        <v>0.97959183673469385</v>
      </c>
      <c r="DA57" s="203">
        <v>0</v>
      </c>
      <c r="DB57" s="204">
        <v>0.97959183673469385</v>
      </c>
      <c r="DC57" s="204">
        <v>0</v>
      </c>
      <c r="DD57" s="204">
        <v>0</v>
      </c>
      <c r="DE57" s="204">
        <v>0</v>
      </c>
      <c r="DF57" s="215">
        <v>0</v>
      </c>
      <c r="DG57" s="13" t="s">
        <v>615</v>
      </c>
      <c r="DH57" s="86">
        <v>55</v>
      </c>
      <c r="DI57" s="86"/>
      <c r="DJ57" s="86">
        <v>121</v>
      </c>
      <c r="DK57" s="86" t="s">
        <v>1595</v>
      </c>
      <c r="DL57" s="86" t="e">
        <v>#N/A</v>
      </c>
      <c r="DM57" s="86" t="e">
        <v>#N/A</v>
      </c>
      <c r="DN57" s="86" t="e">
        <v>#N/A</v>
      </c>
      <c r="DO57" s="86">
        <v>124</v>
      </c>
      <c r="DP57" s="86">
        <v>2</v>
      </c>
      <c r="DQ57" s="86">
        <v>49</v>
      </c>
      <c r="DR57" s="146">
        <v>0</v>
      </c>
      <c r="DS57" s="146">
        <v>0</v>
      </c>
      <c r="DT57" s="146">
        <v>0</v>
      </c>
      <c r="DU57" s="146">
        <v>0</v>
      </c>
      <c r="DV57" s="146">
        <v>0</v>
      </c>
      <c r="DW57" s="146">
        <v>0</v>
      </c>
      <c r="DX57" s="146">
        <v>0</v>
      </c>
      <c r="DY57" s="146">
        <v>0</v>
      </c>
      <c r="DZ57" s="146">
        <v>0</v>
      </c>
      <c r="EA57" s="146">
        <v>0</v>
      </c>
      <c r="EB57" s="146">
        <v>0</v>
      </c>
      <c r="EC57" s="146">
        <v>0</v>
      </c>
      <c r="ED57" s="146">
        <v>0</v>
      </c>
      <c r="EE57" s="146">
        <v>0</v>
      </c>
      <c r="EF57" s="146">
        <v>0</v>
      </c>
      <c r="EG57" s="146">
        <v>0</v>
      </c>
      <c r="EH57" s="146">
        <v>0</v>
      </c>
      <c r="EI57" s="146">
        <v>0</v>
      </c>
      <c r="EJ57" s="146">
        <v>0</v>
      </c>
      <c r="EK57" s="146">
        <v>0</v>
      </c>
      <c r="EL57" s="146">
        <v>0</v>
      </c>
      <c r="EM57" s="146">
        <v>0</v>
      </c>
      <c r="EN57" s="146">
        <v>0</v>
      </c>
      <c r="EO57" s="146">
        <v>0</v>
      </c>
      <c r="EP57" s="146">
        <v>0</v>
      </c>
      <c r="EQ57" s="146">
        <v>0</v>
      </c>
      <c r="ER57" s="146">
        <v>0</v>
      </c>
      <c r="ES57" s="146">
        <v>0</v>
      </c>
      <c r="ET57" s="146">
        <v>0</v>
      </c>
      <c r="EU57" s="146">
        <v>0</v>
      </c>
      <c r="EV57" s="146">
        <v>0</v>
      </c>
      <c r="EW57" s="146">
        <v>0</v>
      </c>
      <c r="EX57" s="146">
        <v>0</v>
      </c>
      <c r="EY57" s="146">
        <v>0</v>
      </c>
      <c r="EZ57" s="146">
        <v>0</v>
      </c>
      <c r="FA57" s="146">
        <v>0</v>
      </c>
      <c r="FB57" s="146">
        <v>0</v>
      </c>
      <c r="FC57" s="146">
        <v>0</v>
      </c>
      <c r="FD57" s="146">
        <v>0</v>
      </c>
      <c r="FE57" s="146">
        <v>0</v>
      </c>
      <c r="FF57" s="146">
        <v>0</v>
      </c>
      <c r="FG57" s="146">
        <v>0</v>
      </c>
      <c r="FH57" s="146">
        <v>0</v>
      </c>
      <c r="FI57" s="146">
        <v>0</v>
      </c>
      <c r="FJ57" s="146">
        <v>0</v>
      </c>
      <c r="FK57" s="146">
        <v>0</v>
      </c>
      <c r="FL57" s="146">
        <v>0</v>
      </c>
      <c r="FM57" s="146">
        <v>0</v>
      </c>
      <c r="FN57" s="146">
        <v>0</v>
      </c>
      <c r="FO57" s="146">
        <v>0</v>
      </c>
      <c r="FP57" s="146">
        <v>0</v>
      </c>
      <c r="FQ57" s="146">
        <v>0</v>
      </c>
      <c r="FR57" s="146">
        <v>0</v>
      </c>
      <c r="FS57" s="160">
        <v>0</v>
      </c>
      <c r="FT57" s="160">
        <v>0</v>
      </c>
      <c r="FU57" s="160">
        <v>0</v>
      </c>
      <c r="FV57" s="160">
        <v>0</v>
      </c>
      <c r="FW57" s="160">
        <v>0</v>
      </c>
      <c r="FX57" s="160">
        <v>0</v>
      </c>
      <c r="FY57" s="160">
        <v>0</v>
      </c>
      <c r="FZ57" s="160">
        <v>0</v>
      </c>
      <c r="GA57" s="160">
        <v>0</v>
      </c>
      <c r="GB57" s="160">
        <v>0</v>
      </c>
      <c r="GC57" s="160">
        <v>0</v>
      </c>
      <c r="GD57" s="160">
        <v>0</v>
      </c>
      <c r="GE57" s="160">
        <v>0</v>
      </c>
      <c r="GF57" s="160">
        <v>0</v>
      </c>
      <c r="GG57" s="160">
        <v>0</v>
      </c>
      <c r="GH57" s="160">
        <v>0</v>
      </c>
      <c r="GI57" s="160">
        <v>0</v>
      </c>
      <c r="GJ57" s="160">
        <v>0</v>
      </c>
      <c r="GK57" s="160">
        <v>0</v>
      </c>
      <c r="GL57" s="160">
        <v>0</v>
      </c>
      <c r="GM57" s="160">
        <v>0</v>
      </c>
      <c r="GN57" s="160">
        <v>0</v>
      </c>
      <c r="GO57" s="160">
        <v>0</v>
      </c>
      <c r="GP57" s="160">
        <v>0</v>
      </c>
      <c r="GQ57" s="160">
        <v>0</v>
      </c>
      <c r="GR57" s="160">
        <v>0</v>
      </c>
      <c r="GS57" s="160">
        <v>0</v>
      </c>
      <c r="GT57" s="160">
        <v>0</v>
      </c>
      <c r="GU57" s="160">
        <v>0</v>
      </c>
      <c r="GV57" s="160">
        <v>0</v>
      </c>
      <c r="GW57" s="160">
        <v>0</v>
      </c>
      <c r="GX57" s="160">
        <v>0</v>
      </c>
      <c r="GY57" s="160">
        <v>0</v>
      </c>
      <c r="GZ57" s="160">
        <v>0</v>
      </c>
      <c r="HA57" s="160">
        <v>0</v>
      </c>
      <c r="HB57" s="160">
        <v>0</v>
      </c>
      <c r="HC57" s="160">
        <v>0</v>
      </c>
      <c r="HD57" s="160">
        <v>0</v>
      </c>
      <c r="HE57" s="160">
        <v>0</v>
      </c>
      <c r="HF57" s="160">
        <v>0</v>
      </c>
      <c r="HG57" s="160">
        <v>0</v>
      </c>
      <c r="HH57" s="146">
        <v>0</v>
      </c>
      <c r="HI57" s="146">
        <v>0</v>
      </c>
      <c r="HJ57" s="146">
        <v>0</v>
      </c>
      <c r="HK57" s="146">
        <v>0</v>
      </c>
      <c r="HL57" s="146">
        <v>0</v>
      </c>
      <c r="HM57" s="146">
        <v>0</v>
      </c>
      <c r="HN57" s="146">
        <v>0</v>
      </c>
      <c r="HO57" s="146">
        <v>0</v>
      </c>
      <c r="HP57" s="146">
        <v>0</v>
      </c>
      <c r="HQ57" s="146">
        <v>0</v>
      </c>
      <c r="HR57" s="146">
        <v>0</v>
      </c>
      <c r="HS57" s="146">
        <v>0</v>
      </c>
      <c r="HT57" s="146">
        <v>0</v>
      </c>
      <c r="HU57" s="151"/>
      <c r="HV57" s="146">
        <v>0</v>
      </c>
      <c r="HW57" s="151"/>
      <c r="HX57" s="151"/>
      <c r="HY57" s="151"/>
      <c r="HZ57" s="151"/>
      <c r="IA57" s="151"/>
      <c r="IB57" s="151"/>
      <c r="IC57" s="151"/>
      <c r="ID57" s="151"/>
      <c r="IE57" s="151"/>
      <c r="IF57" s="151"/>
      <c r="IG57" s="151"/>
      <c r="IH57" s="151"/>
      <c r="II57" s="151"/>
      <c r="IJ57" s="151"/>
      <c r="IK57" s="151"/>
      <c r="IL57" s="151"/>
      <c r="IM57" s="151"/>
      <c r="IN57" s="151"/>
      <c r="IO57" s="151"/>
      <c r="IP57" s="151"/>
      <c r="IQ57" s="151"/>
      <c r="IR57" s="151"/>
      <c r="IS57" s="151"/>
      <c r="IT57" s="151"/>
      <c r="IU57" s="151"/>
      <c r="IV57" s="151"/>
      <c r="IW57" s="151"/>
      <c r="IX57" s="151"/>
      <c r="IY57" s="151"/>
      <c r="IZ57" s="151"/>
      <c r="JA57" s="151"/>
      <c r="JB57" s="151"/>
      <c r="JC57" s="151"/>
      <c r="JD57" s="151"/>
      <c r="JE57" s="151"/>
      <c r="JF57" s="151"/>
      <c r="JG57" s="151"/>
      <c r="JH57" s="151"/>
      <c r="JI57" s="151"/>
      <c r="JJ57" s="151"/>
      <c r="JK57" s="151"/>
      <c r="JL57" s="151"/>
      <c r="JM57" s="151"/>
      <c r="JN57" s="151"/>
      <c r="JO57" s="151"/>
      <c r="JP57" s="151"/>
      <c r="JQ57" s="151"/>
      <c r="JR57" s="151"/>
      <c r="JS57" s="151"/>
      <c r="JT57" s="151"/>
      <c r="JU57" s="151"/>
      <c r="JV57" s="151"/>
      <c r="JW57" s="151"/>
      <c r="JX57" s="151"/>
      <c r="JY57" s="151"/>
      <c r="JZ57" s="151"/>
      <c r="KA57" s="151"/>
      <c r="KB57" s="151"/>
      <c r="KC57" s="151"/>
      <c r="KD57" s="151"/>
      <c r="KE57" s="151"/>
      <c r="KF57" s="151"/>
      <c r="KG57" s="151"/>
      <c r="KH57" s="151"/>
      <c r="KI57" s="151"/>
      <c r="KJ57" s="151"/>
      <c r="KK57" s="151"/>
      <c r="KL57" s="151"/>
      <c r="KM57" s="151"/>
      <c r="KN57" s="151"/>
      <c r="KO57" s="151"/>
      <c r="KP57" s="151"/>
      <c r="KQ57" s="151"/>
      <c r="KR57" s="151"/>
      <c r="KS57" s="151"/>
      <c r="KT57" s="151"/>
      <c r="KU57" s="151"/>
      <c r="KV57" s="151"/>
      <c r="KW57" s="151"/>
      <c r="KX57" s="151"/>
      <c r="KY57" s="151"/>
      <c r="KZ57" s="151"/>
      <c r="LA57" s="151"/>
      <c r="LB57" s="151"/>
      <c r="LC57" s="151"/>
      <c r="LD57" s="151"/>
      <c r="LE57" s="151"/>
    </row>
    <row r="58" spans="1:317" x14ac:dyDescent="0.2">
      <c r="A58" s="179" t="s">
        <v>849</v>
      </c>
      <c r="B58" s="180" t="s">
        <v>957</v>
      </c>
      <c r="C58" s="181"/>
      <c r="D58" s="182">
        <v>0</v>
      </c>
      <c r="E58" s="182">
        <v>0</v>
      </c>
      <c r="F58" s="183" t="s">
        <v>1241</v>
      </c>
      <c r="G58" s="183">
        <v>0</v>
      </c>
      <c r="H58" s="183">
        <v>0</v>
      </c>
      <c r="I58" s="183">
        <v>0</v>
      </c>
      <c r="J58" s="183">
        <v>0</v>
      </c>
      <c r="K58" s="183" t="s">
        <v>1375</v>
      </c>
      <c r="L58" s="183">
        <v>0</v>
      </c>
      <c r="M58" s="183">
        <v>0</v>
      </c>
      <c r="N58" s="183" t="s">
        <v>872</v>
      </c>
      <c r="O58" s="183">
        <v>0</v>
      </c>
      <c r="P58" s="183">
        <v>0</v>
      </c>
      <c r="Q58" s="183"/>
      <c r="R58" s="183"/>
      <c r="S58" s="183"/>
      <c r="T58" s="183"/>
      <c r="U58" s="183"/>
      <c r="V58" s="183">
        <v>0</v>
      </c>
      <c r="W58" s="183">
        <v>0</v>
      </c>
      <c r="X58" s="183">
        <v>0</v>
      </c>
      <c r="Y58" s="184">
        <v>0</v>
      </c>
      <c r="Z58" s="184">
        <v>18.440000000000001</v>
      </c>
      <c r="AA58" s="184">
        <v>0</v>
      </c>
      <c r="AB58" s="185" t="s">
        <v>615</v>
      </c>
      <c r="AC58" s="185" t="s">
        <v>615</v>
      </c>
      <c r="AD58" s="186" t="s">
        <v>872</v>
      </c>
      <c r="AE58" s="186" t="s">
        <v>852</v>
      </c>
      <c r="AF58" s="187">
        <v>7</v>
      </c>
      <c r="AG58" s="187">
        <v>3</v>
      </c>
      <c r="AH58" s="187">
        <v>4</v>
      </c>
      <c r="AI58" s="188">
        <v>1</v>
      </c>
      <c r="AJ58" s="188" t="s">
        <v>615</v>
      </c>
      <c r="AK58" s="187" t="s">
        <v>1736</v>
      </c>
      <c r="AL58" s="87" t="s">
        <v>615</v>
      </c>
      <c r="AM58" s="189"/>
      <c r="AN58" s="187" t="s">
        <v>615</v>
      </c>
      <c r="AO58" s="13" t="s">
        <v>615</v>
      </c>
      <c r="AP58" s="187">
        <v>0</v>
      </c>
      <c r="AQ58" s="187">
        <v>0</v>
      </c>
      <c r="AR58" s="190">
        <v>0</v>
      </c>
      <c r="AS58" s="190">
        <v>0</v>
      </c>
      <c r="AT58" s="190">
        <v>0</v>
      </c>
      <c r="AU58" s="187">
        <v>0</v>
      </c>
      <c r="AV58" s="187">
        <v>0</v>
      </c>
      <c r="AW58" s="191"/>
      <c r="AX58" s="192"/>
      <c r="AY58" s="193">
        <v>42666</v>
      </c>
      <c r="AZ58" s="193"/>
      <c r="BA58" s="193"/>
      <c r="BB58" s="194"/>
      <c r="BC58" s="194"/>
      <c r="BD58" s="195"/>
      <c r="BE58" s="195" t="s">
        <v>532</v>
      </c>
      <c r="BF58" s="195"/>
      <c r="BG58" s="195">
        <v>10</v>
      </c>
      <c r="BH58" s="196" t="s">
        <v>547</v>
      </c>
      <c r="BI58" s="197">
        <v>1</v>
      </c>
      <c r="BJ58" s="198"/>
      <c r="BK58" s="199">
        <v>0</v>
      </c>
      <c r="BL58" s="13">
        <v>0</v>
      </c>
      <c r="BM58" s="13">
        <v>0</v>
      </c>
      <c r="BN58" s="13" t="s">
        <v>616</v>
      </c>
      <c r="BO58" s="13" t="s">
        <v>616</v>
      </c>
      <c r="BP58" s="200">
        <v>10</v>
      </c>
      <c r="BQ58" s="201"/>
      <c r="BR58" s="202"/>
      <c r="BS58" s="187">
        <v>1000000000</v>
      </c>
      <c r="BT58" s="203">
        <v>0</v>
      </c>
      <c r="BU58" s="204">
        <v>0</v>
      </c>
      <c r="BV58" s="203">
        <v>0</v>
      </c>
      <c r="BW58" s="205">
        <v>0</v>
      </c>
      <c r="BX58" s="205">
        <v>0</v>
      </c>
      <c r="BY58" s="205">
        <v>0</v>
      </c>
      <c r="BZ58" s="203">
        <v>0</v>
      </c>
      <c r="CA58" s="203">
        <v>0</v>
      </c>
      <c r="CB58" s="203">
        <v>0</v>
      </c>
      <c r="CC58" s="204">
        <v>0</v>
      </c>
      <c r="CD58" s="203">
        <v>0</v>
      </c>
      <c r="CE58" s="203">
        <v>0</v>
      </c>
      <c r="CF58" s="13">
        <v>0</v>
      </c>
      <c r="CG58" s="206">
        <v>0</v>
      </c>
      <c r="CH58" s="207">
        <v>0</v>
      </c>
      <c r="CI58" s="201"/>
      <c r="CJ58" s="208"/>
      <c r="CK58" s="209" t="s">
        <v>615</v>
      </c>
      <c r="CL58" s="210" t="s">
        <v>615</v>
      </c>
      <c r="CM58" s="207">
        <v>0</v>
      </c>
      <c r="CN58" s="207">
        <v>0</v>
      </c>
      <c r="CO58" s="204">
        <v>0</v>
      </c>
      <c r="CP58" s="204">
        <v>0</v>
      </c>
      <c r="CQ58" s="211"/>
      <c r="CR58" s="204">
        <v>1</v>
      </c>
      <c r="CS58" s="212">
        <v>42531</v>
      </c>
      <c r="CT58" s="212">
        <v>42780</v>
      </c>
      <c r="CU58" s="213">
        <v>42780</v>
      </c>
      <c r="CV58" s="214">
        <v>42829</v>
      </c>
      <c r="CW58" s="214" t="s">
        <v>615</v>
      </c>
      <c r="CX58" s="214" t="s">
        <v>615</v>
      </c>
      <c r="CY58" s="204">
        <v>1</v>
      </c>
      <c r="CZ58" s="204">
        <v>0.97959183673469385</v>
      </c>
      <c r="DA58" s="203">
        <v>0</v>
      </c>
      <c r="DB58" s="204">
        <v>0.97959183673469385</v>
      </c>
      <c r="DC58" s="204">
        <v>0</v>
      </c>
      <c r="DD58" s="204">
        <v>0</v>
      </c>
      <c r="DE58" s="204">
        <v>0</v>
      </c>
      <c r="DF58" s="215">
        <v>0</v>
      </c>
      <c r="DG58" s="13" t="s">
        <v>615</v>
      </c>
      <c r="DH58" s="86">
        <v>56</v>
      </c>
      <c r="DI58" s="86"/>
      <c r="DJ58" s="86">
        <v>120</v>
      </c>
      <c r="DK58" s="86" t="s">
        <v>1594</v>
      </c>
      <c r="DL58" s="86" t="e">
        <v>#N/A</v>
      </c>
      <c r="DM58" s="86" t="e">
        <v>#N/A</v>
      </c>
      <c r="DN58" s="86" t="e">
        <v>#N/A</v>
      </c>
      <c r="DO58" s="86">
        <v>123</v>
      </c>
      <c r="DP58" s="86">
        <v>2</v>
      </c>
      <c r="DQ58" s="86">
        <v>49</v>
      </c>
      <c r="DR58" s="152">
        <v>0</v>
      </c>
      <c r="DS58" s="152">
        <v>0</v>
      </c>
      <c r="DT58" s="152">
        <v>0</v>
      </c>
      <c r="DU58" s="152">
        <v>0</v>
      </c>
      <c r="DV58" s="152">
        <v>0</v>
      </c>
      <c r="DW58" s="152">
        <v>0</v>
      </c>
      <c r="DX58" s="152">
        <v>0</v>
      </c>
      <c r="DY58" s="152">
        <v>0</v>
      </c>
      <c r="DZ58" s="152">
        <v>0</v>
      </c>
      <c r="EA58" s="152">
        <v>0</v>
      </c>
      <c r="EB58" s="152">
        <v>0</v>
      </c>
      <c r="EC58" s="152">
        <v>0</v>
      </c>
      <c r="ED58" s="152">
        <v>0</v>
      </c>
      <c r="EE58" s="152">
        <v>0</v>
      </c>
      <c r="EF58" s="152">
        <v>0</v>
      </c>
      <c r="EG58" s="152">
        <v>0</v>
      </c>
      <c r="EH58" s="152">
        <v>0</v>
      </c>
      <c r="EI58" s="152">
        <v>0</v>
      </c>
      <c r="EJ58" s="152">
        <v>0</v>
      </c>
      <c r="EK58" s="152">
        <v>0</v>
      </c>
      <c r="EL58" s="152">
        <v>0</v>
      </c>
      <c r="EM58" s="152">
        <v>0</v>
      </c>
      <c r="EN58" s="152">
        <v>0</v>
      </c>
      <c r="EO58" s="152">
        <v>0</v>
      </c>
      <c r="EP58" s="152">
        <v>0</v>
      </c>
      <c r="EQ58" s="152">
        <v>0</v>
      </c>
      <c r="ER58" s="152">
        <v>0</v>
      </c>
      <c r="ES58" s="152">
        <v>0</v>
      </c>
      <c r="ET58" s="152">
        <v>0</v>
      </c>
      <c r="EU58" s="152">
        <v>0</v>
      </c>
      <c r="EV58" s="152">
        <v>0</v>
      </c>
      <c r="EW58" s="152">
        <v>0</v>
      </c>
      <c r="EX58" s="152">
        <v>0</v>
      </c>
      <c r="EY58" s="152">
        <v>0</v>
      </c>
      <c r="EZ58" s="152">
        <v>0</v>
      </c>
      <c r="FA58" s="152">
        <v>0</v>
      </c>
      <c r="FB58" s="152">
        <v>0</v>
      </c>
      <c r="FC58" s="152">
        <v>0</v>
      </c>
      <c r="FD58" s="152">
        <v>0</v>
      </c>
      <c r="FE58" s="152">
        <v>0</v>
      </c>
      <c r="FF58" s="152">
        <v>0</v>
      </c>
      <c r="FG58" s="152">
        <v>0</v>
      </c>
      <c r="FH58" s="152">
        <v>0</v>
      </c>
      <c r="FI58" s="152">
        <v>0</v>
      </c>
      <c r="FJ58" s="152">
        <v>0</v>
      </c>
      <c r="FK58" s="152">
        <v>0</v>
      </c>
      <c r="FL58" s="152">
        <v>0</v>
      </c>
      <c r="FM58" s="152">
        <v>0</v>
      </c>
      <c r="FN58" s="152">
        <v>0</v>
      </c>
      <c r="FO58" s="152">
        <v>0</v>
      </c>
      <c r="FP58" s="152">
        <v>0</v>
      </c>
      <c r="FQ58" s="152">
        <v>0</v>
      </c>
      <c r="FR58" s="152">
        <v>0</v>
      </c>
      <c r="FS58" s="166">
        <v>0</v>
      </c>
      <c r="FT58" s="166">
        <v>0</v>
      </c>
      <c r="FU58" s="166">
        <v>0</v>
      </c>
      <c r="FV58" s="166">
        <v>0</v>
      </c>
      <c r="FW58" s="166">
        <v>0</v>
      </c>
      <c r="FX58" s="166">
        <v>0</v>
      </c>
      <c r="FY58" s="166">
        <v>0</v>
      </c>
      <c r="FZ58" s="166">
        <v>0</v>
      </c>
      <c r="GA58" s="166">
        <v>0</v>
      </c>
      <c r="GB58" s="166">
        <v>0</v>
      </c>
      <c r="GC58" s="166">
        <v>0</v>
      </c>
      <c r="GD58" s="166">
        <v>0</v>
      </c>
      <c r="GE58" s="166">
        <v>0</v>
      </c>
      <c r="GF58" s="166">
        <v>0</v>
      </c>
      <c r="GG58" s="166">
        <v>0</v>
      </c>
      <c r="GH58" s="166">
        <v>0</v>
      </c>
      <c r="GI58" s="166">
        <v>0</v>
      </c>
      <c r="GJ58" s="166">
        <v>0</v>
      </c>
      <c r="GK58" s="166">
        <v>0</v>
      </c>
      <c r="GL58" s="166">
        <v>0</v>
      </c>
      <c r="GM58" s="166">
        <v>0</v>
      </c>
      <c r="GN58" s="166">
        <v>0</v>
      </c>
      <c r="GO58" s="166">
        <v>0</v>
      </c>
      <c r="GP58" s="166">
        <v>0</v>
      </c>
      <c r="GQ58" s="166">
        <v>0</v>
      </c>
      <c r="GR58" s="166">
        <v>0</v>
      </c>
      <c r="GS58" s="166">
        <v>0</v>
      </c>
      <c r="GT58" s="166">
        <v>0</v>
      </c>
      <c r="GU58" s="166">
        <v>0</v>
      </c>
      <c r="GV58" s="166">
        <v>0</v>
      </c>
      <c r="GW58" s="166">
        <v>0</v>
      </c>
      <c r="GX58" s="166">
        <v>0</v>
      </c>
      <c r="GY58" s="166">
        <v>0</v>
      </c>
      <c r="GZ58" s="166">
        <v>0</v>
      </c>
      <c r="HA58" s="166">
        <v>0</v>
      </c>
      <c r="HB58" s="166">
        <v>0</v>
      </c>
      <c r="HC58" s="166">
        <v>0</v>
      </c>
      <c r="HD58" s="166">
        <v>0</v>
      </c>
      <c r="HE58" s="166">
        <v>0</v>
      </c>
      <c r="HF58" s="166">
        <v>0</v>
      </c>
      <c r="HG58" s="166">
        <v>0</v>
      </c>
      <c r="HH58" s="152">
        <v>0</v>
      </c>
      <c r="HI58" s="152">
        <v>0</v>
      </c>
      <c r="HJ58" s="152">
        <v>0</v>
      </c>
      <c r="HK58" s="152">
        <v>0</v>
      </c>
      <c r="HL58" s="152">
        <v>0</v>
      </c>
      <c r="HM58" s="152">
        <v>0</v>
      </c>
      <c r="HN58" s="152">
        <v>0</v>
      </c>
      <c r="HO58" s="152">
        <v>0</v>
      </c>
      <c r="HP58" s="152">
        <v>0</v>
      </c>
      <c r="HQ58" s="152">
        <v>0</v>
      </c>
      <c r="HR58" s="152">
        <v>0</v>
      </c>
      <c r="HS58" s="152">
        <v>0</v>
      </c>
      <c r="HT58" s="152">
        <v>0</v>
      </c>
      <c r="HU58" s="216"/>
      <c r="HV58" s="152">
        <v>0</v>
      </c>
      <c r="HW58" s="216"/>
      <c r="HX58" s="216"/>
      <c r="HY58" s="216"/>
      <c r="HZ58" s="216"/>
      <c r="IA58" s="216"/>
      <c r="IB58" s="216"/>
      <c r="IC58" s="216"/>
      <c r="ID58" s="216"/>
      <c r="IE58" s="216"/>
      <c r="IF58" s="216"/>
      <c r="IG58" s="216"/>
      <c r="IH58" s="216"/>
      <c r="II58" s="216"/>
      <c r="IJ58" s="216"/>
      <c r="IK58" s="216"/>
      <c r="IL58" s="216"/>
      <c r="IM58" s="216"/>
      <c r="IN58" s="216"/>
      <c r="IO58" s="216"/>
      <c r="IP58" s="216"/>
      <c r="IQ58" s="216"/>
      <c r="IR58" s="216"/>
      <c r="IS58" s="216"/>
      <c r="IT58" s="216"/>
      <c r="IU58" s="216"/>
      <c r="IV58" s="216"/>
      <c r="IW58" s="216"/>
      <c r="IX58" s="216"/>
      <c r="IY58" s="216"/>
      <c r="IZ58" s="216"/>
      <c r="JA58" s="216"/>
      <c r="JB58" s="216"/>
      <c r="JC58" s="216"/>
      <c r="JD58" s="216"/>
      <c r="JE58" s="216"/>
      <c r="JF58" s="216"/>
      <c r="JG58" s="216"/>
      <c r="JH58" s="216"/>
      <c r="JI58" s="216"/>
      <c r="JJ58" s="216"/>
      <c r="JK58" s="216"/>
      <c r="JL58" s="216"/>
      <c r="JM58" s="216"/>
      <c r="JN58" s="216"/>
      <c r="JO58" s="216"/>
      <c r="JP58" s="216"/>
      <c r="JQ58" s="216"/>
      <c r="JR58" s="216"/>
      <c r="JS58" s="216"/>
      <c r="JT58" s="216"/>
      <c r="JU58" s="216"/>
      <c r="JV58" s="216"/>
      <c r="JW58" s="216"/>
      <c r="JX58" s="216"/>
      <c r="JY58" s="216"/>
      <c r="JZ58" s="216"/>
      <c r="KA58" s="216"/>
      <c r="KB58" s="216"/>
      <c r="KC58" s="216"/>
      <c r="KD58" s="216"/>
      <c r="KE58" s="216"/>
      <c r="KF58" s="216"/>
      <c r="KG58" s="216"/>
      <c r="KH58" s="216"/>
      <c r="KI58" s="216"/>
      <c r="KJ58" s="216"/>
      <c r="KK58" s="216"/>
      <c r="KL58" s="216"/>
      <c r="KM58" s="216"/>
      <c r="KN58" s="216"/>
      <c r="KO58" s="216"/>
      <c r="KP58" s="216"/>
      <c r="KQ58" s="216"/>
      <c r="KR58" s="216"/>
      <c r="KS58" s="216"/>
      <c r="KT58" s="216"/>
      <c r="KU58" s="216"/>
      <c r="KV58" s="216"/>
      <c r="KW58" s="216"/>
      <c r="KX58" s="216"/>
      <c r="KY58" s="216"/>
      <c r="KZ58" s="216"/>
      <c r="LA58" s="216"/>
      <c r="LB58" s="216"/>
      <c r="LC58" s="216"/>
      <c r="LD58" s="216"/>
      <c r="LE58" s="216"/>
    </row>
    <row r="59" spans="1:317" x14ac:dyDescent="0.2">
      <c r="A59" s="179" t="s">
        <v>849</v>
      </c>
      <c r="B59" s="180" t="s">
        <v>958</v>
      </c>
      <c r="C59" s="181"/>
      <c r="D59" s="182">
        <v>0</v>
      </c>
      <c r="E59" s="182">
        <v>0</v>
      </c>
      <c r="F59" s="183" t="s">
        <v>1242</v>
      </c>
      <c r="G59" s="183">
        <v>0</v>
      </c>
      <c r="H59" s="183">
        <v>0</v>
      </c>
      <c r="I59" s="183">
        <v>0</v>
      </c>
      <c r="J59" s="183">
        <v>0</v>
      </c>
      <c r="K59" s="183" t="s">
        <v>1375</v>
      </c>
      <c r="L59" s="183">
        <v>0</v>
      </c>
      <c r="M59" s="183">
        <v>0</v>
      </c>
      <c r="N59" s="183" t="s">
        <v>872</v>
      </c>
      <c r="O59" s="183">
        <v>0</v>
      </c>
      <c r="P59" s="183">
        <v>0</v>
      </c>
      <c r="Q59" s="183"/>
      <c r="R59" s="183"/>
      <c r="S59" s="183"/>
      <c r="T59" s="183"/>
      <c r="U59" s="183"/>
      <c r="V59" s="183">
        <v>0</v>
      </c>
      <c r="W59" s="183">
        <v>0</v>
      </c>
      <c r="X59" s="183">
        <v>0</v>
      </c>
      <c r="Y59" s="184">
        <v>0</v>
      </c>
      <c r="Z59" s="184">
        <v>18.440000000000001</v>
      </c>
      <c r="AA59" s="184">
        <v>0</v>
      </c>
      <c r="AB59" s="185" t="s">
        <v>615</v>
      </c>
      <c r="AC59" s="185" t="s">
        <v>615</v>
      </c>
      <c r="AD59" s="186" t="s">
        <v>872</v>
      </c>
      <c r="AE59" s="186" t="s">
        <v>852</v>
      </c>
      <c r="AF59" s="187">
        <v>7</v>
      </c>
      <c r="AG59" s="187">
        <v>3</v>
      </c>
      <c r="AH59" s="187">
        <v>4</v>
      </c>
      <c r="AI59" s="188">
        <v>1</v>
      </c>
      <c r="AJ59" s="188" t="s">
        <v>615</v>
      </c>
      <c r="AK59" s="187" t="s">
        <v>1736</v>
      </c>
      <c r="AL59" s="87" t="s">
        <v>615</v>
      </c>
      <c r="AM59" s="189"/>
      <c r="AN59" s="187" t="s">
        <v>615</v>
      </c>
      <c r="AO59" s="13" t="s">
        <v>615</v>
      </c>
      <c r="AP59" s="187">
        <v>0</v>
      </c>
      <c r="AQ59" s="187">
        <v>0</v>
      </c>
      <c r="AR59" s="190">
        <v>0</v>
      </c>
      <c r="AS59" s="190">
        <v>0</v>
      </c>
      <c r="AT59" s="190">
        <v>0</v>
      </c>
      <c r="AU59" s="187">
        <v>0</v>
      </c>
      <c r="AV59" s="187">
        <v>0</v>
      </c>
      <c r="AW59" s="191"/>
      <c r="AX59" s="192"/>
      <c r="AY59" s="193">
        <v>42666</v>
      </c>
      <c r="AZ59" s="193"/>
      <c r="BA59" s="193"/>
      <c r="BB59" s="194"/>
      <c r="BC59" s="194"/>
      <c r="BD59" s="195"/>
      <c r="BE59" s="195" t="s">
        <v>532</v>
      </c>
      <c r="BF59" s="195"/>
      <c r="BG59" s="195">
        <v>10</v>
      </c>
      <c r="BH59" s="196" t="s">
        <v>547</v>
      </c>
      <c r="BI59" s="197">
        <v>1</v>
      </c>
      <c r="BJ59" s="198"/>
      <c r="BK59" s="199">
        <v>0</v>
      </c>
      <c r="BL59" s="13">
        <v>0</v>
      </c>
      <c r="BM59" s="13">
        <v>0</v>
      </c>
      <c r="BN59" s="13" t="s">
        <v>616</v>
      </c>
      <c r="BO59" s="13" t="s">
        <v>616</v>
      </c>
      <c r="BP59" s="200">
        <v>10</v>
      </c>
      <c r="BQ59" s="201"/>
      <c r="BR59" s="202"/>
      <c r="BS59" s="187">
        <v>1000000000</v>
      </c>
      <c r="BT59" s="203">
        <v>0</v>
      </c>
      <c r="BU59" s="204">
        <v>0</v>
      </c>
      <c r="BV59" s="203">
        <v>0</v>
      </c>
      <c r="BW59" s="205">
        <v>0</v>
      </c>
      <c r="BX59" s="205">
        <v>0</v>
      </c>
      <c r="BY59" s="205">
        <v>0</v>
      </c>
      <c r="BZ59" s="203">
        <v>0</v>
      </c>
      <c r="CA59" s="203">
        <v>0</v>
      </c>
      <c r="CB59" s="203">
        <v>0</v>
      </c>
      <c r="CC59" s="204">
        <v>0</v>
      </c>
      <c r="CD59" s="203">
        <v>0</v>
      </c>
      <c r="CE59" s="203">
        <v>0</v>
      </c>
      <c r="CF59" s="13">
        <v>0</v>
      </c>
      <c r="CG59" s="206">
        <v>0</v>
      </c>
      <c r="CH59" s="207">
        <v>0</v>
      </c>
      <c r="CI59" s="201"/>
      <c r="CJ59" s="208"/>
      <c r="CK59" s="209" t="s">
        <v>615</v>
      </c>
      <c r="CL59" s="210" t="s">
        <v>615</v>
      </c>
      <c r="CM59" s="207">
        <v>0</v>
      </c>
      <c r="CN59" s="207">
        <v>0</v>
      </c>
      <c r="CO59" s="204">
        <v>0</v>
      </c>
      <c r="CP59" s="204">
        <v>0</v>
      </c>
      <c r="CQ59" s="211"/>
      <c r="CR59" s="204">
        <v>1</v>
      </c>
      <c r="CS59" s="212">
        <v>42531</v>
      </c>
      <c r="CT59" s="212">
        <v>42780</v>
      </c>
      <c r="CU59" s="213">
        <v>42780</v>
      </c>
      <c r="CV59" s="214">
        <v>42829</v>
      </c>
      <c r="CW59" s="214" t="s">
        <v>615</v>
      </c>
      <c r="CX59" s="214" t="s">
        <v>615</v>
      </c>
      <c r="CY59" s="204">
        <v>1</v>
      </c>
      <c r="CZ59" s="204">
        <v>0.97959183673469385</v>
      </c>
      <c r="DA59" s="203">
        <v>0</v>
      </c>
      <c r="DB59" s="204">
        <v>0.97959183673469385</v>
      </c>
      <c r="DC59" s="204">
        <v>0</v>
      </c>
      <c r="DD59" s="204">
        <v>0</v>
      </c>
      <c r="DE59" s="204">
        <v>0</v>
      </c>
      <c r="DF59" s="215">
        <v>0</v>
      </c>
      <c r="DG59" s="13" t="s">
        <v>615</v>
      </c>
      <c r="DH59" s="86">
        <v>57</v>
      </c>
      <c r="DI59" s="86"/>
      <c r="DJ59" s="86">
        <v>119</v>
      </c>
      <c r="DK59" s="86" t="s">
        <v>1593</v>
      </c>
      <c r="DL59" s="86" t="e">
        <v>#N/A</v>
      </c>
      <c r="DM59" s="86" t="e">
        <v>#N/A</v>
      </c>
      <c r="DN59" s="86" t="e">
        <v>#N/A</v>
      </c>
      <c r="DO59" s="86">
        <v>122</v>
      </c>
      <c r="DP59" s="86">
        <v>2</v>
      </c>
      <c r="DQ59" s="86">
        <v>49</v>
      </c>
      <c r="DR59" s="146">
        <v>0</v>
      </c>
      <c r="DS59" s="146">
        <v>0</v>
      </c>
      <c r="DT59" s="146">
        <v>0</v>
      </c>
      <c r="DU59" s="146">
        <v>0</v>
      </c>
      <c r="DV59" s="146">
        <v>0</v>
      </c>
      <c r="DW59" s="146">
        <v>0</v>
      </c>
      <c r="DX59" s="146">
        <v>0</v>
      </c>
      <c r="DY59" s="146">
        <v>0</v>
      </c>
      <c r="DZ59" s="146">
        <v>0</v>
      </c>
      <c r="EA59" s="146">
        <v>0</v>
      </c>
      <c r="EB59" s="146">
        <v>0</v>
      </c>
      <c r="EC59" s="146">
        <v>0</v>
      </c>
      <c r="ED59" s="146">
        <v>0</v>
      </c>
      <c r="EE59" s="146">
        <v>0</v>
      </c>
      <c r="EF59" s="146">
        <v>0</v>
      </c>
      <c r="EG59" s="146">
        <v>0</v>
      </c>
      <c r="EH59" s="146">
        <v>0</v>
      </c>
      <c r="EI59" s="146">
        <v>0</v>
      </c>
      <c r="EJ59" s="146">
        <v>0</v>
      </c>
      <c r="EK59" s="146">
        <v>0</v>
      </c>
      <c r="EL59" s="146">
        <v>0</v>
      </c>
      <c r="EM59" s="146">
        <v>0</v>
      </c>
      <c r="EN59" s="146">
        <v>0</v>
      </c>
      <c r="EO59" s="146">
        <v>0</v>
      </c>
      <c r="EP59" s="146">
        <v>0</v>
      </c>
      <c r="EQ59" s="146">
        <v>0</v>
      </c>
      <c r="ER59" s="146">
        <v>0</v>
      </c>
      <c r="ES59" s="146">
        <v>0</v>
      </c>
      <c r="ET59" s="146">
        <v>0</v>
      </c>
      <c r="EU59" s="146">
        <v>0</v>
      </c>
      <c r="EV59" s="146">
        <v>0</v>
      </c>
      <c r="EW59" s="146">
        <v>0</v>
      </c>
      <c r="EX59" s="146">
        <v>0</v>
      </c>
      <c r="EY59" s="146">
        <v>0</v>
      </c>
      <c r="EZ59" s="146">
        <v>0</v>
      </c>
      <c r="FA59" s="146">
        <v>0</v>
      </c>
      <c r="FB59" s="146">
        <v>0</v>
      </c>
      <c r="FC59" s="146">
        <v>0</v>
      </c>
      <c r="FD59" s="146">
        <v>0</v>
      </c>
      <c r="FE59" s="146">
        <v>0</v>
      </c>
      <c r="FF59" s="146">
        <v>0</v>
      </c>
      <c r="FG59" s="146">
        <v>0</v>
      </c>
      <c r="FH59" s="146">
        <v>0</v>
      </c>
      <c r="FI59" s="146">
        <v>0</v>
      </c>
      <c r="FJ59" s="146">
        <v>0</v>
      </c>
      <c r="FK59" s="146">
        <v>0</v>
      </c>
      <c r="FL59" s="146">
        <v>0</v>
      </c>
      <c r="FM59" s="146">
        <v>0</v>
      </c>
      <c r="FN59" s="146">
        <v>0</v>
      </c>
      <c r="FO59" s="146">
        <v>0</v>
      </c>
      <c r="FP59" s="146">
        <v>0</v>
      </c>
      <c r="FQ59" s="146">
        <v>0</v>
      </c>
      <c r="FR59" s="146">
        <v>0</v>
      </c>
      <c r="FS59" s="160">
        <v>0</v>
      </c>
      <c r="FT59" s="160">
        <v>0</v>
      </c>
      <c r="FU59" s="160">
        <v>0</v>
      </c>
      <c r="FV59" s="160">
        <v>0</v>
      </c>
      <c r="FW59" s="160">
        <v>0</v>
      </c>
      <c r="FX59" s="160">
        <v>0</v>
      </c>
      <c r="FY59" s="160">
        <v>0</v>
      </c>
      <c r="FZ59" s="160">
        <v>0</v>
      </c>
      <c r="GA59" s="160">
        <v>0</v>
      </c>
      <c r="GB59" s="160">
        <v>0</v>
      </c>
      <c r="GC59" s="160">
        <v>0</v>
      </c>
      <c r="GD59" s="160">
        <v>0</v>
      </c>
      <c r="GE59" s="160">
        <v>0</v>
      </c>
      <c r="GF59" s="160">
        <v>0</v>
      </c>
      <c r="GG59" s="160">
        <v>0</v>
      </c>
      <c r="GH59" s="160">
        <v>0</v>
      </c>
      <c r="GI59" s="160">
        <v>0</v>
      </c>
      <c r="GJ59" s="160">
        <v>0</v>
      </c>
      <c r="GK59" s="160">
        <v>0</v>
      </c>
      <c r="GL59" s="160">
        <v>0</v>
      </c>
      <c r="GM59" s="160">
        <v>0</v>
      </c>
      <c r="GN59" s="160">
        <v>0</v>
      </c>
      <c r="GO59" s="160">
        <v>0</v>
      </c>
      <c r="GP59" s="160">
        <v>0</v>
      </c>
      <c r="GQ59" s="160">
        <v>0</v>
      </c>
      <c r="GR59" s="160">
        <v>0</v>
      </c>
      <c r="GS59" s="160">
        <v>0</v>
      </c>
      <c r="GT59" s="160">
        <v>0</v>
      </c>
      <c r="GU59" s="160">
        <v>0</v>
      </c>
      <c r="GV59" s="160">
        <v>0</v>
      </c>
      <c r="GW59" s="160">
        <v>0</v>
      </c>
      <c r="GX59" s="160">
        <v>0</v>
      </c>
      <c r="GY59" s="160">
        <v>0</v>
      </c>
      <c r="GZ59" s="160">
        <v>0</v>
      </c>
      <c r="HA59" s="160">
        <v>0</v>
      </c>
      <c r="HB59" s="160">
        <v>0</v>
      </c>
      <c r="HC59" s="160">
        <v>0</v>
      </c>
      <c r="HD59" s="160">
        <v>0</v>
      </c>
      <c r="HE59" s="160">
        <v>0</v>
      </c>
      <c r="HF59" s="160">
        <v>0</v>
      </c>
      <c r="HG59" s="160">
        <v>0</v>
      </c>
      <c r="HH59" s="146">
        <v>0</v>
      </c>
      <c r="HI59" s="146">
        <v>0</v>
      </c>
      <c r="HJ59" s="146">
        <v>0</v>
      </c>
      <c r="HK59" s="146">
        <v>0</v>
      </c>
      <c r="HL59" s="146">
        <v>0</v>
      </c>
      <c r="HM59" s="146">
        <v>0</v>
      </c>
      <c r="HN59" s="146">
        <v>0</v>
      </c>
      <c r="HO59" s="146">
        <v>0</v>
      </c>
      <c r="HP59" s="146">
        <v>0</v>
      </c>
      <c r="HQ59" s="146">
        <v>0</v>
      </c>
      <c r="HR59" s="146">
        <v>0</v>
      </c>
      <c r="HS59" s="146">
        <v>0</v>
      </c>
      <c r="HT59" s="146">
        <v>0</v>
      </c>
      <c r="HU59" s="151"/>
      <c r="HV59" s="146">
        <v>0</v>
      </c>
      <c r="HW59" s="151"/>
      <c r="HX59" s="151"/>
      <c r="HY59" s="151"/>
      <c r="HZ59" s="151"/>
      <c r="IA59" s="151"/>
      <c r="IB59" s="151"/>
      <c r="IC59" s="151"/>
      <c r="ID59" s="151"/>
      <c r="IE59" s="151"/>
      <c r="IF59" s="151"/>
      <c r="IG59" s="151"/>
      <c r="IH59" s="151"/>
      <c r="II59" s="151"/>
      <c r="IJ59" s="151"/>
      <c r="IK59" s="151"/>
      <c r="IL59" s="151"/>
      <c r="IM59" s="151"/>
      <c r="IN59" s="151"/>
      <c r="IO59" s="151"/>
      <c r="IP59" s="151"/>
      <c r="IQ59" s="151"/>
      <c r="IR59" s="151"/>
      <c r="IS59" s="151"/>
      <c r="IT59" s="151"/>
      <c r="IU59" s="151"/>
      <c r="IV59" s="151"/>
      <c r="IW59" s="151"/>
      <c r="IX59" s="151"/>
      <c r="IY59" s="151"/>
      <c r="IZ59" s="151"/>
      <c r="JA59" s="151"/>
      <c r="JB59" s="151"/>
      <c r="JC59" s="151"/>
      <c r="JD59" s="151"/>
      <c r="JE59" s="151"/>
      <c r="JF59" s="151"/>
      <c r="JG59" s="151"/>
      <c r="JH59" s="151"/>
      <c r="JI59" s="151"/>
      <c r="JJ59" s="151"/>
      <c r="JK59" s="151"/>
      <c r="JL59" s="151"/>
      <c r="JM59" s="151"/>
      <c r="JN59" s="151"/>
      <c r="JO59" s="151"/>
      <c r="JP59" s="151"/>
      <c r="JQ59" s="151"/>
      <c r="JR59" s="151"/>
      <c r="JS59" s="151"/>
      <c r="JT59" s="151"/>
      <c r="JU59" s="151"/>
      <c r="JV59" s="151"/>
      <c r="JW59" s="151"/>
      <c r="JX59" s="151"/>
      <c r="JY59" s="151"/>
      <c r="JZ59" s="151"/>
      <c r="KA59" s="151"/>
      <c r="KB59" s="151"/>
      <c r="KC59" s="151"/>
      <c r="KD59" s="151"/>
      <c r="KE59" s="151"/>
      <c r="KF59" s="151"/>
      <c r="KG59" s="151"/>
      <c r="KH59" s="151"/>
      <c r="KI59" s="151"/>
      <c r="KJ59" s="151"/>
      <c r="KK59" s="151"/>
      <c r="KL59" s="151"/>
      <c r="KM59" s="151"/>
      <c r="KN59" s="151"/>
      <c r="KO59" s="151"/>
      <c r="KP59" s="151"/>
      <c r="KQ59" s="151"/>
      <c r="KR59" s="151"/>
      <c r="KS59" s="151"/>
      <c r="KT59" s="151"/>
      <c r="KU59" s="151"/>
      <c r="KV59" s="151"/>
      <c r="KW59" s="151"/>
      <c r="KX59" s="151"/>
      <c r="KY59" s="151"/>
      <c r="KZ59" s="151"/>
      <c r="LA59" s="151"/>
      <c r="LB59" s="151"/>
      <c r="LC59" s="151"/>
      <c r="LD59" s="151"/>
      <c r="LE59" s="151"/>
    </row>
    <row r="60" spans="1:317" x14ac:dyDescent="0.2">
      <c r="A60" s="179" t="s">
        <v>849</v>
      </c>
      <c r="B60" s="180" t="s">
        <v>959</v>
      </c>
      <c r="C60" s="181"/>
      <c r="D60" s="182">
        <v>0</v>
      </c>
      <c r="E60" s="182">
        <v>0</v>
      </c>
      <c r="F60" s="183" t="s">
        <v>1243</v>
      </c>
      <c r="G60" s="183">
        <v>0</v>
      </c>
      <c r="H60" s="183">
        <v>0</v>
      </c>
      <c r="I60" s="183">
        <v>0</v>
      </c>
      <c r="J60" s="183">
        <v>0</v>
      </c>
      <c r="K60" s="183" t="s">
        <v>1375</v>
      </c>
      <c r="L60" s="183">
        <v>0</v>
      </c>
      <c r="M60" s="183">
        <v>0</v>
      </c>
      <c r="N60" s="183" t="s">
        <v>872</v>
      </c>
      <c r="O60" s="183">
        <v>0</v>
      </c>
      <c r="P60" s="183">
        <v>0</v>
      </c>
      <c r="Q60" s="183"/>
      <c r="R60" s="183"/>
      <c r="S60" s="183"/>
      <c r="T60" s="183"/>
      <c r="U60" s="183"/>
      <c r="V60" s="183">
        <v>0</v>
      </c>
      <c r="W60" s="183">
        <v>0</v>
      </c>
      <c r="X60" s="183">
        <v>0</v>
      </c>
      <c r="Y60" s="184">
        <v>0</v>
      </c>
      <c r="Z60" s="184">
        <v>18.440000000000001</v>
      </c>
      <c r="AA60" s="184">
        <v>0</v>
      </c>
      <c r="AB60" s="185" t="s">
        <v>615</v>
      </c>
      <c r="AC60" s="185" t="s">
        <v>615</v>
      </c>
      <c r="AD60" s="186" t="s">
        <v>872</v>
      </c>
      <c r="AE60" s="186" t="s">
        <v>852</v>
      </c>
      <c r="AF60" s="187">
        <v>7</v>
      </c>
      <c r="AG60" s="187">
        <v>3</v>
      </c>
      <c r="AH60" s="187">
        <v>4</v>
      </c>
      <c r="AI60" s="188">
        <v>1</v>
      </c>
      <c r="AJ60" s="188" t="s">
        <v>615</v>
      </c>
      <c r="AK60" s="187" t="s">
        <v>1736</v>
      </c>
      <c r="AL60" s="87" t="s">
        <v>615</v>
      </c>
      <c r="AM60" s="189"/>
      <c r="AN60" s="187" t="s">
        <v>615</v>
      </c>
      <c r="AO60" s="13" t="s">
        <v>615</v>
      </c>
      <c r="AP60" s="187">
        <v>0</v>
      </c>
      <c r="AQ60" s="187">
        <v>0</v>
      </c>
      <c r="AR60" s="190">
        <v>0</v>
      </c>
      <c r="AS60" s="190">
        <v>0</v>
      </c>
      <c r="AT60" s="190">
        <v>0</v>
      </c>
      <c r="AU60" s="187">
        <v>0</v>
      </c>
      <c r="AV60" s="187">
        <v>0</v>
      </c>
      <c r="AW60" s="191"/>
      <c r="AX60" s="192"/>
      <c r="AY60" s="193">
        <v>42666</v>
      </c>
      <c r="AZ60" s="193"/>
      <c r="BA60" s="193"/>
      <c r="BB60" s="194"/>
      <c r="BC60" s="194"/>
      <c r="BD60" s="195"/>
      <c r="BE60" s="195" t="s">
        <v>532</v>
      </c>
      <c r="BF60" s="195"/>
      <c r="BG60" s="195">
        <v>10</v>
      </c>
      <c r="BH60" s="196" t="s">
        <v>547</v>
      </c>
      <c r="BI60" s="197">
        <v>1</v>
      </c>
      <c r="BJ60" s="198"/>
      <c r="BK60" s="199">
        <v>0</v>
      </c>
      <c r="BL60" s="13">
        <v>0</v>
      </c>
      <c r="BM60" s="13">
        <v>0</v>
      </c>
      <c r="BN60" s="13" t="s">
        <v>616</v>
      </c>
      <c r="BO60" s="13" t="s">
        <v>616</v>
      </c>
      <c r="BP60" s="200">
        <v>10</v>
      </c>
      <c r="BQ60" s="201"/>
      <c r="BR60" s="202"/>
      <c r="BS60" s="187">
        <v>1000000000</v>
      </c>
      <c r="BT60" s="203">
        <v>0</v>
      </c>
      <c r="BU60" s="204">
        <v>0</v>
      </c>
      <c r="BV60" s="203">
        <v>0</v>
      </c>
      <c r="BW60" s="205">
        <v>0</v>
      </c>
      <c r="BX60" s="205">
        <v>0</v>
      </c>
      <c r="BY60" s="205">
        <v>0</v>
      </c>
      <c r="BZ60" s="203">
        <v>0</v>
      </c>
      <c r="CA60" s="203">
        <v>0</v>
      </c>
      <c r="CB60" s="203">
        <v>0</v>
      </c>
      <c r="CC60" s="204">
        <v>0</v>
      </c>
      <c r="CD60" s="203">
        <v>0</v>
      </c>
      <c r="CE60" s="203">
        <v>0</v>
      </c>
      <c r="CF60" s="13">
        <v>0</v>
      </c>
      <c r="CG60" s="206">
        <v>0</v>
      </c>
      <c r="CH60" s="207">
        <v>0</v>
      </c>
      <c r="CI60" s="201"/>
      <c r="CJ60" s="208"/>
      <c r="CK60" s="209" t="s">
        <v>615</v>
      </c>
      <c r="CL60" s="210" t="s">
        <v>615</v>
      </c>
      <c r="CM60" s="207">
        <v>0</v>
      </c>
      <c r="CN60" s="207">
        <v>0</v>
      </c>
      <c r="CO60" s="204">
        <v>0</v>
      </c>
      <c r="CP60" s="204">
        <v>0</v>
      </c>
      <c r="CQ60" s="211"/>
      <c r="CR60" s="204">
        <v>1</v>
      </c>
      <c r="CS60" s="212">
        <v>42531</v>
      </c>
      <c r="CT60" s="212">
        <v>42780</v>
      </c>
      <c r="CU60" s="213">
        <v>42780</v>
      </c>
      <c r="CV60" s="214">
        <v>42829</v>
      </c>
      <c r="CW60" s="214" t="s">
        <v>615</v>
      </c>
      <c r="CX60" s="214" t="s">
        <v>615</v>
      </c>
      <c r="CY60" s="204">
        <v>1</v>
      </c>
      <c r="CZ60" s="204">
        <v>0.97959183673469385</v>
      </c>
      <c r="DA60" s="203">
        <v>0</v>
      </c>
      <c r="DB60" s="204">
        <v>0.97959183673469385</v>
      </c>
      <c r="DC60" s="204">
        <v>0</v>
      </c>
      <c r="DD60" s="204">
        <v>0</v>
      </c>
      <c r="DE60" s="204">
        <v>0</v>
      </c>
      <c r="DF60" s="215">
        <v>0</v>
      </c>
      <c r="DG60" s="13" t="s">
        <v>615</v>
      </c>
      <c r="DH60" s="86">
        <v>58</v>
      </c>
      <c r="DI60" s="86"/>
      <c r="DJ60" s="86">
        <v>118</v>
      </c>
      <c r="DK60" s="86" t="s">
        <v>1592</v>
      </c>
      <c r="DL60" s="86" t="e">
        <v>#N/A</v>
      </c>
      <c r="DM60" s="86" t="e">
        <v>#N/A</v>
      </c>
      <c r="DN60" s="86" t="e">
        <v>#N/A</v>
      </c>
      <c r="DO60" s="86">
        <v>121</v>
      </c>
      <c r="DP60" s="86">
        <v>2</v>
      </c>
      <c r="DQ60" s="86">
        <v>49</v>
      </c>
      <c r="DR60" s="152">
        <v>0</v>
      </c>
      <c r="DS60" s="152">
        <v>0</v>
      </c>
      <c r="DT60" s="152">
        <v>0</v>
      </c>
      <c r="DU60" s="152">
        <v>0</v>
      </c>
      <c r="DV60" s="152">
        <v>0</v>
      </c>
      <c r="DW60" s="152">
        <v>0</v>
      </c>
      <c r="DX60" s="152">
        <v>0</v>
      </c>
      <c r="DY60" s="152">
        <v>0</v>
      </c>
      <c r="DZ60" s="152">
        <v>0</v>
      </c>
      <c r="EA60" s="152">
        <v>0</v>
      </c>
      <c r="EB60" s="152">
        <v>0</v>
      </c>
      <c r="EC60" s="152">
        <v>0</v>
      </c>
      <c r="ED60" s="152">
        <v>0</v>
      </c>
      <c r="EE60" s="152">
        <v>0</v>
      </c>
      <c r="EF60" s="152">
        <v>0</v>
      </c>
      <c r="EG60" s="152">
        <v>0</v>
      </c>
      <c r="EH60" s="152">
        <v>0</v>
      </c>
      <c r="EI60" s="152">
        <v>0</v>
      </c>
      <c r="EJ60" s="152">
        <v>0</v>
      </c>
      <c r="EK60" s="152">
        <v>0</v>
      </c>
      <c r="EL60" s="152">
        <v>0</v>
      </c>
      <c r="EM60" s="152">
        <v>0</v>
      </c>
      <c r="EN60" s="152">
        <v>0</v>
      </c>
      <c r="EO60" s="152">
        <v>0</v>
      </c>
      <c r="EP60" s="152">
        <v>0</v>
      </c>
      <c r="EQ60" s="152">
        <v>0</v>
      </c>
      <c r="ER60" s="152">
        <v>0</v>
      </c>
      <c r="ES60" s="152">
        <v>0</v>
      </c>
      <c r="ET60" s="152">
        <v>0</v>
      </c>
      <c r="EU60" s="152">
        <v>0</v>
      </c>
      <c r="EV60" s="152">
        <v>0</v>
      </c>
      <c r="EW60" s="152">
        <v>0</v>
      </c>
      <c r="EX60" s="152">
        <v>0</v>
      </c>
      <c r="EY60" s="152">
        <v>0</v>
      </c>
      <c r="EZ60" s="152">
        <v>0</v>
      </c>
      <c r="FA60" s="152">
        <v>0</v>
      </c>
      <c r="FB60" s="152">
        <v>0</v>
      </c>
      <c r="FC60" s="152">
        <v>0</v>
      </c>
      <c r="FD60" s="152">
        <v>0</v>
      </c>
      <c r="FE60" s="152">
        <v>0</v>
      </c>
      <c r="FF60" s="152">
        <v>0</v>
      </c>
      <c r="FG60" s="152">
        <v>0</v>
      </c>
      <c r="FH60" s="152">
        <v>0</v>
      </c>
      <c r="FI60" s="152">
        <v>0</v>
      </c>
      <c r="FJ60" s="152">
        <v>0</v>
      </c>
      <c r="FK60" s="152">
        <v>0</v>
      </c>
      <c r="FL60" s="152">
        <v>0</v>
      </c>
      <c r="FM60" s="152">
        <v>0</v>
      </c>
      <c r="FN60" s="152">
        <v>0</v>
      </c>
      <c r="FO60" s="152">
        <v>0</v>
      </c>
      <c r="FP60" s="152">
        <v>0</v>
      </c>
      <c r="FQ60" s="152">
        <v>0</v>
      </c>
      <c r="FR60" s="152">
        <v>0</v>
      </c>
      <c r="FS60" s="166">
        <v>0</v>
      </c>
      <c r="FT60" s="166">
        <v>0</v>
      </c>
      <c r="FU60" s="166">
        <v>0</v>
      </c>
      <c r="FV60" s="166">
        <v>0</v>
      </c>
      <c r="FW60" s="166">
        <v>0</v>
      </c>
      <c r="FX60" s="166">
        <v>0</v>
      </c>
      <c r="FY60" s="166">
        <v>0</v>
      </c>
      <c r="FZ60" s="166">
        <v>0</v>
      </c>
      <c r="GA60" s="166">
        <v>0</v>
      </c>
      <c r="GB60" s="166">
        <v>0</v>
      </c>
      <c r="GC60" s="166">
        <v>0</v>
      </c>
      <c r="GD60" s="166">
        <v>0</v>
      </c>
      <c r="GE60" s="166">
        <v>0</v>
      </c>
      <c r="GF60" s="166">
        <v>0</v>
      </c>
      <c r="GG60" s="166">
        <v>0</v>
      </c>
      <c r="GH60" s="166">
        <v>0</v>
      </c>
      <c r="GI60" s="166">
        <v>0</v>
      </c>
      <c r="GJ60" s="166">
        <v>0</v>
      </c>
      <c r="GK60" s="166">
        <v>0</v>
      </c>
      <c r="GL60" s="166">
        <v>0</v>
      </c>
      <c r="GM60" s="166">
        <v>0</v>
      </c>
      <c r="GN60" s="166">
        <v>0</v>
      </c>
      <c r="GO60" s="166">
        <v>0</v>
      </c>
      <c r="GP60" s="166">
        <v>0</v>
      </c>
      <c r="GQ60" s="166">
        <v>0</v>
      </c>
      <c r="GR60" s="166">
        <v>0</v>
      </c>
      <c r="GS60" s="166">
        <v>0</v>
      </c>
      <c r="GT60" s="166">
        <v>0</v>
      </c>
      <c r="GU60" s="166">
        <v>0</v>
      </c>
      <c r="GV60" s="166">
        <v>0</v>
      </c>
      <c r="GW60" s="166">
        <v>0</v>
      </c>
      <c r="GX60" s="166">
        <v>0</v>
      </c>
      <c r="GY60" s="166">
        <v>0</v>
      </c>
      <c r="GZ60" s="166">
        <v>0</v>
      </c>
      <c r="HA60" s="166">
        <v>0</v>
      </c>
      <c r="HB60" s="166">
        <v>0</v>
      </c>
      <c r="HC60" s="166">
        <v>0</v>
      </c>
      <c r="HD60" s="166">
        <v>0</v>
      </c>
      <c r="HE60" s="166">
        <v>0</v>
      </c>
      <c r="HF60" s="166">
        <v>0</v>
      </c>
      <c r="HG60" s="166">
        <v>0</v>
      </c>
      <c r="HH60" s="152">
        <v>0</v>
      </c>
      <c r="HI60" s="152">
        <v>0</v>
      </c>
      <c r="HJ60" s="152">
        <v>0</v>
      </c>
      <c r="HK60" s="152">
        <v>0</v>
      </c>
      <c r="HL60" s="152">
        <v>0</v>
      </c>
      <c r="HM60" s="152">
        <v>0</v>
      </c>
      <c r="HN60" s="152">
        <v>0</v>
      </c>
      <c r="HO60" s="152">
        <v>0</v>
      </c>
      <c r="HP60" s="152">
        <v>0</v>
      </c>
      <c r="HQ60" s="152">
        <v>0</v>
      </c>
      <c r="HR60" s="152">
        <v>0</v>
      </c>
      <c r="HS60" s="152">
        <v>0</v>
      </c>
      <c r="HT60" s="152">
        <v>0</v>
      </c>
      <c r="HU60" s="216"/>
      <c r="HV60" s="152">
        <v>0</v>
      </c>
      <c r="HW60" s="216"/>
      <c r="HX60" s="216"/>
      <c r="HY60" s="216"/>
      <c r="HZ60" s="216"/>
      <c r="IA60" s="216"/>
      <c r="IB60" s="216"/>
      <c r="IC60" s="216"/>
      <c r="ID60" s="216"/>
      <c r="IE60" s="216"/>
      <c r="IF60" s="216"/>
      <c r="IG60" s="216"/>
      <c r="IH60" s="216"/>
      <c r="II60" s="216"/>
      <c r="IJ60" s="216"/>
      <c r="IK60" s="216"/>
      <c r="IL60" s="216"/>
      <c r="IM60" s="216"/>
      <c r="IN60" s="216"/>
      <c r="IO60" s="216"/>
      <c r="IP60" s="216"/>
      <c r="IQ60" s="216"/>
      <c r="IR60" s="216"/>
      <c r="IS60" s="216"/>
      <c r="IT60" s="216"/>
      <c r="IU60" s="216"/>
      <c r="IV60" s="216"/>
      <c r="IW60" s="216"/>
      <c r="IX60" s="216"/>
      <c r="IY60" s="216"/>
      <c r="IZ60" s="216"/>
      <c r="JA60" s="216"/>
      <c r="JB60" s="216"/>
      <c r="JC60" s="216"/>
      <c r="JD60" s="216"/>
      <c r="JE60" s="216"/>
      <c r="JF60" s="216"/>
      <c r="JG60" s="216"/>
      <c r="JH60" s="216"/>
      <c r="JI60" s="216"/>
      <c r="JJ60" s="216"/>
      <c r="JK60" s="216"/>
      <c r="JL60" s="216"/>
      <c r="JM60" s="216"/>
      <c r="JN60" s="216"/>
      <c r="JO60" s="216"/>
      <c r="JP60" s="216"/>
      <c r="JQ60" s="216"/>
      <c r="JR60" s="216"/>
      <c r="JS60" s="216"/>
      <c r="JT60" s="216"/>
      <c r="JU60" s="216"/>
      <c r="JV60" s="216"/>
      <c r="JW60" s="216"/>
      <c r="JX60" s="216"/>
      <c r="JY60" s="216"/>
      <c r="JZ60" s="216"/>
      <c r="KA60" s="216"/>
      <c r="KB60" s="216"/>
      <c r="KC60" s="216"/>
      <c r="KD60" s="216"/>
      <c r="KE60" s="216"/>
      <c r="KF60" s="216"/>
      <c r="KG60" s="216"/>
      <c r="KH60" s="216"/>
      <c r="KI60" s="216"/>
      <c r="KJ60" s="216"/>
      <c r="KK60" s="216"/>
      <c r="KL60" s="216"/>
      <c r="KM60" s="216"/>
      <c r="KN60" s="216"/>
      <c r="KO60" s="216"/>
      <c r="KP60" s="216"/>
      <c r="KQ60" s="216"/>
      <c r="KR60" s="216"/>
      <c r="KS60" s="216"/>
      <c r="KT60" s="216"/>
      <c r="KU60" s="216"/>
      <c r="KV60" s="216"/>
      <c r="KW60" s="216"/>
      <c r="KX60" s="216"/>
      <c r="KY60" s="216"/>
      <c r="KZ60" s="216"/>
      <c r="LA60" s="216"/>
      <c r="LB60" s="216"/>
      <c r="LC60" s="216"/>
      <c r="LD60" s="216"/>
      <c r="LE60" s="216"/>
    </row>
    <row r="61" spans="1:317" x14ac:dyDescent="0.2">
      <c r="A61" s="179" t="s">
        <v>849</v>
      </c>
      <c r="B61" s="180" t="s">
        <v>960</v>
      </c>
      <c r="C61" s="181"/>
      <c r="D61" s="182">
        <v>0</v>
      </c>
      <c r="E61" s="182">
        <v>0</v>
      </c>
      <c r="F61" s="183" t="s">
        <v>1244</v>
      </c>
      <c r="G61" s="183">
        <v>0</v>
      </c>
      <c r="H61" s="183">
        <v>0</v>
      </c>
      <c r="I61" s="183">
        <v>0</v>
      </c>
      <c r="J61" s="183">
        <v>0</v>
      </c>
      <c r="K61" s="183" t="s">
        <v>1375</v>
      </c>
      <c r="L61" s="183">
        <v>0</v>
      </c>
      <c r="M61" s="183">
        <v>0</v>
      </c>
      <c r="N61" s="183" t="s">
        <v>872</v>
      </c>
      <c r="O61" s="183">
        <v>0</v>
      </c>
      <c r="P61" s="183">
        <v>0</v>
      </c>
      <c r="Q61" s="183"/>
      <c r="R61" s="183"/>
      <c r="S61" s="183"/>
      <c r="T61" s="183"/>
      <c r="U61" s="183"/>
      <c r="V61" s="183">
        <v>0</v>
      </c>
      <c r="W61" s="183">
        <v>0</v>
      </c>
      <c r="X61" s="183">
        <v>0</v>
      </c>
      <c r="Y61" s="184">
        <v>0</v>
      </c>
      <c r="Z61" s="184">
        <v>0</v>
      </c>
      <c r="AA61" s="184">
        <v>0</v>
      </c>
      <c r="AB61" s="185" t="s">
        <v>615</v>
      </c>
      <c r="AC61" s="185" t="s">
        <v>615</v>
      </c>
      <c r="AD61" s="186" t="s">
        <v>872</v>
      </c>
      <c r="AE61" s="186" t="s">
        <v>852</v>
      </c>
      <c r="AF61" s="187">
        <v>7</v>
      </c>
      <c r="AG61" s="187">
        <v>3</v>
      </c>
      <c r="AH61" s="187">
        <v>4</v>
      </c>
      <c r="AI61" s="188">
        <v>1</v>
      </c>
      <c r="AJ61" s="188" t="s">
        <v>615</v>
      </c>
      <c r="AK61" s="187" t="s">
        <v>1736</v>
      </c>
      <c r="AL61" s="87" t="s">
        <v>615</v>
      </c>
      <c r="AM61" s="189"/>
      <c r="AN61" s="187" t="s">
        <v>615</v>
      </c>
      <c r="AO61" s="13" t="s">
        <v>615</v>
      </c>
      <c r="AP61" s="187">
        <v>0</v>
      </c>
      <c r="AQ61" s="187">
        <v>0</v>
      </c>
      <c r="AR61" s="190">
        <v>0</v>
      </c>
      <c r="AS61" s="190">
        <v>0</v>
      </c>
      <c r="AT61" s="190">
        <v>0</v>
      </c>
      <c r="AU61" s="187">
        <v>0</v>
      </c>
      <c r="AV61" s="187">
        <v>0</v>
      </c>
      <c r="AW61" s="191"/>
      <c r="AX61" s="192"/>
      <c r="AY61" s="193">
        <v>42666</v>
      </c>
      <c r="AZ61" s="193"/>
      <c r="BA61" s="193"/>
      <c r="BB61" s="194"/>
      <c r="BC61" s="194"/>
      <c r="BD61" s="195"/>
      <c r="BE61" s="195" t="s">
        <v>532</v>
      </c>
      <c r="BF61" s="195"/>
      <c r="BG61" s="195">
        <v>10</v>
      </c>
      <c r="BH61" s="196" t="s">
        <v>547</v>
      </c>
      <c r="BI61" s="197">
        <v>1</v>
      </c>
      <c r="BJ61" s="198"/>
      <c r="BK61" s="199">
        <v>0</v>
      </c>
      <c r="BL61" s="13">
        <v>0</v>
      </c>
      <c r="BM61" s="13">
        <v>0</v>
      </c>
      <c r="BN61" s="13" t="s">
        <v>616</v>
      </c>
      <c r="BO61" s="13" t="s">
        <v>616</v>
      </c>
      <c r="BP61" s="200">
        <v>10</v>
      </c>
      <c r="BQ61" s="201"/>
      <c r="BR61" s="202"/>
      <c r="BS61" s="187">
        <v>1000000000</v>
      </c>
      <c r="BT61" s="203">
        <v>0</v>
      </c>
      <c r="BU61" s="204">
        <v>0</v>
      </c>
      <c r="BV61" s="203">
        <v>0</v>
      </c>
      <c r="BW61" s="205">
        <v>0</v>
      </c>
      <c r="BX61" s="205">
        <v>0</v>
      </c>
      <c r="BY61" s="205">
        <v>0</v>
      </c>
      <c r="BZ61" s="203">
        <v>0</v>
      </c>
      <c r="CA61" s="203">
        <v>0</v>
      </c>
      <c r="CB61" s="203">
        <v>0</v>
      </c>
      <c r="CC61" s="204">
        <v>0</v>
      </c>
      <c r="CD61" s="203">
        <v>0</v>
      </c>
      <c r="CE61" s="203">
        <v>0</v>
      </c>
      <c r="CF61" s="13">
        <v>0</v>
      </c>
      <c r="CG61" s="206">
        <v>0</v>
      </c>
      <c r="CH61" s="207">
        <v>0</v>
      </c>
      <c r="CI61" s="201"/>
      <c r="CJ61" s="208"/>
      <c r="CK61" s="209" t="s">
        <v>615</v>
      </c>
      <c r="CL61" s="210" t="s">
        <v>615</v>
      </c>
      <c r="CM61" s="207">
        <v>0</v>
      </c>
      <c r="CN61" s="207">
        <v>0</v>
      </c>
      <c r="CO61" s="204">
        <v>0</v>
      </c>
      <c r="CP61" s="204">
        <v>0</v>
      </c>
      <c r="CQ61" s="211"/>
      <c r="CR61" s="204">
        <v>1</v>
      </c>
      <c r="CS61" s="212">
        <v>42531</v>
      </c>
      <c r="CT61" s="212">
        <v>42780</v>
      </c>
      <c r="CU61" s="213">
        <v>42780</v>
      </c>
      <c r="CV61" s="214">
        <v>42829</v>
      </c>
      <c r="CW61" s="214" t="s">
        <v>615</v>
      </c>
      <c r="CX61" s="214" t="s">
        <v>615</v>
      </c>
      <c r="CY61" s="204">
        <v>1</v>
      </c>
      <c r="CZ61" s="204">
        <v>0.97959183673469385</v>
      </c>
      <c r="DA61" s="203">
        <v>0</v>
      </c>
      <c r="DB61" s="204">
        <v>0.97959183673469385</v>
      </c>
      <c r="DC61" s="204">
        <v>0</v>
      </c>
      <c r="DD61" s="204">
        <v>0</v>
      </c>
      <c r="DE61" s="204">
        <v>0</v>
      </c>
      <c r="DF61" s="215">
        <v>0</v>
      </c>
      <c r="DG61" s="13" t="s">
        <v>615</v>
      </c>
      <c r="DH61" s="86">
        <v>59</v>
      </c>
      <c r="DI61" s="86"/>
      <c r="DJ61" s="86">
        <v>117</v>
      </c>
      <c r="DK61" s="86" t="s">
        <v>1591</v>
      </c>
      <c r="DL61" s="86" t="e">
        <v>#N/A</v>
      </c>
      <c r="DM61" s="86" t="e">
        <v>#N/A</v>
      </c>
      <c r="DN61" s="86" t="e">
        <v>#N/A</v>
      </c>
      <c r="DO61" s="86">
        <v>120</v>
      </c>
      <c r="DP61" s="86">
        <v>2</v>
      </c>
      <c r="DQ61" s="86">
        <v>49</v>
      </c>
      <c r="DR61" s="146">
        <v>0</v>
      </c>
      <c r="DS61" s="146">
        <v>0</v>
      </c>
      <c r="DT61" s="146">
        <v>0</v>
      </c>
      <c r="DU61" s="146">
        <v>0</v>
      </c>
      <c r="DV61" s="146">
        <v>0</v>
      </c>
      <c r="DW61" s="146">
        <v>0</v>
      </c>
      <c r="DX61" s="146">
        <v>0</v>
      </c>
      <c r="DY61" s="146">
        <v>0</v>
      </c>
      <c r="DZ61" s="146">
        <v>0</v>
      </c>
      <c r="EA61" s="146">
        <v>0</v>
      </c>
      <c r="EB61" s="146">
        <v>0</v>
      </c>
      <c r="EC61" s="146">
        <v>0</v>
      </c>
      <c r="ED61" s="146">
        <v>0</v>
      </c>
      <c r="EE61" s="146">
        <v>0</v>
      </c>
      <c r="EF61" s="146">
        <v>0</v>
      </c>
      <c r="EG61" s="146">
        <v>0</v>
      </c>
      <c r="EH61" s="146">
        <v>0</v>
      </c>
      <c r="EI61" s="146">
        <v>0</v>
      </c>
      <c r="EJ61" s="146">
        <v>0</v>
      </c>
      <c r="EK61" s="146">
        <v>0</v>
      </c>
      <c r="EL61" s="146">
        <v>0</v>
      </c>
      <c r="EM61" s="146">
        <v>0</v>
      </c>
      <c r="EN61" s="146">
        <v>0</v>
      </c>
      <c r="EO61" s="146">
        <v>0</v>
      </c>
      <c r="EP61" s="146">
        <v>0</v>
      </c>
      <c r="EQ61" s="146">
        <v>0</v>
      </c>
      <c r="ER61" s="146">
        <v>0</v>
      </c>
      <c r="ES61" s="146">
        <v>0</v>
      </c>
      <c r="ET61" s="146">
        <v>0</v>
      </c>
      <c r="EU61" s="146">
        <v>0</v>
      </c>
      <c r="EV61" s="146">
        <v>0</v>
      </c>
      <c r="EW61" s="146">
        <v>0</v>
      </c>
      <c r="EX61" s="146">
        <v>0</v>
      </c>
      <c r="EY61" s="146">
        <v>0</v>
      </c>
      <c r="EZ61" s="146">
        <v>0</v>
      </c>
      <c r="FA61" s="146">
        <v>0</v>
      </c>
      <c r="FB61" s="146">
        <v>0</v>
      </c>
      <c r="FC61" s="146">
        <v>0</v>
      </c>
      <c r="FD61" s="146">
        <v>0</v>
      </c>
      <c r="FE61" s="146">
        <v>0</v>
      </c>
      <c r="FF61" s="146">
        <v>0</v>
      </c>
      <c r="FG61" s="146">
        <v>0</v>
      </c>
      <c r="FH61" s="146">
        <v>0</v>
      </c>
      <c r="FI61" s="146">
        <v>0</v>
      </c>
      <c r="FJ61" s="146">
        <v>0</v>
      </c>
      <c r="FK61" s="146">
        <v>0</v>
      </c>
      <c r="FL61" s="146">
        <v>0</v>
      </c>
      <c r="FM61" s="146">
        <v>0</v>
      </c>
      <c r="FN61" s="146">
        <v>0</v>
      </c>
      <c r="FO61" s="146">
        <v>0</v>
      </c>
      <c r="FP61" s="146">
        <v>0</v>
      </c>
      <c r="FQ61" s="146">
        <v>0</v>
      </c>
      <c r="FR61" s="146">
        <v>0</v>
      </c>
      <c r="FS61" s="160">
        <v>0</v>
      </c>
      <c r="FT61" s="160">
        <v>0</v>
      </c>
      <c r="FU61" s="160">
        <v>0</v>
      </c>
      <c r="FV61" s="160">
        <v>0</v>
      </c>
      <c r="FW61" s="160">
        <v>0</v>
      </c>
      <c r="FX61" s="160">
        <v>0</v>
      </c>
      <c r="FY61" s="160">
        <v>0</v>
      </c>
      <c r="FZ61" s="160">
        <v>0</v>
      </c>
      <c r="GA61" s="160">
        <v>0</v>
      </c>
      <c r="GB61" s="160">
        <v>0</v>
      </c>
      <c r="GC61" s="160">
        <v>0</v>
      </c>
      <c r="GD61" s="160">
        <v>0</v>
      </c>
      <c r="GE61" s="160">
        <v>0</v>
      </c>
      <c r="GF61" s="160">
        <v>0</v>
      </c>
      <c r="GG61" s="160">
        <v>0</v>
      </c>
      <c r="GH61" s="160">
        <v>0</v>
      </c>
      <c r="GI61" s="160">
        <v>0</v>
      </c>
      <c r="GJ61" s="160">
        <v>0</v>
      </c>
      <c r="GK61" s="160">
        <v>0</v>
      </c>
      <c r="GL61" s="160">
        <v>0</v>
      </c>
      <c r="GM61" s="160">
        <v>0</v>
      </c>
      <c r="GN61" s="160">
        <v>0</v>
      </c>
      <c r="GO61" s="160">
        <v>0</v>
      </c>
      <c r="GP61" s="160">
        <v>0</v>
      </c>
      <c r="GQ61" s="160">
        <v>0</v>
      </c>
      <c r="GR61" s="160">
        <v>0</v>
      </c>
      <c r="GS61" s="160">
        <v>0</v>
      </c>
      <c r="GT61" s="160">
        <v>0</v>
      </c>
      <c r="GU61" s="160">
        <v>0</v>
      </c>
      <c r="GV61" s="160">
        <v>0</v>
      </c>
      <c r="GW61" s="160">
        <v>0</v>
      </c>
      <c r="GX61" s="160">
        <v>0</v>
      </c>
      <c r="GY61" s="160">
        <v>0</v>
      </c>
      <c r="GZ61" s="160">
        <v>0</v>
      </c>
      <c r="HA61" s="160">
        <v>0</v>
      </c>
      <c r="HB61" s="160">
        <v>0</v>
      </c>
      <c r="HC61" s="160">
        <v>0</v>
      </c>
      <c r="HD61" s="160">
        <v>0</v>
      </c>
      <c r="HE61" s="160">
        <v>0</v>
      </c>
      <c r="HF61" s="160">
        <v>0</v>
      </c>
      <c r="HG61" s="160">
        <v>0</v>
      </c>
      <c r="HH61" s="146">
        <v>0</v>
      </c>
      <c r="HI61" s="146">
        <v>0</v>
      </c>
      <c r="HJ61" s="146">
        <v>0</v>
      </c>
      <c r="HK61" s="146">
        <v>0</v>
      </c>
      <c r="HL61" s="146">
        <v>0</v>
      </c>
      <c r="HM61" s="146">
        <v>0</v>
      </c>
      <c r="HN61" s="146">
        <v>0</v>
      </c>
      <c r="HO61" s="146">
        <v>0</v>
      </c>
      <c r="HP61" s="146">
        <v>0</v>
      </c>
      <c r="HQ61" s="146">
        <v>0</v>
      </c>
      <c r="HR61" s="146">
        <v>0</v>
      </c>
      <c r="HS61" s="146">
        <v>0</v>
      </c>
      <c r="HT61" s="146">
        <v>0</v>
      </c>
      <c r="HU61" s="151"/>
      <c r="HV61" s="146">
        <v>0</v>
      </c>
      <c r="HW61" s="151"/>
      <c r="HX61" s="151"/>
      <c r="HY61" s="151"/>
      <c r="HZ61" s="151"/>
      <c r="IA61" s="151"/>
      <c r="IB61" s="151"/>
      <c r="IC61" s="151"/>
      <c r="ID61" s="151"/>
      <c r="IE61" s="151"/>
      <c r="IF61" s="151"/>
      <c r="IG61" s="151"/>
      <c r="IH61" s="151"/>
      <c r="II61" s="151"/>
      <c r="IJ61" s="151"/>
      <c r="IK61" s="151"/>
      <c r="IL61" s="151"/>
      <c r="IM61" s="151"/>
      <c r="IN61" s="151"/>
      <c r="IO61" s="151"/>
      <c r="IP61" s="151"/>
      <c r="IQ61" s="151"/>
      <c r="IR61" s="151"/>
      <c r="IS61" s="151"/>
      <c r="IT61" s="151"/>
      <c r="IU61" s="151"/>
      <c r="IV61" s="151"/>
      <c r="IW61" s="151"/>
      <c r="IX61" s="151"/>
      <c r="IY61" s="151"/>
      <c r="IZ61" s="151"/>
      <c r="JA61" s="151"/>
      <c r="JB61" s="151"/>
      <c r="JC61" s="151"/>
      <c r="JD61" s="151"/>
      <c r="JE61" s="151"/>
      <c r="JF61" s="151"/>
      <c r="JG61" s="151"/>
      <c r="JH61" s="151"/>
      <c r="JI61" s="151"/>
      <c r="JJ61" s="151"/>
      <c r="JK61" s="151"/>
      <c r="JL61" s="151"/>
      <c r="JM61" s="151"/>
      <c r="JN61" s="151"/>
      <c r="JO61" s="151"/>
      <c r="JP61" s="151"/>
      <c r="JQ61" s="151"/>
      <c r="JR61" s="151"/>
      <c r="JS61" s="151"/>
      <c r="JT61" s="151"/>
      <c r="JU61" s="151"/>
      <c r="JV61" s="151"/>
      <c r="JW61" s="151"/>
      <c r="JX61" s="151"/>
      <c r="JY61" s="151"/>
      <c r="JZ61" s="151"/>
      <c r="KA61" s="151"/>
      <c r="KB61" s="151"/>
      <c r="KC61" s="151"/>
      <c r="KD61" s="151"/>
      <c r="KE61" s="151"/>
      <c r="KF61" s="151"/>
      <c r="KG61" s="151"/>
      <c r="KH61" s="151"/>
      <c r="KI61" s="151"/>
      <c r="KJ61" s="151"/>
      <c r="KK61" s="151"/>
      <c r="KL61" s="151"/>
      <c r="KM61" s="151"/>
      <c r="KN61" s="151"/>
      <c r="KO61" s="151"/>
      <c r="KP61" s="151"/>
      <c r="KQ61" s="151"/>
      <c r="KR61" s="151"/>
      <c r="KS61" s="151"/>
      <c r="KT61" s="151"/>
      <c r="KU61" s="151"/>
      <c r="KV61" s="151"/>
      <c r="KW61" s="151"/>
      <c r="KX61" s="151"/>
      <c r="KY61" s="151"/>
      <c r="KZ61" s="151"/>
      <c r="LA61" s="151"/>
      <c r="LB61" s="151"/>
      <c r="LC61" s="151"/>
      <c r="LD61" s="151"/>
      <c r="LE61" s="151"/>
    </row>
    <row r="62" spans="1:317" x14ac:dyDescent="0.2">
      <c r="A62" s="179" t="s">
        <v>849</v>
      </c>
      <c r="B62" s="180" t="s">
        <v>961</v>
      </c>
      <c r="C62" s="181"/>
      <c r="D62" s="182">
        <v>0</v>
      </c>
      <c r="E62" s="182">
        <v>0</v>
      </c>
      <c r="F62" s="183" t="s">
        <v>1245</v>
      </c>
      <c r="G62" s="183">
        <v>0</v>
      </c>
      <c r="H62" s="183">
        <v>0</v>
      </c>
      <c r="I62" s="183">
        <v>0</v>
      </c>
      <c r="J62" s="183">
        <v>0</v>
      </c>
      <c r="K62" s="183" t="s">
        <v>1375</v>
      </c>
      <c r="L62" s="183">
        <v>0</v>
      </c>
      <c r="M62" s="183">
        <v>0</v>
      </c>
      <c r="N62" s="183" t="s">
        <v>872</v>
      </c>
      <c r="O62" s="183">
        <v>0</v>
      </c>
      <c r="P62" s="183">
        <v>0</v>
      </c>
      <c r="Q62" s="183"/>
      <c r="R62" s="183"/>
      <c r="S62" s="183"/>
      <c r="T62" s="183"/>
      <c r="U62" s="183"/>
      <c r="V62" s="183">
        <v>0</v>
      </c>
      <c r="W62" s="183">
        <v>0</v>
      </c>
      <c r="X62" s="183">
        <v>0</v>
      </c>
      <c r="Y62" s="184">
        <v>0</v>
      </c>
      <c r="Z62" s="184">
        <v>18.440000000000001</v>
      </c>
      <c r="AA62" s="184">
        <v>0</v>
      </c>
      <c r="AB62" s="185" t="s">
        <v>615</v>
      </c>
      <c r="AC62" s="185" t="s">
        <v>615</v>
      </c>
      <c r="AD62" s="186" t="s">
        <v>872</v>
      </c>
      <c r="AE62" s="186" t="s">
        <v>852</v>
      </c>
      <c r="AF62" s="187">
        <v>7</v>
      </c>
      <c r="AG62" s="187">
        <v>3</v>
      </c>
      <c r="AH62" s="187">
        <v>4</v>
      </c>
      <c r="AI62" s="188">
        <v>1</v>
      </c>
      <c r="AJ62" s="188" t="s">
        <v>615</v>
      </c>
      <c r="AK62" s="187" t="s">
        <v>1736</v>
      </c>
      <c r="AL62" s="87" t="s">
        <v>615</v>
      </c>
      <c r="AM62" s="189"/>
      <c r="AN62" s="187" t="s">
        <v>615</v>
      </c>
      <c r="AO62" s="13" t="s">
        <v>615</v>
      </c>
      <c r="AP62" s="187">
        <v>0</v>
      </c>
      <c r="AQ62" s="187">
        <v>0</v>
      </c>
      <c r="AR62" s="190">
        <v>0</v>
      </c>
      <c r="AS62" s="190">
        <v>0</v>
      </c>
      <c r="AT62" s="190">
        <v>0</v>
      </c>
      <c r="AU62" s="187">
        <v>0</v>
      </c>
      <c r="AV62" s="187">
        <v>0</v>
      </c>
      <c r="AW62" s="191"/>
      <c r="AX62" s="192"/>
      <c r="AY62" s="193">
        <v>42666</v>
      </c>
      <c r="AZ62" s="193"/>
      <c r="BA62" s="193"/>
      <c r="BB62" s="194"/>
      <c r="BC62" s="194"/>
      <c r="BD62" s="195"/>
      <c r="BE62" s="195" t="s">
        <v>532</v>
      </c>
      <c r="BF62" s="195"/>
      <c r="BG62" s="195">
        <v>10</v>
      </c>
      <c r="BH62" s="196" t="s">
        <v>547</v>
      </c>
      <c r="BI62" s="197">
        <v>1</v>
      </c>
      <c r="BJ62" s="198"/>
      <c r="BK62" s="199">
        <v>0</v>
      </c>
      <c r="BL62" s="13">
        <v>0</v>
      </c>
      <c r="BM62" s="13">
        <v>0</v>
      </c>
      <c r="BN62" s="13" t="s">
        <v>616</v>
      </c>
      <c r="BO62" s="13" t="s">
        <v>616</v>
      </c>
      <c r="BP62" s="200">
        <v>10</v>
      </c>
      <c r="BQ62" s="201"/>
      <c r="BR62" s="202"/>
      <c r="BS62" s="187">
        <v>1000000000</v>
      </c>
      <c r="BT62" s="203">
        <v>0</v>
      </c>
      <c r="BU62" s="204">
        <v>0</v>
      </c>
      <c r="BV62" s="203">
        <v>0</v>
      </c>
      <c r="BW62" s="205">
        <v>0</v>
      </c>
      <c r="BX62" s="205">
        <v>0</v>
      </c>
      <c r="BY62" s="205">
        <v>0</v>
      </c>
      <c r="BZ62" s="203">
        <v>0</v>
      </c>
      <c r="CA62" s="203">
        <v>0</v>
      </c>
      <c r="CB62" s="203">
        <v>0</v>
      </c>
      <c r="CC62" s="204">
        <v>0</v>
      </c>
      <c r="CD62" s="203">
        <v>0</v>
      </c>
      <c r="CE62" s="203">
        <v>0</v>
      </c>
      <c r="CF62" s="13">
        <v>0</v>
      </c>
      <c r="CG62" s="206">
        <v>0</v>
      </c>
      <c r="CH62" s="207">
        <v>0</v>
      </c>
      <c r="CI62" s="201"/>
      <c r="CJ62" s="208"/>
      <c r="CK62" s="209" t="s">
        <v>615</v>
      </c>
      <c r="CL62" s="210" t="s">
        <v>615</v>
      </c>
      <c r="CM62" s="207">
        <v>0</v>
      </c>
      <c r="CN62" s="207">
        <v>0</v>
      </c>
      <c r="CO62" s="204">
        <v>0</v>
      </c>
      <c r="CP62" s="204">
        <v>0</v>
      </c>
      <c r="CQ62" s="211"/>
      <c r="CR62" s="204">
        <v>1</v>
      </c>
      <c r="CS62" s="212">
        <v>42531</v>
      </c>
      <c r="CT62" s="212">
        <v>42780</v>
      </c>
      <c r="CU62" s="213">
        <v>42780</v>
      </c>
      <c r="CV62" s="214">
        <v>42829</v>
      </c>
      <c r="CW62" s="214" t="s">
        <v>615</v>
      </c>
      <c r="CX62" s="214" t="s">
        <v>615</v>
      </c>
      <c r="CY62" s="204">
        <v>1</v>
      </c>
      <c r="CZ62" s="204">
        <v>0.97959183673469385</v>
      </c>
      <c r="DA62" s="203">
        <v>0</v>
      </c>
      <c r="DB62" s="204">
        <v>0.97959183673469385</v>
      </c>
      <c r="DC62" s="204">
        <v>0</v>
      </c>
      <c r="DD62" s="204">
        <v>0</v>
      </c>
      <c r="DE62" s="204">
        <v>0</v>
      </c>
      <c r="DF62" s="215">
        <v>0</v>
      </c>
      <c r="DG62" s="13" t="s">
        <v>615</v>
      </c>
      <c r="DH62" s="86">
        <v>60</v>
      </c>
      <c r="DI62" s="86"/>
      <c r="DJ62" s="86">
        <v>116</v>
      </c>
      <c r="DK62" s="86" t="s">
        <v>1590</v>
      </c>
      <c r="DL62" s="86" t="e">
        <v>#N/A</v>
      </c>
      <c r="DM62" s="86" t="e">
        <v>#N/A</v>
      </c>
      <c r="DN62" s="86" t="e">
        <v>#N/A</v>
      </c>
      <c r="DO62" s="86">
        <v>119</v>
      </c>
      <c r="DP62" s="86">
        <v>2</v>
      </c>
      <c r="DQ62" s="86">
        <v>49</v>
      </c>
      <c r="DR62" s="152">
        <v>0</v>
      </c>
      <c r="DS62" s="152">
        <v>0</v>
      </c>
      <c r="DT62" s="152">
        <v>0</v>
      </c>
      <c r="DU62" s="152">
        <v>0</v>
      </c>
      <c r="DV62" s="152">
        <v>0</v>
      </c>
      <c r="DW62" s="152">
        <v>0</v>
      </c>
      <c r="DX62" s="152">
        <v>0</v>
      </c>
      <c r="DY62" s="152">
        <v>0</v>
      </c>
      <c r="DZ62" s="152">
        <v>0</v>
      </c>
      <c r="EA62" s="152">
        <v>0</v>
      </c>
      <c r="EB62" s="152">
        <v>0</v>
      </c>
      <c r="EC62" s="152">
        <v>0</v>
      </c>
      <c r="ED62" s="152">
        <v>0</v>
      </c>
      <c r="EE62" s="152">
        <v>0</v>
      </c>
      <c r="EF62" s="152">
        <v>0</v>
      </c>
      <c r="EG62" s="152">
        <v>0</v>
      </c>
      <c r="EH62" s="152">
        <v>0</v>
      </c>
      <c r="EI62" s="152">
        <v>0</v>
      </c>
      <c r="EJ62" s="152">
        <v>0</v>
      </c>
      <c r="EK62" s="152">
        <v>0</v>
      </c>
      <c r="EL62" s="152">
        <v>0</v>
      </c>
      <c r="EM62" s="152">
        <v>0</v>
      </c>
      <c r="EN62" s="152">
        <v>0</v>
      </c>
      <c r="EO62" s="152">
        <v>0</v>
      </c>
      <c r="EP62" s="152">
        <v>0</v>
      </c>
      <c r="EQ62" s="152">
        <v>0</v>
      </c>
      <c r="ER62" s="152">
        <v>0</v>
      </c>
      <c r="ES62" s="152">
        <v>0</v>
      </c>
      <c r="ET62" s="152">
        <v>0</v>
      </c>
      <c r="EU62" s="152">
        <v>0</v>
      </c>
      <c r="EV62" s="152">
        <v>0</v>
      </c>
      <c r="EW62" s="152">
        <v>0</v>
      </c>
      <c r="EX62" s="152">
        <v>0</v>
      </c>
      <c r="EY62" s="152">
        <v>0</v>
      </c>
      <c r="EZ62" s="152">
        <v>0</v>
      </c>
      <c r="FA62" s="152">
        <v>0</v>
      </c>
      <c r="FB62" s="152">
        <v>0</v>
      </c>
      <c r="FC62" s="152">
        <v>0</v>
      </c>
      <c r="FD62" s="152">
        <v>0</v>
      </c>
      <c r="FE62" s="152">
        <v>0</v>
      </c>
      <c r="FF62" s="152">
        <v>0</v>
      </c>
      <c r="FG62" s="152">
        <v>0</v>
      </c>
      <c r="FH62" s="152">
        <v>0</v>
      </c>
      <c r="FI62" s="152">
        <v>0</v>
      </c>
      <c r="FJ62" s="152">
        <v>0</v>
      </c>
      <c r="FK62" s="152">
        <v>0</v>
      </c>
      <c r="FL62" s="152">
        <v>0</v>
      </c>
      <c r="FM62" s="152">
        <v>0</v>
      </c>
      <c r="FN62" s="152">
        <v>0</v>
      </c>
      <c r="FO62" s="152">
        <v>0</v>
      </c>
      <c r="FP62" s="152">
        <v>0</v>
      </c>
      <c r="FQ62" s="152">
        <v>0</v>
      </c>
      <c r="FR62" s="152">
        <v>0</v>
      </c>
      <c r="FS62" s="166">
        <v>0</v>
      </c>
      <c r="FT62" s="166">
        <v>0</v>
      </c>
      <c r="FU62" s="166">
        <v>0</v>
      </c>
      <c r="FV62" s="166">
        <v>0</v>
      </c>
      <c r="FW62" s="166">
        <v>0</v>
      </c>
      <c r="FX62" s="166">
        <v>0</v>
      </c>
      <c r="FY62" s="166">
        <v>0</v>
      </c>
      <c r="FZ62" s="166">
        <v>0</v>
      </c>
      <c r="GA62" s="166">
        <v>0</v>
      </c>
      <c r="GB62" s="166">
        <v>0</v>
      </c>
      <c r="GC62" s="166">
        <v>0</v>
      </c>
      <c r="GD62" s="166">
        <v>0</v>
      </c>
      <c r="GE62" s="166">
        <v>0</v>
      </c>
      <c r="GF62" s="166">
        <v>0</v>
      </c>
      <c r="GG62" s="166">
        <v>0</v>
      </c>
      <c r="GH62" s="166">
        <v>0</v>
      </c>
      <c r="GI62" s="166">
        <v>0</v>
      </c>
      <c r="GJ62" s="166">
        <v>0</v>
      </c>
      <c r="GK62" s="166">
        <v>0</v>
      </c>
      <c r="GL62" s="166">
        <v>0</v>
      </c>
      <c r="GM62" s="166">
        <v>0</v>
      </c>
      <c r="GN62" s="166">
        <v>0</v>
      </c>
      <c r="GO62" s="166">
        <v>0</v>
      </c>
      <c r="GP62" s="166">
        <v>0</v>
      </c>
      <c r="GQ62" s="166">
        <v>0</v>
      </c>
      <c r="GR62" s="166">
        <v>0</v>
      </c>
      <c r="GS62" s="166">
        <v>0</v>
      </c>
      <c r="GT62" s="166">
        <v>0</v>
      </c>
      <c r="GU62" s="166">
        <v>0</v>
      </c>
      <c r="GV62" s="166">
        <v>0</v>
      </c>
      <c r="GW62" s="166">
        <v>0</v>
      </c>
      <c r="GX62" s="166">
        <v>0</v>
      </c>
      <c r="GY62" s="166">
        <v>0</v>
      </c>
      <c r="GZ62" s="166">
        <v>0</v>
      </c>
      <c r="HA62" s="166">
        <v>0</v>
      </c>
      <c r="HB62" s="166">
        <v>0</v>
      </c>
      <c r="HC62" s="166">
        <v>0</v>
      </c>
      <c r="HD62" s="166">
        <v>0</v>
      </c>
      <c r="HE62" s="166">
        <v>0</v>
      </c>
      <c r="HF62" s="166">
        <v>0</v>
      </c>
      <c r="HG62" s="166">
        <v>0</v>
      </c>
      <c r="HH62" s="152">
        <v>0</v>
      </c>
      <c r="HI62" s="152">
        <v>0</v>
      </c>
      <c r="HJ62" s="152">
        <v>0</v>
      </c>
      <c r="HK62" s="152">
        <v>0</v>
      </c>
      <c r="HL62" s="152">
        <v>0</v>
      </c>
      <c r="HM62" s="152">
        <v>0</v>
      </c>
      <c r="HN62" s="152">
        <v>0</v>
      </c>
      <c r="HO62" s="152">
        <v>0</v>
      </c>
      <c r="HP62" s="152">
        <v>0</v>
      </c>
      <c r="HQ62" s="152">
        <v>0</v>
      </c>
      <c r="HR62" s="152">
        <v>0</v>
      </c>
      <c r="HS62" s="152">
        <v>0</v>
      </c>
      <c r="HT62" s="152">
        <v>0</v>
      </c>
      <c r="HU62" s="216"/>
      <c r="HV62" s="152">
        <v>0</v>
      </c>
      <c r="HW62" s="216"/>
      <c r="HX62" s="216"/>
      <c r="HY62" s="216"/>
      <c r="HZ62" s="216"/>
      <c r="IA62" s="216"/>
      <c r="IB62" s="216"/>
      <c r="IC62" s="216"/>
      <c r="ID62" s="216"/>
      <c r="IE62" s="216"/>
      <c r="IF62" s="216"/>
      <c r="IG62" s="216"/>
      <c r="IH62" s="216"/>
      <c r="II62" s="216"/>
      <c r="IJ62" s="216"/>
      <c r="IK62" s="216"/>
      <c r="IL62" s="216"/>
      <c r="IM62" s="216"/>
      <c r="IN62" s="216"/>
      <c r="IO62" s="216"/>
      <c r="IP62" s="216"/>
      <c r="IQ62" s="216"/>
      <c r="IR62" s="216"/>
      <c r="IS62" s="216"/>
      <c r="IT62" s="216"/>
      <c r="IU62" s="216"/>
      <c r="IV62" s="216"/>
      <c r="IW62" s="216"/>
      <c r="IX62" s="216"/>
      <c r="IY62" s="216"/>
      <c r="IZ62" s="216"/>
      <c r="JA62" s="216"/>
      <c r="JB62" s="216"/>
      <c r="JC62" s="216"/>
      <c r="JD62" s="216"/>
      <c r="JE62" s="216"/>
      <c r="JF62" s="216"/>
      <c r="JG62" s="216"/>
      <c r="JH62" s="216"/>
      <c r="JI62" s="216"/>
      <c r="JJ62" s="216"/>
      <c r="JK62" s="216"/>
      <c r="JL62" s="216"/>
      <c r="JM62" s="216"/>
      <c r="JN62" s="216"/>
      <c r="JO62" s="216"/>
      <c r="JP62" s="216"/>
      <c r="JQ62" s="216"/>
      <c r="JR62" s="216"/>
      <c r="JS62" s="216"/>
      <c r="JT62" s="216"/>
      <c r="JU62" s="216"/>
      <c r="JV62" s="216"/>
      <c r="JW62" s="216"/>
      <c r="JX62" s="216"/>
      <c r="JY62" s="216"/>
      <c r="JZ62" s="216"/>
      <c r="KA62" s="216"/>
      <c r="KB62" s="216"/>
      <c r="KC62" s="216"/>
      <c r="KD62" s="216"/>
      <c r="KE62" s="216"/>
      <c r="KF62" s="216"/>
      <c r="KG62" s="216"/>
      <c r="KH62" s="216"/>
      <c r="KI62" s="216"/>
      <c r="KJ62" s="216"/>
      <c r="KK62" s="216"/>
      <c r="KL62" s="216"/>
      <c r="KM62" s="216"/>
      <c r="KN62" s="216"/>
      <c r="KO62" s="216"/>
      <c r="KP62" s="216"/>
      <c r="KQ62" s="216"/>
      <c r="KR62" s="216"/>
      <c r="KS62" s="216"/>
      <c r="KT62" s="216"/>
      <c r="KU62" s="216"/>
      <c r="KV62" s="216"/>
      <c r="KW62" s="216"/>
      <c r="KX62" s="216"/>
      <c r="KY62" s="216"/>
      <c r="KZ62" s="216"/>
      <c r="LA62" s="216"/>
      <c r="LB62" s="216"/>
      <c r="LC62" s="216"/>
      <c r="LD62" s="216"/>
      <c r="LE62" s="216"/>
    </row>
    <row r="63" spans="1:317" x14ac:dyDescent="0.2">
      <c r="A63" s="179" t="s">
        <v>849</v>
      </c>
      <c r="B63" s="180" t="s">
        <v>962</v>
      </c>
      <c r="C63" s="181"/>
      <c r="D63" s="182">
        <v>0</v>
      </c>
      <c r="E63" s="182">
        <v>0</v>
      </c>
      <c r="F63" s="183" t="s">
        <v>1246</v>
      </c>
      <c r="G63" s="183">
        <v>0</v>
      </c>
      <c r="H63" s="183">
        <v>0</v>
      </c>
      <c r="I63" s="183">
        <v>0</v>
      </c>
      <c r="J63" s="183">
        <v>0</v>
      </c>
      <c r="K63" s="183" t="s">
        <v>1375</v>
      </c>
      <c r="L63" s="183">
        <v>0</v>
      </c>
      <c r="M63" s="183">
        <v>0</v>
      </c>
      <c r="N63" s="183" t="s">
        <v>872</v>
      </c>
      <c r="O63" s="183">
        <v>0</v>
      </c>
      <c r="P63" s="183">
        <v>0</v>
      </c>
      <c r="Q63" s="183"/>
      <c r="R63" s="183"/>
      <c r="S63" s="183"/>
      <c r="T63" s="183"/>
      <c r="U63" s="183"/>
      <c r="V63" s="183">
        <v>0</v>
      </c>
      <c r="W63" s="183">
        <v>0</v>
      </c>
      <c r="X63" s="183">
        <v>0</v>
      </c>
      <c r="Y63" s="184">
        <v>0</v>
      </c>
      <c r="Z63" s="184">
        <v>18.440000000000001</v>
      </c>
      <c r="AA63" s="184">
        <v>0</v>
      </c>
      <c r="AB63" s="185" t="s">
        <v>615</v>
      </c>
      <c r="AC63" s="185" t="s">
        <v>615</v>
      </c>
      <c r="AD63" s="186" t="s">
        <v>872</v>
      </c>
      <c r="AE63" s="186" t="s">
        <v>852</v>
      </c>
      <c r="AF63" s="187">
        <v>7</v>
      </c>
      <c r="AG63" s="187">
        <v>3</v>
      </c>
      <c r="AH63" s="187">
        <v>4</v>
      </c>
      <c r="AI63" s="188">
        <v>1</v>
      </c>
      <c r="AJ63" s="188" t="s">
        <v>615</v>
      </c>
      <c r="AK63" s="187" t="s">
        <v>1736</v>
      </c>
      <c r="AL63" s="87" t="s">
        <v>615</v>
      </c>
      <c r="AM63" s="189"/>
      <c r="AN63" s="187" t="s">
        <v>615</v>
      </c>
      <c r="AO63" s="13" t="s">
        <v>615</v>
      </c>
      <c r="AP63" s="187">
        <v>0</v>
      </c>
      <c r="AQ63" s="187">
        <v>0</v>
      </c>
      <c r="AR63" s="190">
        <v>0</v>
      </c>
      <c r="AS63" s="190">
        <v>0</v>
      </c>
      <c r="AT63" s="190">
        <v>0</v>
      </c>
      <c r="AU63" s="187">
        <v>0</v>
      </c>
      <c r="AV63" s="187">
        <v>0</v>
      </c>
      <c r="AW63" s="191"/>
      <c r="AX63" s="192"/>
      <c r="AY63" s="193">
        <v>42666</v>
      </c>
      <c r="AZ63" s="193"/>
      <c r="BA63" s="193"/>
      <c r="BB63" s="194"/>
      <c r="BC63" s="194"/>
      <c r="BD63" s="195"/>
      <c r="BE63" s="195" t="s">
        <v>532</v>
      </c>
      <c r="BF63" s="195"/>
      <c r="BG63" s="195">
        <v>10</v>
      </c>
      <c r="BH63" s="196" t="s">
        <v>547</v>
      </c>
      <c r="BI63" s="197">
        <v>1</v>
      </c>
      <c r="BJ63" s="198"/>
      <c r="BK63" s="199">
        <v>0</v>
      </c>
      <c r="BL63" s="13">
        <v>0</v>
      </c>
      <c r="BM63" s="13">
        <v>0</v>
      </c>
      <c r="BN63" s="13" t="s">
        <v>616</v>
      </c>
      <c r="BO63" s="13" t="s">
        <v>616</v>
      </c>
      <c r="BP63" s="200">
        <v>10</v>
      </c>
      <c r="BQ63" s="201"/>
      <c r="BR63" s="202"/>
      <c r="BS63" s="187">
        <v>1000000000</v>
      </c>
      <c r="BT63" s="203">
        <v>0</v>
      </c>
      <c r="BU63" s="204">
        <v>0</v>
      </c>
      <c r="BV63" s="203">
        <v>0</v>
      </c>
      <c r="BW63" s="205">
        <v>0</v>
      </c>
      <c r="BX63" s="205">
        <v>0</v>
      </c>
      <c r="BY63" s="205">
        <v>0</v>
      </c>
      <c r="BZ63" s="203">
        <v>0</v>
      </c>
      <c r="CA63" s="203">
        <v>0</v>
      </c>
      <c r="CB63" s="203">
        <v>0</v>
      </c>
      <c r="CC63" s="204">
        <v>0</v>
      </c>
      <c r="CD63" s="203">
        <v>0</v>
      </c>
      <c r="CE63" s="203">
        <v>0</v>
      </c>
      <c r="CF63" s="13">
        <v>0</v>
      </c>
      <c r="CG63" s="206">
        <v>0</v>
      </c>
      <c r="CH63" s="207">
        <v>0</v>
      </c>
      <c r="CI63" s="201"/>
      <c r="CJ63" s="208"/>
      <c r="CK63" s="209" t="s">
        <v>615</v>
      </c>
      <c r="CL63" s="210" t="s">
        <v>615</v>
      </c>
      <c r="CM63" s="207">
        <v>0</v>
      </c>
      <c r="CN63" s="207">
        <v>0</v>
      </c>
      <c r="CO63" s="204">
        <v>0</v>
      </c>
      <c r="CP63" s="204">
        <v>0</v>
      </c>
      <c r="CQ63" s="211"/>
      <c r="CR63" s="204">
        <v>1</v>
      </c>
      <c r="CS63" s="212">
        <v>42531</v>
      </c>
      <c r="CT63" s="212">
        <v>42780</v>
      </c>
      <c r="CU63" s="213">
        <v>42780</v>
      </c>
      <c r="CV63" s="214">
        <v>42829</v>
      </c>
      <c r="CW63" s="214" t="s">
        <v>615</v>
      </c>
      <c r="CX63" s="214" t="s">
        <v>615</v>
      </c>
      <c r="CY63" s="204">
        <v>1</v>
      </c>
      <c r="CZ63" s="204">
        <v>0.97959183673469385</v>
      </c>
      <c r="DA63" s="203">
        <v>0</v>
      </c>
      <c r="DB63" s="204">
        <v>0.97959183673469385</v>
      </c>
      <c r="DC63" s="204">
        <v>0</v>
      </c>
      <c r="DD63" s="204">
        <v>0</v>
      </c>
      <c r="DE63" s="204">
        <v>0</v>
      </c>
      <c r="DF63" s="215">
        <v>0</v>
      </c>
      <c r="DG63" s="13" t="s">
        <v>615</v>
      </c>
      <c r="DH63" s="86">
        <v>61</v>
      </c>
      <c r="DI63" s="86"/>
      <c r="DJ63" s="86">
        <v>115</v>
      </c>
      <c r="DK63" s="86" t="s">
        <v>1589</v>
      </c>
      <c r="DL63" s="86" t="e">
        <v>#N/A</v>
      </c>
      <c r="DM63" s="86" t="e">
        <v>#N/A</v>
      </c>
      <c r="DN63" s="86" t="e">
        <v>#N/A</v>
      </c>
      <c r="DO63" s="86">
        <v>118</v>
      </c>
      <c r="DP63" s="86">
        <v>2</v>
      </c>
      <c r="DQ63" s="86">
        <v>49</v>
      </c>
      <c r="DR63" s="146">
        <v>0</v>
      </c>
      <c r="DS63" s="146">
        <v>0</v>
      </c>
      <c r="DT63" s="146">
        <v>0</v>
      </c>
      <c r="DU63" s="146">
        <v>0</v>
      </c>
      <c r="DV63" s="146">
        <v>0</v>
      </c>
      <c r="DW63" s="146">
        <v>0</v>
      </c>
      <c r="DX63" s="146">
        <v>0</v>
      </c>
      <c r="DY63" s="146">
        <v>0</v>
      </c>
      <c r="DZ63" s="146">
        <v>0</v>
      </c>
      <c r="EA63" s="146">
        <v>0</v>
      </c>
      <c r="EB63" s="146">
        <v>0</v>
      </c>
      <c r="EC63" s="146">
        <v>0</v>
      </c>
      <c r="ED63" s="146">
        <v>0</v>
      </c>
      <c r="EE63" s="146">
        <v>0</v>
      </c>
      <c r="EF63" s="146">
        <v>0</v>
      </c>
      <c r="EG63" s="146">
        <v>0</v>
      </c>
      <c r="EH63" s="146">
        <v>0</v>
      </c>
      <c r="EI63" s="146">
        <v>0</v>
      </c>
      <c r="EJ63" s="146">
        <v>0</v>
      </c>
      <c r="EK63" s="146">
        <v>0</v>
      </c>
      <c r="EL63" s="146">
        <v>0</v>
      </c>
      <c r="EM63" s="146">
        <v>0</v>
      </c>
      <c r="EN63" s="146">
        <v>0</v>
      </c>
      <c r="EO63" s="146">
        <v>0</v>
      </c>
      <c r="EP63" s="146">
        <v>0</v>
      </c>
      <c r="EQ63" s="146">
        <v>0</v>
      </c>
      <c r="ER63" s="146">
        <v>0</v>
      </c>
      <c r="ES63" s="146">
        <v>0</v>
      </c>
      <c r="ET63" s="146">
        <v>0</v>
      </c>
      <c r="EU63" s="146">
        <v>0</v>
      </c>
      <c r="EV63" s="146">
        <v>0</v>
      </c>
      <c r="EW63" s="146">
        <v>0</v>
      </c>
      <c r="EX63" s="146">
        <v>0</v>
      </c>
      <c r="EY63" s="146">
        <v>0</v>
      </c>
      <c r="EZ63" s="146">
        <v>0</v>
      </c>
      <c r="FA63" s="146">
        <v>0</v>
      </c>
      <c r="FB63" s="146">
        <v>0</v>
      </c>
      <c r="FC63" s="146">
        <v>0</v>
      </c>
      <c r="FD63" s="146">
        <v>0</v>
      </c>
      <c r="FE63" s="146">
        <v>0</v>
      </c>
      <c r="FF63" s="146">
        <v>0</v>
      </c>
      <c r="FG63" s="146">
        <v>0</v>
      </c>
      <c r="FH63" s="146">
        <v>0</v>
      </c>
      <c r="FI63" s="146">
        <v>0</v>
      </c>
      <c r="FJ63" s="146">
        <v>0</v>
      </c>
      <c r="FK63" s="146">
        <v>0</v>
      </c>
      <c r="FL63" s="146">
        <v>0</v>
      </c>
      <c r="FM63" s="146">
        <v>0</v>
      </c>
      <c r="FN63" s="146">
        <v>0</v>
      </c>
      <c r="FO63" s="146">
        <v>0</v>
      </c>
      <c r="FP63" s="146">
        <v>0</v>
      </c>
      <c r="FQ63" s="146">
        <v>0</v>
      </c>
      <c r="FR63" s="146">
        <v>0</v>
      </c>
      <c r="FS63" s="160">
        <v>0</v>
      </c>
      <c r="FT63" s="160">
        <v>0</v>
      </c>
      <c r="FU63" s="160">
        <v>0</v>
      </c>
      <c r="FV63" s="160">
        <v>0</v>
      </c>
      <c r="FW63" s="160">
        <v>0</v>
      </c>
      <c r="FX63" s="160">
        <v>0</v>
      </c>
      <c r="FY63" s="160">
        <v>0</v>
      </c>
      <c r="FZ63" s="160">
        <v>0</v>
      </c>
      <c r="GA63" s="160">
        <v>0</v>
      </c>
      <c r="GB63" s="160">
        <v>0</v>
      </c>
      <c r="GC63" s="160">
        <v>0</v>
      </c>
      <c r="GD63" s="160">
        <v>0</v>
      </c>
      <c r="GE63" s="160">
        <v>0</v>
      </c>
      <c r="GF63" s="160">
        <v>0</v>
      </c>
      <c r="GG63" s="160">
        <v>0</v>
      </c>
      <c r="GH63" s="160">
        <v>0</v>
      </c>
      <c r="GI63" s="160">
        <v>0</v>
      </c>
      <c r="GJ63" s="160">
        <v>0</v>
      </c>
      <c r="GK63" s="160">
        <v>0</v>
      </c>
      <c r="GL63" s="160">
        <v>0</v>
      </c>
      <c r="GM63" s="160">
        <v>0</v>
      </c>
      <c r="GN63" s="160">
        <v>0</v>
      </c>
      <c r="GO63" s="160">
        <v>0</v>
      </c>
      <c r="GP63" s="160">
        <v>0</v>
      </c>
      <c r="GQ63" s="160">
        <v>0</v>
      </c>
      <c r="GR63" s="160">
        <v>0</v>
      </c>
      <c r="GS63" s="160">
        <v>0</v>
      </c>
      <c r="GT63" s="160">
        <v>0</v>
      </c>
      <c r="GU63" s="160">
        <v>0</v>
      </c>
      <c r="GV63" s="160">
        <v>0</v>
      </c>
      <c r="GW63" s="160">
        <v>0</v>
      </c>
      <c r="GX63" s="160">
        <v>0</v>
      </c>
      <c r="GY63" s="160">
        <v>0</v>
      </c>
      <c r="GZ63" s="160">
        <v>0</v>
      </c>
      <c r="HA63" s="160">
        <v>0</v>
      </c>
      <c r="HB63" s="160">
        <v>0</v>
      </c>
      <c r="HC63" s="160">
        <v>0</v>
      </c>
      <c r="HD63" s="160">
        <v>0</v>
      </c>
      <c r="HE63" s="160">
        <v>0</v>
      </c>
      <c r="HF63" s="160">
        <v>0</v>
      </c>
      <c r="HG63" s="160">
        <v>0</v>
      </c>
      <c r="HH63" s="146">
        <v>0</v>
      </c>
      <c r="HI63" s="146">
        <v>0</v>
      </c>
      <c r="HJ63" s="146">
        <v>0</v>
      </c>
      <c r="HK63" s="146">
        <v>0</v>
      </c>
      <c r="HL63" s="146">
        <v>0</v>
      </c>
      <c r="HM63" s="146">
        <v>0</v>
      </c>
      <c r="HN63" s="146">
        <v>0</v>
      </c>
      <c r="HO63" s="146">
        <v>0</v>
      </c>
      <c r="HP63" s="146">
        <v>0</v>
      </c>
      <c r="HQ63" s="146">
        <v>0</v>
      </c>
      <c r="HR63" s="146">
        <v>0</v>
      </c>
      <c r="HS63" s="146">
        <v>0</v>
      </c>
      <c r="HT63" s="146">
        <v>0</v>
      </c>
      <c r="HU63" s="151"/>
      <c r="HV63" s="146">
        <v>0</v>
      </c>
      <c r="HW63" s="151"/>
      <c r="HX63" s="151"/>
      <c r="HY63" s="151"/>
      <c r="HZ63" s="151"/>
      <c r="IA63" s="151"/>
      <c r="IB63" s="151"/>
      <c r="IC63" s="151"/>
      <c r="ID63" s="151"/>
      <c r="IE63" s="151"/>
      <c r="IF63" s="151"/>
      <c r="IG63" s="151"/>
      <c r="IH63" s="151"/>
      <c r="II63" s="151"/>
      <c r="IJ63" s="151"/>
      <c r="IK63" s="151"/>
      <c r="IL63" s="151"/>
      <c r="IM63" s="151"/>
      <c r="IN63" s="151"/>
      <c r="IO63" s="151"/>
      <c r="IP63" s="151"/>
      <c r="IQ63" s="151"/>
      <c r="IR63" s="151"/>
      <c r="IS63" s="151"/>
      <c r="IT63" s="151"/>
      <c r="IU63" s="151"/>
      <c r="IV63" s="151"/>
      <c r="IW63" s="151"/>
      <c r="IX63" s="151"/>
      <c r="IY63" s="151"/>
      <c r="IZ63" s="151"/>
      <c r="JA63" s="151"/>
      <c r="JB63" s="151"/>
      <c r="JC63" s="151"/>
      <c r="JD63" s="151"/>
      <c r="JE63" s="151"/>
      <c r="JF63" s="151"/>
      <c r="JG63" s="151"/>
      <c r="JH63" s="151"/>
      <c r="JI63" s="151"/>
      <c r="JJ63" s="151"/>
      <c r="JK63" s="151"/>
      <c r="JL63" s="151"/>
      <c r="JM63" s="151"/>
      <c r="JN63" s="151"/>
      <c r="JO63" s="151"/>
      <c r="JP63" s="151"/>
      <c r="JQ63" s="151"/>
      <c r="JR63" s="151"/>
      <c r="JS63" s="151"/>
      <c r="JT63" s="151"/>
      <c r="JU63" s="151"/>
      <c r="JV63" s="151"/>
      <c r="JW63" s="151"/>
      <c r="JX63" s="151"/>
      <c r="JY63" s="151"/>
      <c r="JZ63" s="151"/>
      <c r="KA63" s="151"/>
      <c r="KB63" s="151"/>
      <c r="KC63" s="151"/>
      <c r="KD63" s="151"/>
      <c r="KE63" s="151"/>
      <c r="KF63" s="151"/>
      <c r="KG63" s="151"/>
      <c r="KH63" s="151"/>
      <c r="KI63" s="151"/>
      <c r="KJ63" s="151"/>
      <c r="KK63" s="151"/>
      <c r="KL63" s="151"/>
      <c r="KM63" s="151"/>
      <c r="KN63" s="151"/>
      <c r="KO63" s="151"/>
      <c r="KP63" s="151"/>
      <c r="KQ63" s="151"/>
      <c r="KR63" s="151"/>
      <c r="KS63" s="151"/>
      <c r="KT63" s="151"/>
      <c r="KU63" s="151"/>
      <c r="KV63" s="151"/>
      <c r="KW63" s="151"/>
      <c r="KX63" s="151"/>
      <c r="KY63" s="151"/>
      <c r="KZ63" s="151"/>
      <c r="LA63" s="151"/>
      <c r="LB63" s="151"/>
      <c r="LC63" s="151"/>
      <c r="LD63" s="151"/>
      <c r="LE63" s="151"/>
    </row>
    <row r="64" spans="1:317" x14ac:dyDescent="0.2">
      <c r="A64" s="179" t="s">
        <v>849</v>
      </c>
      <c r="B64" s="180" t="s">
        <v>963</v>
      </c>
      <c r="C64" s="181"/>
      <c r="D64" s="182">
        <v>0</v>
      </c>
      <c r="E64" s="182">
        <v>0</v>
      </c>
      <c r="F64" s="183" t="s">
        <v>1247</v>
      </c>
      <c r="G64" s="183">
        <v>0</v>
      </c>
      <c r="H64" s="183">
        <v>0</v>
      </c>
      <c r="I64" s="183">
        <v>0</v>
      </c>
      <c r="J64" s="183">
        <v>0</v>
      </c>
      <c r="K64" s="183" t="s">
        <v>1376</v>
      </c>
      <c r="L64" s="183">
        <v>0</v>
      </c>
      <c r="M64" s="183">
        <v>0</v>
      </c>
      <c r="N64" s="183" t="s">
        <v>872</v>
      </c>
      <c r="O64" s="183">
        <v>0</v>
      </c>
      <c r="P64" s="183">
        <v>0</v>
      </c>
      <c r="Q64" s="183"/>
      <c r="R64" s="183"/>
      <c r="S64" s="183"/>
      <c r="T64" s="183"/>
      <c r="U64" s="183"/>
      <c r="V64" s="183">
        <v>0</v>
      </c>
      <c r="W64" s="183">
        <v>0</v>
      </c>
      <c r="X64" s="183">
        <v>0</v>
      </c>
      <c r="Y64" s="184">
        <v>0</v>
      </c>
      <c r="Z64" s="184">
        <v>10.02</v>
      </c>
      <c r="AA64" s="184">
        <v>0</v>
      </c>
      <c r="AB64" s="185" t="s">
        <v>615</v>
      </c>
      <c r="AC64" s="185" t="s">
        <v>615</v>
      </c>
      <c r="AD64" s="186" t="s">
        <v>872</v>
      </c>
      <c r="AE64" s="186" t="s">
        <v>852</v>
      </c>
      <c r="AF64" s="187">
        <v>7</v>
      </c>
      <c r="AG64" s="187">
        <v>3</v>
      </c>
      <c r="AH64" s="187">
        <v>4</v>
      </c>
      <c r="AI64" s="188">
        <v>1</v>
      </c>
      <c r="AJ64" s="188" t="s">
        <v>615</v>
      </c>
      <c r="AK64" s="187" t="s">
        <v>1736</v>
      </c>
      <c r="AL64" s="87" t="s">
        <v>615</v>
      </c>
      <c r="AM64" s="189"/>
      <c r="AN64" s="187" t="s">
        <v>615</v>
      </c>
      <c r="AO64" s="13" t="s">
        <v>615</v>
      </c>
      <c r="AP64" s="187">
        <v>0</v>
      </c>
      <c r="AQ64" s="187">
        <v>0</v>
      </c>
      <c r="AR64" s="190">
        <v>0</v>
      </c>
      <c r="AS64" s="190">
        <v>0</v>
      </c>
      <c r="AT64" s="190">
        <v>0</v>
      </c>
      <c r="AU64" s="187">
        <v>0</v>
      </c>
      <c r="AV64" s="187">
        <v>0</v>
      </c>
      <c r="AW64" s="191"/>
      <c r="AX64" s="192"/>
      <c r="AY64" s="193">
        <v>42666</v>
      </c>
      <c r="AZ64" s="193"/>
      <c r="BA64" s="193"/>
      <c r="BB64" s="194"/>
      <c r="BC64" s="194"/>
      <c r="BD64" s="195"/>
      <c r="BE64" s="195" t="s">
        <v>532</v>
      </c>
      <c r="BF64" s="195"/>
      <c r="BG64" s="195">
        <v>20</v>
      </c>
      <c r="BH64" s="196" t="s">
        <v>547</v>
      </c>
      <c r="BI64" s="197">
        <v>1</v>
      </c>
      <c r="BJ64" s="198"/>
      <c r="BK64" s="199">
        <v>0</v>
      </c>
      <c r="BL64" s="13">
        <v>0</v>
      </c>
      <c r="BM64" s="13">
        <v>0</v>
      </c>
      <c r="BN64" s="13" t="s">
        <v>616</v>
      </c>
      <c r="BO64" s="13" t="s">
        <v>616</v>
      </c>
      <c r="BP64" s="200">
        <v>20</v>
      </c>
      <c r="BQ64" s="201"/>
      <c r="BR64" s="202"/>
      <c r="BS64" s="187">
        <v>1000000000</v>
      </c>
      <c r="BT64" s="203">
        <v>0</v>
      </c>
      <c r="BU64" s="204">
        <v>0</v>
      </c>
      <c r="BV64" s="203">
        <v>0</v>
      </c>
      <c r="BW64" s="205">
        <v>0</v>
      </c>
      <c r="BX64" s="205">
        <v>0</v>
      </c>
      <c r="BY64" s="205">
        <v>0</v>
      </c>
      <c r="BZ64" s="203">
        <v>0</v>
      </c>
      <c r="CA64" s="203">
        <v>0</v>
      </c>
      <c r="CB64" s="203">
        <v>0</v>
      </c>
      <c r="CC64" s="204">
        <v>0</v>
      </c>
      <c r="CD64" s="203">
        <v>0</v>
      </c>
      <c r="CE64" s="203">
        <v>0</v>
      </c>
      <c r="CF64" s="13">
        <v>0</v>
      </c>
      <c r="CG64" s="206">
        <v>0</v>
      </c>
      <c r="CH64" s="207">
        <v>0</v>
      </c>
      <c r="CI64" s="201"/>
      <c r="CJ64" s="208"/>
      <c r="CK64" s="209" t="s">
        <v>615</v>
      </c>
      <c r="CL64" s="210" t="s">
        <v>615</v>
      </c>
      <c r="CM64" s="207">
        <v>0</v>
      </c>
      <c r="CN64" s="207">
        <v>0</v>
      </c>
      <c r="CO64" s="204">
        <v>0</v>
      </c>
      <c r="CP64" s="204">
        <v>0</v>
      </c>
      <c r="CQ64" s="211"/>
      <c r="CR64" s="204">
        <v>1</v>
      </c>
      <c r="CS64" s="212">
        <v>42531</v>
      </c>
      <c r="CT64" s="212">
        <v>42780</v>
      </c>
      <c r="CU64" s="213">
        <v>42780</v>
      </c>
      <c r="CV64" s="214">
        <v>42829</v>
      </c>
      <c r="CW64" s="214" t="s">
        <v>615</v>
      </c>
      <c r="CX64" s="214" t="s">
        <v>615</v>
      </c>
      <c r="CY64" s="204">
        <v>1</v>
      </c>
      <c r="CZ64" s="204">
        <v>0.97959183673469385</v>
      </c>
      <c r="DA64" s="203">
        <v>0</v>
      </c>
      <c r="DB64" s="204">
        <v>0.97959183673469385</v>
      </c>
      <c r="DC64" s="204">
        <v>0</v>
      </c>
      <c r="DD64" s="204">
        <v>0</v>
      </c>
      <c r="DE64" s="204">
        <v>0</v>
      </c>
      <c r="DF64" s="215">
        <v>0</v>
      </c>
      <c r="DG64" s="13" t="s">
        <v>615</v>
      </c>
      <c r="DH64" s="86">
        <v>62</v>
      </c>
      <c r="DI64" s="86"/>
      <c r="DJ64" s="86">
        <v>114</v>
      </c>
      <c r="DK64" s="86" t="s">
        <v>1588</v>
      </c>
      <c r="DL64" s="86" t="e">
        <v>#N/A</v>
      </c>
      <c r="DM64" s="86" t="e">
        <v>#N/A</v>
      </c>
      <c r="DN64" s="86" t="e">
        <v>#N/A</v>
      </c>
      <c r="DO64" s="86">
        <v>117</v>
      </c>
      <c r="DP64" s="86">
        <v>2</v>
      </c>
      <c r="DQ64" s="86">
        <v>49</v>
      </c>
      <c r="DR64" s="152">
        <v>0</v>
      </c>
      <c r="DS64" s="152">
        <v>0</v>
      </c>
      <c r="DT64" s="152">
        <v>0</v>
      </c>
      <c r="DU64" s="152">
        <v>0</v>
      </c>
      <c r="DV64" s="152">
        <v>0</v>
      </c>
      <c r="DW64" s="152">
        <v>0</v>
      </c>
      <c r="DX64" s="152">
        <v>0</v>
      </c>
      <c r="DY64" s="152">
        <v>0</v>
      </c>
      <c r="DZ64" s="152">
        <v>0</v>
      </c>
      <c r="EA64" s="152">
        <v>0</v>
      </c>
      <c r="EB64" s="152">
        <v>0</v>
      </c>
      <c r="EC64" s="152">
        <v>0</v>
      </c>
      <c r="ED64" s="152">
        <v>0</v>
      </c>
      <c r="EE64" s="152">
        <v>0</v>
      </c>
      <c r="EF64" s="152">
        <v>0</v>
      </c>
      <c r="EG64" s="152">
        <v>0</v>
      </c>
      <c r="EH64" s="152">
        <v>0</v>
      </c>
      <c r="EI64" s="152">
        <v>0</v>
      </c>
      <c r="EJ64" s="152">
        <v>0</v>
      </c>
      <c r="EK64" s="152">
        <v>0</v>
      </c>
      <c r="EL64" s="152">
        <v>0</v>
      </c>
      <c r="EM64" s="152">
        <v>0</v>
      </c>
      <c r="EN64" s="152">
        <v>0</v>
      </c>
      <c r="EO64" s="152">
        <v>0</v>
      </c>
      <c r="EP64" s="152">
        <v>0</v>
      </c>
      <c r="EQ64" s="152">
        <v>0</v>
      </c>
      <c r="ER64" s="152">
        <v>0</v>
      </c>
      <c r="ES64" s="152">
        <v>0</v>
      </c>
      <c r="ET64" s="152">
        <v>0</v>
      </c>
      <c r="EU64" s="152">
        <v>0</v>
      </c>
      <c r="EV64" s="152">
        <v>0</v>
      </c>
      <c r="EW64" s="152">
        <v>0</v>
      </c>
      <c r="EX64" s="152">
        <v>0</v>
      </c>
      <c r="EY64" s="152">
        <v>0</v>
      </c>
      <c r="EZ64" s="152">
        <v>0</v>
      </c>
      <c r="FA64" s="152">
        <v>0</v>
      </c>
      <c r="FB64" s="152">
        <v>0</v>
      </c>
      <c r="FC64" s="152">
        <v>0</v>
      </c>
      <c r="FD64" s="152">
        <v>0</v>
      </c>
      <c r="FE64" s="152">
        <v>0</v>
      </c>
      <c r="FF64" s="152">
        <v>0</v>
      </c>
      <c r="FG64" s="152">
        <v>0</v>
      </c>
      <c r="FH64" s="152">
        <v>0</v>
      </c>
      <c r="FI64" s="152">
        <v>0</v>
      </c>
      <c r="FJ64" s="152">
        <v>0</v>
      </c>
      <c r="FK64" s="152">
        <v>0</v>
      </c>
      <c r="FL64" s="152">
        <v>0</v>
      </c>
      <c r="FM64" s="152">
        <v>0</v>
      </c>
      <c r="FN64" s="152">
        <v>0</v>
      </c>
      <c r="FO64" s="152">
        <v>0</v>
      </c>
      <c r="FP64" s="152">
        <v>0</v>
      </c>
      <c r="FQ64" s="152">
        <v>0</v>
      </c>
      <c r="FR64" s="152">
        <v>0</v>
      </c>
      <c r="FS64" s="166">
        <v>0</v>
      </c>
      <c r="FT64" s="166">
        <v>0</v>
      </c>
      <c r="FU64" s="166">
        <v>0</v>
      </c>
      <c r="FV64" s="166">
        <v>0</v>
      </c>
      <c r="FW64" s="166">
        <v>0</v>
      </c>
      <c r="FX64" s="166">
        <v>0</v>
      </c>
      <c r="FY64" s="166">
        <v>0</v>
      </c>
      <c r="FZ64" s="166">
        <v>0</v>
      </c>
      <c r="GA64" s="166">
        <v>0</v>
      </c>
      <c r="GB64" s="166">
        <v>0</v>
      </c>
      <c r="GC64" s="166">
        <v>0</v>
      </c>
      <c r="GD64" s="166">
        <v>0</v>
      </c>
      <c r="GE64" s="166">
        <v>0</v>
      </c>
      <c r="GF64" s="166">
        <v>0</v>
      </c>
      <c r="GG64" s="166">
        <v>0</v>
      </c>
      <c r="GH64" s="166">
        <v>0</v>
      </c>
      <c r="GI64" s="166">
        <v>0</v>
      </c>
      <c r="GJ64" s="166">
        <v>0</v>
      </c>
      <c r="GK64" s="166">
        <v>0</v>
      </c>
      <c r="GL64" s="166">
        <v>0</v>
      </c>
      <c r="GM64" s="166">
        <v>0</v>
      </c>
      <c r="GN64" s="166">
        <v>0</v>
      </c>
      <c r="GO64" s="166">
        <v>0</v>
      </c>
      <c r="GP64" s="166">
        <v>0</v>
      </c>
      <c r="GQ64" s="166">
        <v>0</v>
      </c>
      <c r="GR64" s="166">
        <v>0</v>
      </c>
      <c r="GS64" s="166">
        <v>0</v>
      </c>
      <c r="GT64" s="166">
        <v>0</v>
      </c>
      <c r="GU64" s="166">
        <v>0</v>
      </c>
      <c r="GV64" s="166">
        <v>0</v>
      </c>
      <c r="GW64" s="166">
        <v>0</v>
      </c>
      <c r="GX64" s="166">
        <v>0</v>
      </c>
      <c r="GY64" s="166">
        <v>0</v>
      </c>
      <c r="GZ64" s="166">
        <v>0</v>
      </c>
      <c r="HA64" s="166">
        <v>0</v>
      </c>
      <c r="HB64" s="166">
        <v>0</v>
      </c>
      <c r="HC64" s="166">
        <v>0</v>
      </c>
      <c r="HD64" s="166">
        <v>0</v>
      </c>
      <c r="HE64" s="166">
        <v>0</v>
      </c>
      <c r="HF64" s="166">
        <v>0</v>
      </c>
      <c r="HG64" s="166">
        <v>0</v>
      </c>
      <c r="HH64" s="152">
        <v>0</v>
      </c>
      <c r="HI64" s="152">
        <v>0</v>
      </c>
      <c r="HJ64" s="152">
        <v>0</v>
      </c>
      <c r="HK64" s="152">
        <v>0</v>
      </c>
      <c r="HL64" s="152">
        <v>0</v>
      </c>
      <c r="HM64" s="152">
        <v>0</v>
      </c>
      <c r="HN64" s="152">
        <v>0</v>
      </c>
      <c r="HO64" s="152">
        <v>0</v>
      </c>
      <c r="HP64" s="152">
        <v>0</v>
      </c>
      <c r="HQ64" s="152">
        <v>0</v>
      </c>
      <c r="HR64" s="152">
        <v>0</v>
      </c>
      <c r="HS64" s="152">
        <v>0</v>
      </c>
      <c r="HT64" s="152">
        <v>0</v>
      </c>
      <c r="HU64" s="216"/>
      <c r="HV64" s="152">
        <v>0</v>
      </c>
      <c r="HW64" s="216"/>
      <c r="HX64" s="216"/>
      <c r="HY64" s="216"/>
      <c r="HZ64" s="216"/>
      <c r="IA64" s="216"/>
      <c r="IB64" s="216"/>
      <c r="IC64" s="216"/>
      <c r="ID64" s="216"/>
      <c r="IE64" s="216"/>
      <c r="IF64" s="216"/>
      <c r="IG64" s="216"/>
      <c r="IH64" s="216"/>
      <c r="II64" s="216"/>
      <c r="IJ64" s="216"/>
      <c r="IK64" s="216"/>
      <c r="IL64" s="216"/>
      <c r="IM64" s="216"/>
      <c r="IN64" s="216"/>
      <c r="IO64" s="216"/>
      <c r="IP64" s="216"/>
      <c r="IQ64" s="216"/>
      <c r="IR64" s="216"/>
      <c r="IS64" s="216"/>
      <c r="IT64" s="216"/>
      <c r="IU64" s="216"/>
      <c r="IV64" s="216"/>
      <c r="IW64" s="216"/>
      <c r="IX64" s="216"/>
      <c r="IY64" s="216"/>
      <c r="IZ64" s="216"/>
      <c r="JA64" s="216"/>
      <c r="JB64" s="216"/>
      <c r="JC64" s="216"/>
      <c r="JD64" s="216"/>
      <c r="JE64" s="216"/>
      <c r="JF64" s="216"/>
      <c r="JG64" s="216"/>
      <c r="JH64" s="216"/>
      <c r="JI64" s="216"/>
      <c r="JJ64" s="216"/>
      <c r="JK64" s="216"/>
      <c r="JL64" s="216"/>
      <c r="JM64" s="216"/>
      <c r="JN64" s="216"/>
      <c r="JO64" s="216"/>
      <c r="JP64" s="216"/>
      <c r="JQ64" s="216"/>
      <c r="JR64" s="216"/>
      <c r="JS64" s="216"/>
      <c r="JT64" s="216"/>
      <c r="JU64" s="216"/>
      <c r="JV64" s="216"/>
      <c r="JW64" s="216"/>
      <c r="JX64" s="216"/>
      <c r="JY64" s="216"/>
      <c r="JZ64" s="216"/>
      <c r="KA64" s="216"/>
      <c r="KB64" s="216"/>
      <c r="KC64" s="216"/>
      <c r="KD64" s="216"/>
      <c r="KE64" s="216"/>
      <c r="KF64" s="216"/>
      <c r="KG64" s="216"/>
      <c r="KH64" s="216"/>
      <c r="KI64" s="216"/>
      <c r="KJ64" s="216"/>
      <c r="KK64" s="216"/>
      <c r="KL64" s="216"/>
      <c r="KM64" s="216"/>
      <c r="KN64" s="216"/>
      <c r="KO64" s="216"/>
      <c r="KP64" s="216"/>
      <c r="KQ64" s="216"/>
      <c r="KR64" s="216"/>
      <c r="KS64" s="216"/>
      <c r="KT64" s="216"/>
      <c r="KU64" s="216"/>
      <c r="KV64" s="216"/>
      <c r="KW64" s="216"/>
      <c r="KX64" s="216"/>
      <c r="KY64" s="216"/>
      <c r="KZ64" s="216"/>
      <c r="LA64" s="216"/>
      <c r="LB64" s="216"/>
      <c r="LC64" s="216"/>
      <c r="LD64" s="216"/>
      <c r="LE64" s="216"/>
    </row>
    <row r="65" spans="1:317" x14ac:dyDescent="0.2">
      <c r="A65" s="179" t="s">
        <v>849</v>
      </c>
      <c r="B65" s="180" t="s">
        <v>964</v>
      </c>
      <c r="C65" s="181"/>
      <c r="D65" s="182">
        <v>0</v>
      </c>
      <c r="E65" s="182">
        <v>0</v>
      </c>
      <c r="F65" s="183" t="s">
        <v>1248</v>
      </c>
      <c r="G65" s="183">
        <v>0</v>
      </c>
      <c r="H65" s="183">
        <v>0</v>
      </c>
      <c r="I65" s="183">
        <v>0</v>
      </c>
      <c r="J65" s="183">
        <v>0</v>
      </c>
      <c r="K65" s="183" t="s">
        <v>1376</v>
      </c>
      <c r="L65" s="183">
        <v>0</v>
      </c>
      <c r="M65" s="183">
        <v>0</v>
      </c>
      <c r="N65" s="183" t="s">
        <v>872</v>
      </c>
      <c r="O65" s="183">
        <v>0</v>
      </c>
      <c r="P65" s="183">
        <v>0</v>
      </c>
      <c r="Q65" s="183"/>
      <c r="R65" s="183"/>
      <c r="S65" s="183"/>
      <c r="T65" s="183"/>
      <c r="U65" s="183"/>
      <c r="V65" s="183">
        <v>0</v>
      </c>
      <c r="W65" s="183">
        <v>0</v>
      </c>
      <c r="X65" s="183">
        <v>0</v>
      </c>
      <c r="Y65" s="184">
        <v>3.65</v>
      </c>
      <c r="Z65" s="184">
        <v>9.39</v>
      </c>
      <c r="AA65" s="184">
        <v>0</v>
      </c>
      <c r="AB65" s="185" t="s">
        <v>615</v>
      </c>
      <c r="AC65" s="185" t="s">
        <v>615</v>
      </c>
      <c r="AD65" s="186" t="s">
        <v>872</v>
      </c>
      <c r="AE65" s="186" t="s">
        <v>852</v>
      </c>
      <c r="AF65" s="187">
        <v>7</v>
      </c>
      <c r="AG65" s="187">
        <v>3</v>
      </c>
      <c r="AH65" s="187">
        <v>4</v>
      </c>
      <c r="AI65" s="188">
        <v>1</v>
      </c>
      <c r="AJ65" s="188" t="s">
        <v>615</v>
      </c>
      <c r="AK65" s="187" t="s">
        <v>1736</v>
      </c>
      <c r="AL65" s="87" t="s">
        <v>615</v>
      </c>
      <c r="AM65" s="189"/>
      <c r="AN65" s="187" t="s">
        <v>615</v>
      </c>
      <c r="AO65" s="13" t="s">
        <v>615</v>
      </c>
      <c r="AP65" s="187">
        <v>0</v>
      </c>
      <c r="AQ65" s="187">
        <v>0</v>
      </c>
      <c r="AR65" s="190">
        <v>0</v>
      </c>
      <c r="AS65" s="190">
        <v>0</v>
      </c>
      <c r="AT65" s="190">
        <v>0</v>
      </c>
      <c r="AU65" s="187">
        <v>0</v>
      </c>
      <c r="AV65" s="187">
        <v>0</v>
      </c>
      <c r="AW65" s="191"/>
      <c r="AX65" s="192"/>
      <c r="AY65" s="193">
        <v>42666</v>
      </c>
      <c r="AZ65" s="193"/>
      <c r="BA65" s="193"/>
      <c r="BB65" s="194"/>
      <c r="BC65" s="194"/>
      <c r="BD65" s="195"/>
      <c r="BE65" s="195" t="s">
        <v>532</v>
      </c>
      <c r="BF65" s="195"/>
      <c r="BG65" s="195">
        <v>20</v>
      </c>
      <c r="BH65" s="196" t="s">
        <v>547</v>
      </c>
      <c r="BI65" s="197">
        <v>1</v>
      </c>
      <c r="BJ65" s="198"/>
      <c r="BK65" s="199">
        <v>0</v>
      </c>
      <c r="BL65" s="13">
        <v>0</v>
      </c>
      <c r="BM65" s="13">
        <v>0</v>
      </c>
      <c r="BN65" s="13" t="s">
        <v>616</v>
      </c>
      <c r="BO65" s="13" t="s">
        <v>616</v>
      </c>
      <c r="BP65" s="200">
        <v>20</v>
      </c>
      <c r="BQ65" s="201"/>
      <c r="BR65" s="202"/>
      <c r="BS65" s="187">
        <v>1000000000</v>
      </c>
      <c r="BT65" s="203">
        <v>1</v>
      </c>
      <c r="BU65" s="204">
        <v>0</v>
      </c>
      <c r="BV65" s="203">
        <v>0</v>
      </c>
      <c r="BW65" s="205">
        <v>0</v>
      </c>
      <c r="BX65" s="205">
        <v>0</v>
      </c>
      <c r="BY65" s="205">
        <v>0</v>
      </c>
      <c r="BZ65" s="203">
        <v>0</v>
      </c>
      <c r="CA65" s="203">
        <v>0</v>
      </c>
      <c r="CB65" s="203">
        <v>1</v>
      </c>
      <c r="CC65" s="204">
        <v>0</v>
      </c>
      <c r="CD65" s="203">
        <v>0</v>
      </c>
      <c r="CE65" s="203">
        <v>0</v>
      </c>
      <c r="CF65" s="13">
        <v>0</v>
      </c>
      <c r="CG65" s="206">
        <v>0</v>
      </c>
      <c r="CH65" s="207">
        <v>0</v>
      </c>
      <c r="CI65" s="201"/>
      <c r="CJ65" s="208"/>
      <c r="CK65" s="209" t="s">
        <v>615</v>
      </c>
      <c r="CL65" s="210" t="s">
        <v>615</v>
      </c>
      <c r="CM65" s="207">
        <v>0</v>
      </c>
      <c r="CN65" s="207">
        <v>0</v>
      </c>
      <c r="CO65" s="204">
        <v>0</v>
      </c>
      <c r="CP65" s="204">
        <v>0</v>
      </c>
      <c r="CQ65" s="211"/>
      <c r="CR65" s="204">
        <v>1</v>
      </c>
      <c r="CS65" s="212">
        <v>42531</v>
      </c>
      <c r="CT65" s="212">
        <v>42780</v>
      </c>
      <c r="CU65" s="213">
        <v>42780</v>
      </c>
      <c r="CV65" s="214">
        <v>42829</v>
      </c>
      <c r="CW65" s="214" t="s">
        <v>615</v>
      </c>
      <c r="CX65" s="214" t="s">
        <v>615</v>
      </c>
      <c r="CY65" s="204">
        <v>0</v>
      </c>
      <c r="CZ65" s="204">
        <v>0.97959183673469385</v>
      </c>
      <c r="DA65" s="203">
        <v>0</v>
      </c>
      <c r="DB65" s="204">
        <v>0</v>
      </c>
      <c r="DC65" s="204">
        <v>0</v>
      </c>
      <c r="DD65" s="204">
        <v>0</v>
      </c>
      <c r="DE65" s="204">
        <v>0</v>
      </c>
      <c r="DF65" s="215">
        <v>0.97959183673469385</v>
      </c>
      <c r="DG65" s="13" t="s">
        <v>615</v>
      </c>
      <c r="DH65" s="86">
        <v>63</v>
      </c>
      <c r="DI65" s="86"/>
      <c r="DJ65" s="86">
        <v>113</v>
      </c>
      <c r="DK65" s="86" t="s">
        <v>1494</v>
      </c>
      <c r="DL65" s="86" t="e">
        <v>#N/A</v>
      </c>
      <c r="DM65" s="86">
        <v>51</v>
      </c>
      <c r="DN65" s="86" t="e">
        <v>#N/A</v>
      </c>
      <c r="DO65" s="86">
        <v>116</v>
      </c>
      <c r="DP65" s="86">
        <v>2</v>
      </c>
      <c r="DQ65" s="86">
        <v>49</v>
      </c>
      <c r="DR65" s="146">
        <v>1</v>
      </c>
      <c r="DS65" s="146">
        <v>1</v>
      </c>
      <c r="DT65" s="146">
        <v>1</v>
      </c>
      <c r="DU65" s="146">
        <v>1</v>
      </c>
      <c r="DV65" s="146">
        <v>1</v>
      </c>
      <c r="DW65" s="146">
        <v>1</v>
      </c>
      <c r="DX65" s="146">
        <v>1</v>
      </c>
      <c r="DY65" s="146">
        <v>1</v>
      </c>
      <c r="DZ65" s="146">
        <v>1</v>
      </c>
      <c r="EA65" s="146">
        <v>1</v>
      </c>
      <c r="EB65" s="146">
        <v>1</v>
      </c>
      <c r="EC65" s="146">
        <v>1</v>
      </c>
      <c r="ED65" s="146">
        <v>1</v>
      </c>
      <c r="EE65" s="146">
        <v>1</v>
      </c>
      <c r="EF65" s="146">
        <v>1</v>
      </c>
      <c r="EG65" s="146">
        <v>1</v>
      </c>
      <c r="EH65" s="146">
        <v>1</v>
      </c>
      <c r="EI65" s="146">
        <v>1</v>
      </c>
      <c r="EJ65" s="146">
        <v>1</v>
      </c>
      <c r="EK65" s="146">
        <v>1</v>
      </c>
      <c r="EL65" s="146">
        <v>1</v>
      </c>
      <c r="EM65" s="146">
        <v>1</v>
      </c>
      <c r="EN65" s="146">
        <v>1</v>
      </c>
      <c r="EO65" s="146">
        <v>1</v>
      </c>
      <c r="EP65" s="146">
        <v>1</v>
      </c>
      <c r="EQ65" s="146">
        <v>1</v>
      </c>
      <c r="ER65" s="146">
        <v>1</v>
      </c>
      <c r="ES65" s="146">
        <v>1</v>
      </c>
      <c r="ET65" s="146">
        <v>1</v>
      </c>
      <c r="EU65" s="146">
        <v>1</v>
      </c>
      <c r="EV65" s="146">
        <v>1</v>
      </c>
      <c r="EW65" s="146">
        <v>1</v>
      </c>
      <c r="EX65" s="146">
        <v>1</v>
      </c>
      <c r="EY65" s="146">
        <v>1</v>
      </c>
      <c r="EZ65" s="146">
        <v>1</v>
      </c>
      <c r="FA65" s="146">
        <v>1</v>
      </c>
      <c r="FB65" s="146">
        <v>1</v>
      </c>
      <c r="FC65" s="146">
        <v>1</v>
      </c>
      <c r="FD65" s="146">
        <v>1</v>
      </c>
      <c r="FE65" s="146">
        <v>1</v>
      </c>
      <c r="FF65" s="146">
        <v>1</v>
      </c>
      <c r="FG65" s="146">
        <v>1</v>
      </c>
      <c r="FH65" s="146">
        <v>1</v>
      </c>
      <c r="FI65" s="146">
        <v>1</v>
      </c>
      <c r="FJ65" s="146">
        <v>1</v>
      </c>
      <c r="FK65" s="146">
        <v>1</v>
      </c>
      <c r="FL65" s="146">
        <v>1</v>
      </c>
      <c r="FM65" s="146">
        <v>1</v>
      </c>
      <c r="FN65" s="146">
        <v>1</v>
      </c>
      <c r="FO65" s="146">
        <v>1</v>
      </c>
      <c r="FP65" s="146">
        <v>1</v>
      </c>
      <c r="FQ65" s="146">
        <v>1</v>
      </c>
      <c r="FR65" s="146">
        <v>1</v>
      </c>
      <c r="FS65" s="140">
        <v>1</v>
      </c>
      <c r="FT65" s="140">
        <v>1</v>
      </c>
      <c r="FU65" s="140">
        <v>1</v>
      </c>
      <c r="FV65" s="140">
        <v>1</v>
      </c>
      <c r="FW65" s="140">
        <v>1</v>
      </c>
      <c r="FX65" s="140">
        <v>1</v>
      </c>
      <c r="FY65" s="140">
        <v>1</v>
      </c>
      <c r="FZ65" s="140">
        <v>1</v>
      </c>
      <c r="GA65" s="140">
        <v>1</v>
      </c>
      <c r="GB65" s="140">
        <v>1</v>
      </c>
      <c r="GC65" s="140">
        <v>1</v>
      </c>
      <c r="GD65" s="140">
        <v>1</v>
      </c>
      <c r="GE65" s="140">
        <v>1</v>
      </c>
      <c r="GF65" s="140">
        <v>1</v>
      </c>
      <c r="GG65" s="140">
        <v>1</v>
      </c>
      <c r="GH65" s="140">
        <v>1</v>
      </c>
      <c r="GI65" s="140">
        <v>1</v>
      </c>
      <c r="GJ65" s="140">
        <v>1</v>
      </c>
      <c r="GK65" s="140">
        <v>1</v>
      </c>
      <c r="GL65" s="140">
        <v>1</v>
      </c>
      <c r="GM65" s="140">
        <v>1</v>
      </c>
      <c r="GN65" s="140">
        <v>1</v>
      </c>
      <c r="GO65" s="140">
        <v>1</v>
      </c>
      <c r="GP65" s="140">
        <v>1</v>
      </c>
      <c r="GQ65" s="140">
        <v>1</v>
      </c>
      <c r="GR65" s="140">
        <v>1</v>
      </c>
      <c r="GS65" s="140">
        <v>1</v>
      </c>
      <c r="GT65" s="140">
        <v>1</v>
      </c>
      <c r="GU65" s="140">
        <v>1</v>
      </c>
      <c r="GV65" s="140">
        <v>1</v>
      </c>
      <c r="GW65" s="140">
        <v>1</v>
      </c>
      <c r="GX65" s="140">
        <v>1</v>
      </c>
      <c r="GY65" s="140">
        <v>1</v>
      </c>
      <c r="GZ65" s="140">
        <v>1</v>
      </c>
      <c r="HA65" s="140">
        <v>1</v>
      </c>
      <c r="HB65" s="140">
        <v>1</v>
      </c>
      <c r="HC65" s="140">
        <v>1</v>
      </c>
      <c r="HD65" s="140">
        <v>1</v>
      </c>
      <c r="HE65" s="140">
        <v>1</v>
      </c>
      <c r="HF65" s="140">
        <v>1</v>
      </c>
      <c r="HG65" s="140">
        <v>1</v>
      </c>
      <c r="HH65" s="146">
        <v>1</v>
      </c>
      <c r="HI65" s="146">
        <v>1</v>
      </c>
      <c r="HJ65" s="146">
        <v>1</v>
      </c>
      <c r="HK65" s="146">
        <v>1</v>
      </c>
      <c r="HL65" s="146">
        <v>1</v>
      </c>
      <c r="HM65" s="146">
        <v>1</v>
      </c>
      <c r="HN65" s="146">
        <v>1</v>
      </c>
      <c r="HO65" s="146">
        <v>1</v>
      </c>
      <c r="HP65" s="146">
        <v>1</v>
      </c>
      <c r="HQ65" s="146">
        <v>1</v>
      </c>
      <c r="HR65" s="146">
        <v>1</v>
      </c>
      <c r="HS65" s="146">
        <v>1</v>
      </c>
      <c r="HT65" s="146">
        <v>1</v>
      </c>
      <c r="HU65" s="151"/>
      <c r="HV65" s="146">
        <v>1</v>
      </c>
      <c r="HW65" s="151"/>
      <c r="HX65" s="151"/>
      <c r="HY65" s="151"/>
      <c r="HZ65" s="151"/>
      <c r="IA65" s="151"/>
      <c r="IB65" s="151"/>
      <c r="IC65" s="151"/>
      <c r="ID65" s="151"/>
      <c r="IE65" s="151"/>
      <c r="IF65" s="151"/>
      <c r="IG65" s="151"/>
      <c r="IH65" s="151"/>
      <c r="II65" s="151"/>
      <c r="IJ65" s="151"/>
      <c r="IK65" s="151"/>
      <c r="IL65" s="151"/>
      <c r="IM65" s="151"/>
      <c r="IN65" s="151"/>
      <c r="IO65" s="151"/>
      <c r="IP65" s="151"/>
      <c r="IQ65" s="151"/>
      <c r="IR65" s="151"/>
      <c r="IS65" s="151"/>
      <c r="IT65" s="151"/>
      <c r="IU65" s="151"/>
      <c r="IV65" s="151"/>
      <c r="IW65" s="151"/>
      <c r="IX65" s="151"/>
      <c r="IY65" s="151"/>
      <c r="IZ65" s="151"/>
      <c r="JA65" s="151"/>
      <c r="JB65" s="151"/>
      <c r="JC65" s="151"/>
      <c r="JD65" s="151"/>
      <c r="JE65" s="151"/>
      <c r="JF65" s="151"/>
      <c r="JG65" s="151"/>
      <c r="JH65" s="151"/>
      <c r="JI65" s="151"/>
      <c r="JJ65" s="151"/>
      <c r="JK65" s="151"/>
      <c r="JL65" s="151"/>
      <c r="JM65" s="151"/>
      <c r="JN65" s="151"/>
      <c r="JO65" s="151"/>
      <c r="JP65" s="151"/>
      <c r="JQ65" s="151"/>
      <c r="JR65" s="151"/>
      <c r="JS65" s="151"/>
      <c r="JT65" s="151"/>
      <c r="JU65" s="151"/>
      <c r="JV65" s="151"/>
      <c r="JW65" s="151"/>
      <c r="JX65" s="151"/>
      <c r="JY65" s="151"/>
      <c r="JZ65" s="151"/>
      <c r="KA65" s="151"/>
      <c r="KB65" s="151"/>
      <c r="KC65" s="151"/>
      <c r="KD65" s="151"/>
      <c r="KE65" s="151"/>
      <c r="KF65" s="151"/>
      <c r="KG65" s="151"/>
      <c r="KH65" s="151"/>
      <c r="KI65" s="151"/>
      <c r="KJ65" s="151"/>
      <c r="KK65" s="151"/>
      <c r="KL65" s="151"/>
      <c r="KM65" s="151"/>
      <c r="KN65" s="151"/>
      <c r="KO65" s="151"/>
      <c r="KP65" s="151"/>
      <c r="KQ65" s="151"/>
      <c r="KR65" s="151"/>
      <c r="KS65" s="151"/>
      <c r="KT65" s="151"/>
      <c r="KU65" s="151"/>
      <c r="KV65" s="151"/>
      <c r="KW65" s="151"/>
      <c r="KX65" s="151"/>
      <c r="KY65" s="151"/>
      <c r="KZ65" s="151"/>
      <c r="LA65" s="151"/>
      <c r="LB65" s="151"/>
      <c r="LC65" s="151"/>
      <c r="LD65" s="151"/>
      <c r="LE65" s="151"/>
    </row>
    <row r="66" spans="1:317" x14ac:dyDescent="0.2">
      <c r="A66" s="179" t="s">
        <v>849</v>
      </c>
      <c r="B66" s="180" t="s">
        <v>965</v>
      </c>
      <c r="C66" s="181"/>
      <c r="D66" s="182">
        <v>0</v>
      </c>
      <c r="E66" s="182">
        <v>0</v>
      </c>
      <c r="F66" s="183" t="s">
        <v>1249</v>
      </c>
      <c r="G66" s="183">
        <v>0</v>
      </c>
      <c r="H66" s="183">
        <v>0</v>
      </c>
      <c r="I66" s="183">
        <v>0</v>
      </c>
      <c r="J66" s="183">
        <v>0</v>
      </c>
      <c r="K66" s="183" t="s">
        <v>1376</v>
      </c>
      <c r="L66" s="183">
        <v>0</v>
      </c>
      <c r="M66" s="183">
        <v>0</v>
      </c>
      <c r="N66" s="183" t="s">
        <v>872</v>
      </c>
      <c r="O66" s="183">
        <v>0</v>
      </c>
      <c r="P66" s="183">
        <v>0</v>
      </c>
      <c r="Q66" s="183"/>
      <c r="R66" s="183"/>
      <c r="S66" s="183"/>
      <c r="T66" s="183"/>
      <c r="U66" s="183"/>
      <c r="V66" s="183">
        <v>0</v>
      </c>
      <c r="W66" s="183">
        <v>0</v>
      </c>
      <c r="X66" s="183">
        <v>0</v>
      </c>
      <c r="Y66" s="184">
        <v>3.51</v>
      </c>
      <c r="Z66" s="184">
        <v>8.98</v>
      </c>
      <c r="AA66" s="184">
        <v>0</v>
      </c>
      <c r="AB66" s="185" t="s">
        <v>615</v>
      </c>
      <c r="AC66" s="185" t="s">
        <v>615</v>
      </c>
      <c r="AD66" s="186" t="s">
        <v>872</v>
      </c>
      <c r="AE66" s="186" t="s">
        <v>852</v>
      </c>
      <c r="AF66" s="187">
        <v>7</v>
      </c>
      <c r="AG66" s="187">
        <v>3</v>
      </c>
      <c r="AH66" s="187">
        <v>4</v>
      </c>
      <c r="AI66" s="188">
        <v>1</v>
      </c>
      <c r="AJ66" s="188" t="s">
        <v>615</v>
      </c>
      <c r="AK66" s="187" t="s">
        <v>1737</v>
      </c>
      <c r="AL66" s="87" t="s">
        <v>615</v>
      </c>
      <c r="AM66" s="189"/>
      <c r="AN66" s="187" t="s">
        <v>615</v>
      </c>
      <c r="AO66" s="13" t="s">
        <v>615</v>
      </c>
      <c r="AP66" s="187">
        <v>0</v>
      </c>
      <c r="AQ66" s="187">
        <v>0</v>
      </c>
      <c r="AR66" s="190">
        <v>0</v>
      </c>
      <c r="AS66" s="190">
        <v>0</v>
      </c>
      <c r="AT66" s="190">
        <v>0</v>
      </c>
      <c r="AU66" s="187">
        <v>0</v>
      </c>
      <c r="AV66" s="187">
        <v>0</v>
      </c>
      <c r="AW66" s="191"/>
      <c r="AX66" s="192"/>
      <c r="AY66" s="193">
        <v>42796</v>
      </c>
      <c r="AZ66" s="193">
        <v>42796</v>
      </c>
      <c r="BA66" s="193">
        <v>42796</v>
      </c>
      <c r="BB66" s="194"/>
      <c r="BC66" s="194"/>
      <c r="BD66" s="195"/>
      <c r="BE66" s="195" t="s">
        <v>532</v>
      </c>
      <c r="BF66" s="195"/>
      <c r="BG66" s="195">
        <v>20</v>
      </c>
      <c r="BH66" s="196" t="s">
        <v>547</v>
      </c>
      <c r="BI66" s="197">
        <v>1</v>
      </c>
      <c r="BJ66" s="198"/>
      <c r="BK66" s="199">
        <v>0</v>
      </c>
      <c r="BL66" s="13">
        <v>0</v>
      </c>
      <c r="BM66" s="13">
        <v>0</v>
      </c>
      <c r="BN66" s="13" t="s">
        <v>616</v>
      </c>
      <c r="BO66" s="13" t="s">
        <v>616</v>
      </c>
      <c r="BP66" s="200">
        <v>30</v>
      </c>
      <c r="BQ66" s="201"/>
      <c r="BR66" s="202"/>
      <c r="BS66" s="187">
        <v>1000000000</v>
      </c>
      <c r="BT66" s="203">
        <v>7</v>
      </c>
      <c r="BU66" s="204">
        <v>0</v>
      </c>
      <c r="BV66" s="203">
        <v>40</v>
      </c>
      <c r="BW66" s="205">
        <v>0</v>
      </c>
      <c r="BX66" s="205">
        <v>0</v>
      </c>
      <c r="BY66" s="205">
        <v>0</v>
      </c>
      <c r="BZ66" s="203">
        <v>0</v>
      </c>
      <c r="CA66" s="203">
        <v>0</v>
      </c>
      <c r="CB66" s="203">
        <v>47</v>
      </c>
      <c r="CC66" s="204">
        <v>0</v>
      </c>
      <c r="CD66" s="203">
        <v>0</v>
      </c>
      <c r="CE66" s="203">
        <v>0</v>
      </c>
      <c r="CF66" s="13">
        <v>0</v>
      </c>
      <c r="CG66" s="206">
        <v>0</v>
      </c>
      <c r="CH66" s="207">
        <v>0</v>
      </c>
      <c r="CI66" s="201"/>
      <c r="CJ66" s="208"/>
      <c r="CK66" s="209" t="s">
        <v>615</v>
      </c>
      <c r="CL66" s="210" t="s">
        <v>615</v>
      </c>
      <c r="CM66" s="207">
        <v>0</v>
      </c>
      <c r="CN66" s="207">
        <v>0</v>
      </c>
      <c r="CO66" s="204">
        <v>0</v>
      </c>
      <c r="CP66" s="204">
        <v>0</v>
      </c>
      <c r="CQ66" s="211"/>
      <c r="CR66" s="204">
        <v>1</v>
      </c>
      <c r="CS66" s="212">
        <v>42709</v>
      </c>
      <c r="CT66" s="212">
        <v>42780</v>
      </c>
      <c r="CU66" s="213">
        <v>42780</v>
      </c>
      <c r="CV66" s="214">
        <v>42829</v>
      </c>
      <c r="CW66" s="214" t="s">
        <v>615</v>
      </c>
      <c r="CX66" s="214" t="s">
        <v>615</v>
      </c>
      <c r="CY66" s="204">
        <v>0</v>
      </c>
      <c r="CZ66" s="204">
        <v>0.97959183673469385</v>
      </c>
      <c r="DA66" s="203">
        <v>0</v>
      </c>
      <c r="DB66" s="204">
        <v>0</v>
      </c>
      <c r="DC66" s="204">
        <v>0</v>
      </c>
      <c r="DD66" s="204">
        <v>0</v>
      </c>
      <c r="DE66" s="204">
        <v>0</v>
      </c>
      <c r="DF66" s="215">
        <v>0.97959183673469385</v>
      </c>
      <c r="DG66" s="13" t="s">
        <v>615</v>
      </c>
      <c r="DH66" s="86">
        <v>64</v>
      </c>
      <c r="DI66" s="86"/>
      <c r="DJ66" s="86">
        <v>112</v>
      </c>
      <c r="DK66" s="86" t="s">
        <v>1493</v>
      </c>
      <c r="DL66" s="86" t="e">
        <v>#N/A</v>
      </c>
      <c r="DM66" s="86">
        <v>50</v>
      </c>
      <c r="DN66" s="86" t="e">
        <v>#N/A</v>
      </c>
      <c r="DO66" s="86">
        <v>115</v>
      </c>
      <c r="DP66" s="86">
        <v>2</v>
      </c>
      <c r="DQ66" s="86">
        <v>49</v>
      </c>
      <c r="DR66" s="152">
        <v>7</v>
      </c>
      <c r="DS66" s="152">
        <v>7</v>
      </c>
      <c r="DT66" s="152">
        <v>7</v>
      </c>
      <c r="DU66" s="152">
        <v>7</v>
      </c>
      <c r="DV66" s="152">
        <v>7</v>
      </c>
      <c r="DW66" s="152">
        <v>7</v>
      </c>
      <c r="DX66" s="152">
        <v>7</v>
      </c>
      <c r="DY66" s="152">
        <v>7</v>
      </c>
      <c r="DZ66" s="152">
        <v>7</v>
      </c>
      <c r="EA66" s="165">
        <v>7</v>
      </c>
      <c r="EB66" s="165">
        <v>7</v>
      </c>
      <c r="EC66" s="165">
        <v>7</v>
      </c>
      <c r="ED66" s="165">
        <v>7</v>
      </c>
      <c r="EE66" s="165">
        <v>7</v>
      </c>
      <c r="EF66" s="165">
        <v>7</v>
      </c>
      <c r="EG66" s="165">
        <v>7</v>
      </c>
      <c r="EH66" s="165">
        <v>7</v>
      </c>
      <c r="EI66" s="165">
        <v>7</v>
      </c>
      <c r="EJ66" s="165">
        <v>7</v>
      </c>
      <c r="EK66" s="165">
        <v>7</v>
      </c>
      <c r="EL66" s="165">
        <v>7</v>
      </c>
      <c r="EM66" s="165">
        <v>7</v>
      </c>
      <c r="EN66" s="165">
        <v>7</v>
      </c>
      <c r="EO66" s="165">
        <v>7</v>
      </c>
      <c r="EP66" s="165">
        <v>7</v>
      </c>
      <c r="EQ66" s="165">
        <v>7</v>
      </c>
      <c r="ER66" s="165">
        <v>7</v>
      </c>
      <c r="ES66" s="165">
        <v>7</v>
      </c>
      <c r="ET66" s="165">
        <v>7</v>
      </c>
      <c r="EU66" s="165">
        <v>7</v>
      </c>
      <c r="EV66" s="165">
        <v>7</v>
      </c>
      <c r="EW66" s="165">
        <v>7</v>
      </c>
      <c r="EX66" s="165">
        <v>7</v>
      </c>
      <c r="EY66" s="165">
        <v>7</v>
      </c>
      <c r="EZ66" s="165">
        <v>7</v>
      </c>
      <c r="FA66" s="165">
        <v>7</v>
      </c>
      <c r="FB66" s="165">
        <v>7</v>
      </c>
      <c r="FC66" s="165">
        <v>7</v>
      </c>
      <c r="FD66" s="165">
        <v>7</v>
      </c>
      <c r="FE66" s="165">
        <v>7</v>
      </c>
      <c r="FF66" s="165">
        <v>7</v>
      </c>
      <c r="FG66" s="165">
        <v>7</v>
      </c>
      <c r="FH66" s="165">
        <v>7</v>
      </c>
      <c r="FI66" s="165">
        <v>7</v>
      </c>
      <c r="FJ66" s="165">
        <v>7</v>
      </c>
      <c r="FK66" s="165">
        <v>7</v>
      </c>
      <c r="FL66" s="165">
        <v>7</v>
      </c>
      <c r="FM66" s="165">
        <v>7</v>
      </c>
      <c r="FN66" s="165">
        <v>7</v>
      </c>
      <c r="FO66" s="165">
        <v>7</v>
      </c>
      <c r="FP66" s="165">
        <v>7</v>
      </c>
      <c r="FQ66" s="165">
        <v>7</v>
      </c>
      <c r="FR66" s="165">
        <v>7</v>
      </c>
      <c r="FS66" s="165">
        <v>7</v>
      </c>
      <c r="FT66" s="165">
        <v>7</v>
      </c>
      <c r="FU66" s="165">
        <v>7</v>
      </c>
      <c r="FV66" s="165">
        <v>7</v>
      </c>
      <c r="FW66" s="165">
        <v>7</v>
      </c>
      <c r="FX66" s="165">
        <v>7</v>
      </c>
      <c r="FY66" s="165">
        <v>7</v>
      </c>
      <c r="FZ66" s="165">
        <v>7</v>
      </c>
      <c r="GA66" s="165">
        <v>7</v>
      </c>
      <c r="GB66" s="165">
        <v>7</v>
      </c>
      <c r="GC66" s="165">
        <v>7</v>
      </c>
      <c r="GD66" s="165">
        <v>7</v>
      </c>
      <c r="GE66" s="165">
        <v>7</v>
      </c>
      <c r="GF66" s="165">
        <v>7</v>
      </c>
      <c r="GG66" s="165">
        <v>7</v>
      </c>
      <c r="GH66" s="165">
        <v>7</v>
      </c>
      <c r="GI66" s="165">
        <v>7</v>
      </c>
      <c r="GJ66" s="165">
        <v>7</v>
      </c>
      <c r="GK66" s="165">
        <v>7</v>
      </c>
      <c r="GL66" s="165">
        <v>7</v>
      </c>
      <c r="GM66" s="165">
        <v>7</v>
      </c>
      <c r="GN66" s="165">
        <v>7</v>
      </c>
      <c r="GO66" s="165">
        <v>7</v>
      </c>
      <c r="GP66" s="165">
        <v>7</v>
      </c>
      <c r="GQ66" s="165">
        <v>7</v>
      </c>
      <c r="GR66" s="165">
        <v>7</v>
      </c>
      <c r="GS66" s="165">
        <v>7</v>
      </c>
      <c r="GT66" s="165">
        <v>7</v>
      </c>
      <c r="GU66" s="165">
        <v>7</v>
      </c>
      <c r="GV66" s="165">
        <v>7</v>
      </c>
      <c r="GW66" s="165">
        <v>7</v>
      </c>
      <c r="GX66" s="165">
        <v>7</v>
      </c>
      <c r="GY66" s="165">
        <v>7</v>
      </c>
      <c r="GZ66" s="165">
        <v>7</v>
      </c>
      <c r="HA66" s="165">
        <v>7</v>
      </c>
      <c r="HB66" s="165">
        <v>7</v>
      </c>
      <c r="HC66" s="165">
        <v>7</v>
      </c>
      <c r="HD66" s="165">
        <v>7</v>
      </c>
      <c r="HE66" s="165">
        <v>7</v>
      </c>
      <c r="HF66" s="165">
        <v>7</v>
      </c>
      <c r="HG66" s="165">
        <v>7</v>
      </c>
      <c r="HH66" s="152">
        <v>7</v>
      </c>
      <c r="HI66" s="152">
        <v>7</v>
      </c>
      <c r="HJ66" s="152">
        <v>7</v>
      </c>
      <c r="HK66" s="152">
        <v>7</v>
      </c>
      <c r="HL66" s="152">
        <v>7</v>
      </c>
      <c r="HM66" s="152">
        <v>7</v>
      </c>
      <c r="HN66" s="152">
        <v>7</v>
      </c>
      <c r="HO66" s="152">
        <v>7</v>
      </c>
      <c r="HP66" s="152">
        <v>7</v>
      </c>
      <c r="HQ66" s="152">
        <v>7</v>
      </c>
      <c r="HR66" s="152">
        <v>7</v>
      </c>
      <c r="HS66" s="152">
        <v>7</v>
      </c>
      <c r="HT66" s="152">
        <v>7</v>
      </c>
      <c r="HU66" s="216"/>
      <c r="HV66" s="152">
        <v>7</v>
      </c>
      <c r="HW66" s="216"/>
      <c r="HX66" s="216"/>
      <c r="HY66" s="216"/>
      <c r="HZ66" s="216"/>
      <c r="IA66" s="216"/>
      <c r="IB66" s="216"/>
      <c r="IC66" s="216"/>
      <c r="ID66" s="216"/>
      <c r="IE66" s="216"/>
      <c r="IF66" s="216"/>
      <c r="IG66" s="216"/>
      <c r="IH66" s="216"/>
      <c r="II66" s="216"/>
      <c r="IJ66" s="216"/>
      <c r="IK66" s="216"/>
      <c r="IL66" s="216"/>
      <c r="IM66" s="216"/>
      <c r="IN66" s="216"/>
      <c r="IO66" s="216"/>
      <c r="IP66" s="216"/>
      <c r="IQ66" s="216"/>
      <c r="IR66" s="216"/>
      <c r="IS66" s="216"/>
      <c r="IT66" s="216"/>
      <c r="IU66" s="216"/>
      <c r="IV66" s="216"/>
      <c r="IW66" s="216"/>
      <c r="IX66" s="216"/>
      <c r="IY66" s="216"/>
      <c r="IZ66" s="216"/>
      <c r="JA66" s="216"/>
      <c r="JB66" s="216"/>
      <c r="JC66" s="216"/>
      <c r="JD66" s="216"/>
      <c r="JE66" s="216"/>
      <c r="JF66" s="216"/>
      <c r="JG66" s="216"/>
      <c r="JH66" s="216"/>
      <c r="JI66" s="216"/>
      <c r="JJ66" s="216"/>
      <c r="JK66" s="216"/>
      <c r="JL66" s="216"/>
      <c r="JM66" s="216"/>
      <c r="JN66" s="216"/>
      <c r="JO66" s="216"/>
      <c r="JP66" s="216"/>
      <c r="JQ66" s="216"/>
      <c r="JR66" s="216"/>
      <c r="JS66" s="216"/>
      <c r="JT66" s="216"/>
      <c r="JU66" s="216"/>
      <c r="JV66" s="216"/>
      <c r="JW66" s="216"/>
      <c r="JX66" s="216"/>
      <c r="JY66" s="216"/>
      <c r="JZ66" s="216"/>
      <c r="KA66" s="216"/>
      <c r="KB66" s="216"/>
      <c r="KC66" s="216"/>
      <c r="KD66" s="216"/>
      <c r="KE66" s="216"/>
      <c r="KF66" s="216"/>
      <c r="KG66" s="216"/>
      <c r="KH66" s="216"/>
      <c r="KI66" s="216"/>
      <c r="KJ66" s="216"/>
      <c r="KK66" s="216"/>
      <c r="KL66" s="216"/>
      <c r="KM66" s="216"/>
      <c r="KN66" s="216"/>
      <c r="KO66" s="216"/>
      <c r="KP66" s="216"/>
      <c r="KQ66" s="216"/>
      <c r="KR66" s="216"/>
      <c r="KS66" s="216"/>
      <c r="KT66" s="216"/>
      <c r="KU66" s="216"/>
      <c r="KV66" s="216"/>
      <c r="KW66" s="216"/>
      <c r="KX66" s="216"/>
      <c r="KY66" s="216"/>
      <c r="KZ66" s="216"/>
      <c r="LA66" s="216"/>
      <c r="LB66" s="216"/>
      <c r="LC66" s="216"/>
      <c r="LD66" s="216"/>
      <c r="LE66" s="216"/>
    </row>
    <row r="67" spans="1:317" x14ac:dyDescent="0.2">
      <c r="A67" s="179" t="s">
        <v>849</v>
      </c>
      <c r="B67" s="180" t="s">
        <v>966</v>
      </c>
      <c r="C67" s="181"/>
      <c r="D67" s="182">
        <v>0</v>
      </c>
      <c r="E67" s="182">
        <v>0</v>
      </c>
      <c r="F67" s="183" t="s">
        <v>1250</v>
      </c>
      <c r="G67" s="183">
        <v>0</v>
      </c>
      <c r="H67" s="183">
        <v>0</v>
      </c>
      <c r="I67" s="183">
        <v>0</v>
      </c>
      <c r="J67" s="183">
        <v>0</v>
      </c>
      <c r="K67" s="183" t="s">
        <v>1376</v>
      </c>
      <c r="L67" s="183">
        <v>0</v>
      </c>
      <c r="M67" s="183">
        <v>0</v>
      </c>
      <c r="N67" s="183" t="s">
        <v>872</v>
      </c>
      <c r="O67" s="183">
        <v>0</v>
      </c>
      <c r="P67" s="183">
        <v>0</v>
      </c>
      <c r="Q67" s="183"/>
      <c r="R67" s="183"/>
      <c r="S67" s="183"/>
      <c r="T67" s="183"/>
      <c r="U67" s="183"/>
      <c r="V67" s="183">
        <v>0</v>
      </c>
      <c r="W67" s="183">
        <v>0</v>
      </c>
      <c r="X67" s="183">
        <v>0</v>
      </c>
      <c r="Y67" s="184">
        <v>0</v>
      </c>
      <c r="Z67" s="184">
        <v>10.02</v>
      </c>
      <c r="AA67" s="184">
        <v>0</v>
      </c>
      <c r="AB67" s="185" t="s">
        <v>615</v>
      </c>
      <c r="AC67" s="185" t="s">
        <v>615</v>
      </c>
      <c r="AD67" s="186" t="s">
        <v>872</v>
      </c>
      <c r="AE67" s="186" t="s">
        <v>852</v>
      </c>
      <c r="AF67" s="187">
        <v>7</v>
      </c>
      <c r="AG67" s="187">
        <v>3</v>
      </c>
      <c r="AH67" s="187">
        <v>4</v>
      </c>
      <c r="AI67" s="188">
        <v>1</v>
      </c>
      <c r="AJ67" s="188" t="s">
        <v>615</v>
      </c>
      <c r="AK67" s="187" t="s">
        <v>1736</v>
      </c>
      <c r="AL67" s="87" t="s">
        <v>615</v>
      </c>
      <c r="AM67" s="189"/>
      <c r="AN67" s="187" t="s">
        <v>615</v>
      </c>
      <c r="AO67" s="13" t="s">
        <v>615</v>
      </c>
      <c r="AP67" s="187">
        <v>0</v>
      </c>
      <c r="AQ67" s="187">
        <v>0</v>
      </c>
      <c r="AR67" s="190">
        <v>0</v>
      </c>
      <c r="AS67" s="190">
        <v>0</v>
      </c>
      <c r="AT67" s="190">
        <v>0</v>
      </c>
      <c r="AU67" s="187">
        <v>0</v>
      </c>
      <c r="AV67" s="187">
        <v>0</v>
      </c>
      <c r="AW67" s="191"/>
      <c r="AX67" s="192"/>
      <c r="AY67" s="193">
        <v>42666</v>
      </c>
      <c r="AZ67" s="193"/>
      <c r="BA67" s="193"/>
      <c r="BB67" s="194"/>
      <c r="BC67" s="194"/>
      <c r="BD67" s="195"/>
      <c r="BE67" s="195" t="s">
        <v>532</v>
      </c>
      <c r="BF67" s="195"/>
      <c r="BG67" s="195">
        <v>20</v>
      </c>
      <c r="BH67" s="196" t="s">
        <v>547</v>
      </c>
      <c r="BI67" s="197">
        <v>1</v>
      </c>
      <c r="BJ67" s="198"/>
      <c r="BK67" s="199">
        <v>0</v>
      </c>
      <c r="BL67" s="13">
        <v>0</v>
      </c>
      <c r="BM67" s="13">
        <v>0</v>
      </c>
      <c r="BN67" s="13" t="s">
        <v>616</v>
      </c>
      <c r="BO67" s="13" t="s">
        <v>616</v>
      </c>
      <c r="BP67" s="200">
        <v>20</v>
      </c>
      <c r="BQ67" s="201"/>
      <c r="BR67" s="202"/>
      <c r="BS67" s="187">
        <v>1000000000</v>
      </c>
      <c r="BT67" s="203">
        <v>0</v>
      </c>
      <c r="BU67" s="204">
        <v>0</v>
      </c>
      <c r="BV67" s="203">
        <v>0</v>
      </c>
      <c r="BW67" s="205">
        <v>0</v>
      </c>
      <c r="BX67" s="205">
        <v>0</v>
      </c>
      <c r="BY67" s="205">
        <v>0</v>
      </c>
      <c r="BZ67" s="203">
        <v>0</v>
      </c>
      <c r="CA67" s="203">
        <v>0</v>
      </c>
      <c r="CB67" s="203">
        <v>0</v>
      </c>
      <c r="CC67" s="204">
        <v>0</v>
      </c>
      <c r="CD67" s="203">
        <v>0</v>
      </c>
      <c r="CE67" s="203">
        <v>0</v>
      </c>
      <c r="CF67" s="13">
        <v>0</v>
      </c>
      <c r="CG67" s="206">
        <v>0</v>
      </c>
      <c r="CH67" s="207">
        <v>0</v>
      </c>
      <c r="CI67" s="201"/>
      <c r="CJ67" s="208"/>
      <c r="CK67" s="209" t="s">
        <v>615</v>
      </c>
      <c r="CL67" s="210" t="s">
        <v>615</v>
      </c>
      <c r="CM67" s="207">
        <v>0</v>
      </c>
      <c r="CN67" s="207">
        <v>0</v>
      </c>
      <c r="CO67" s="204">
        <v>0</v>
      </c>
      <c r="CP67" s="204">
        <v>0</v>
      </c>
      <c r="CQ67" s="211"/>
      <c r="CR67" s="204">
        <v>1</v>
      </c>
      <c r="CS67" s="212">
        <v>42531</v>
      </c>
      <c r="CT67" s="212">
        <v>42780</v>
      </c>
      <c r="CU67" s="213">
        <v>42780</v>
      </c>
      <c r="CV67" s="214">
        <v>42829</v>
      </c>
      <c r="CW67" s="214" t="s">
        <v>615</v>
      </c>
      <c r="CX67" s="214" t="s">
        <v>615</v>
      </c>
      <c r="CY67" s="204">
        <v>1</v>
      </c>
      <c r="CZ67" s="204">
        <v>0.97959183673469385</v>
      </c>
      <c r="DA67" s="203">
        <v>0</v>
      </c>
      <c r="DB67" s="204">
        <v>0.97959183673469385</v>
      </c>
      <c r="DC67" s="204">
        <v>0</v>
      </c>
      <c r="DD67" s="204">
        <v>0</v>
      </c>
      <c r="DE67" s="204">
        <v>0</v>
      </c>
      <c r="DF67" s="215">
        <v>0</v>
      </c>
      <c r="DG67" s="13" t="s">
        <v>615</v>
      </c>
      <c r="DH67" s="86">
        <v>65</v>
      </c>
      <c r="DI67" s="86"/>
      <c r="DJ67" s="86">
        <v>111</v>
      </c>
      <c r="DK67" s="86" t="s">
        <v>1587</v>
      </c>
      <c r="DL67" s="86" t="e">
        <v>#N/A</v>
      </c>
      <c r="DM67" s="86" t="e">
        <v>#N/A</v>
      </c>
      <c r="DN67" s="86" t="e">
        <v>#N/A</v>
      </c>
      <c r="DO67" s="86">
        <v>114</v>
      </c>
      <c r="DP67" s="86">
        <v>2</v>
      </c>
      <c r="DQ67" s="86">
        <v>49</v>
      </c>
      <c r="DR67" s="146">
        <v>0</v>
      </c>
      <c r="DS67" s="146">
        <v>0</v>
      </c>
      <c r="DT67" s="146">
        <v>0</v>
      </c>
      <c r="DU67" s="146">
        <v>0</v>
      </c>
      <c r="DV67" s="146">
        <v>0</v>
      </c>
      <c r="DW67" s="146">
        <v>0</v>
      </c>
      <c r="DX67" s="146">
        <v>0</v>
      </c>
      <c r="DY67" s="146">
        <v>0</v>
      </c>
      <c r="DZ67" s="146">
        <v>0</v>
      </c>
      <c r="EA67" s="146">
        <v>0</v>
      </c>
      <c r="EB67" s="146">
        <v>0</v>
      </c>
      <c r="EC67" s="146">
        <v>0</v>
      </c>
      <c r="ED67" s="146">
        <v>0</v>
      </c>
      <c r="EE67" s="146">
        <v>0</v>
      </c>
      <c r="EF67" s="146">
        <v>0</v>
      </c>
      <c r="EG67" s="146">
        <v>0</v>
      </c>
      <c r="EH67" s="146">
        <v>0</v>
      </c>
      <c r="EI67" s="146">
        <v>0</v>
      </c>
      <c r="EJ67" s="146">
        <v>0</v>
      </c>
      <c r="EK67" s="146">
        <v>0</v>
      </c>
      <c r="EL67" s="146">
        <v>0</v>
      </c>
      <c r="EM67" s="146">
        <v>0</v>
      </c>
      <c r="EN67" s="146">
        <v>0</v>
      </c>
      <c r="EO67" s="146">
        <v>0</v>
      </c>
      <c r="EP67" s="146">
        <v>0</v>
      </c>
      <c r="EQ67" s="146">
        <v>0</v>
      </c>
      <c r="ER67" s="146">
        <v>0</v>
      </c>
      <c r="ES67" s="146">
        <v>0</v>
      </c>
      <c r="ET67" s="146">
        <v>0</v>
      </c>
      <c r="EU67" s="146">
        <v>0</v>
      </c>
      <c r="EV67" s="146">
        <v>0</v>
      </c>
      <c r="EW67" s="146">
        <v>0</v>
      </c>
      <c r="EX67" s="146">
        <v>0</v>
      </c>
      <c r="EY67" s="146">
        <v>0</v>
      </c>
      <c r="EZ67" s="146">
        <v>0</v>
      </c>
      <c r="FA67" s="146">
        <v>0</v>
      </c>
      <c r="FB67" s="146">
        <v>0</v>
      </c>
      <c r="FC67" s="146">
        <v>0</v>
      </c>
      <c r="FD67" s="146">
        <v>0</v>
      </c>
      <c r="FE67" s="146">
        <v>0</v>
      </c>
      <c r="FF67" s="146">
        <v>0</v>
      </c>
      <c r="FG67" s="146">
        <v>0</v>
      </c>
      <c r="FH67" s="146">
        <v>0</v>
      </c>
      <c r="FI67" s="146">
        <v>0</v>
      </c>
      <c r="FJ67" s="146">
        <v>0</v>
      </c>
      <c r="FK67" s="146">
        <v>0</v>
      </c>
      <c r="FL67" s="146">
        <v>0</v>
      </c>
      <c r="FM67" s="146">
        <v>0</v>
      </c>
      <c r="FN67" s="146">
        <v>0</v>
      </c>
      <c r="FO67" s="146">
        <v>0</v>
      </c>
      <c r="FP67" s="146">
        <v>0</v>
      </c>
      <c r="FQ67" s="146">
        <v>0</v>
      </c>
      <c r="FR67" s="146">
        <v>0</v>
      </c>
      <c r="FS67" s="160">
        <v>0</v>
      </c>
      <c r="FT67" s="160">
        <v>0</v>
      </c>
      <c r="FU67" s="160">
        <v>0</v>
      </c>
      <c r="FV67" s="160">
        <v>0</v>
      </c>
      <c r="FW67" s="160">
        <v>0</v>
      </c>
      <c r="FX67" s="160">
        <v>0</v>
      </c>
      <c r="FY67" s="160">
        <v>0</v>
      </c>
      <c r="FZ67" s="160">
        <v>0</v>
      </c>
      <c r="GA67" s="160">
        <v>0</v>
      </c>
      <c r="GB67" s="160">
        <v>0</v>
      </c>
      <c r="GC67" s="160">
        <v>0</v>
      </c>
      <c r="GD67" s="160">
        <v>0</v>
      </c>
      <c r="GE67" s="160">
        <v>0</v>
      </c>
      <c r="GF67" s="160">
        <v>0</v>
      </c>
      <c r="GG67" s="160">
        <v>0</v>
      </c>
      <c r="GH67" s="160">
        <v>0</v>
      </c>
      <c r="GI67" s="160">
        <v>0</v>
      </c>
      <c r="GJ67" s="160">
        <v>0</v>
      </c>
      <c r="GK67" s="160">
        <v>0</v>
      </c>
      <c r="GL67" s="160">
        <v>0</v>
      </c>
      <c r="GM67" s="160">
        <v>0</v>
      </c>
      <c r="GN67" s="160">
        <v>0</v>
      </c>
      <c r="GO67" s="160">
        <v>0</v>
      </c>
      <c r="GP67" s="160">
        <v>0</v>
      </c>
      <c r="GQ67" s="160">
        <v>0</v>
      </c>
      <c r="GR67" s="160">
        <v>0</v>
      </c>
      <c r="GS67" s="160">
        <v>0</v>
      </c>
      <c r="GT67" s="160">
        <v>0</v>
      </c>
      <c r="GU67" s="160">
        <v>0</v>
      </c>
      <c r="GV67" s="160">
        <v>0</v>
      </c>
      <c r="GW67" s="160">
        <v>0</v>
      </c>
      <c r="GX67" s="160">
        <v>0</v>
      </c>
      <c r="GY67" s="160">
        <v>0</v>
      </c>
      <c r="GZ67" s="160">
        <v>0</v>
      </c>
      <c r="HA67" s="160">
        <v>0</v>
      </c>
      <c r="HB67" s="160">
        <v>0</v>
      </c>
      <c r="HC67" s="160">
        <v>0</v>
      </c>
      <c r="HD67" s="160">
        <v>0</v>
      </c>
      <c r="HE67" s="160">
        <v>0</v>
      </c>
      <c r="HF67" s="160">
        <v>0</v>
      </c>
      <c r="HG67" s="160">
        <v>0</v>
      </c>
      <c r="HH67" s="146">
        <v>0</v>
      </c>
      <c r="HI67" s="146">
        <v>0</v>
      </c>
      <c r="HJ67" s="146">
        <v>0</v>
      </c>
      <c r="HK67" s="146">
        <v>0</v>
      </c>
      <c r="HL67" s="146">
        <v>0</v>
      </c>
      <c r="HM67" s="146">
        <v>0</v>
      </c>
      <c r="HN67" s="146">
        <v>0</v>
      </c>
      <c r="HO67" s="146">
        <v>0</v>
      </c>
      <c r="HP67" s="146">
        <v>0</v>
      </c>
      <c r="HQ67" s="146">
        <v>0</v>
      </c>
      <c r="HR67" s="146">
        <v>0</v>
      </c>
      <c r="HS67" s="146">
        <v>0</v>
      </c>
      <c r="HT67" s="146">
        <v>0</v>
      </c>
      <c r="HU67" s="151"/>
      <c r="HV67" s="146">
        <v>0</v>
      </c>
      <c r="HW67" s="151"/>
      <c r="HX67" s="151"/>
      <c r="HY67" s="151"/>
      <c r="HZ67" s="151"/>
      <c r="IA67" s="151"/>
      <c r="IB67" s="151"/>
      <c r="IC67" s="151"/>
      <c r="ID67" s="151"/>
      <c r="IE67" s="151"/>
      <c r="IF67" s="151"/>
      <c r="IG67" s="151"/>
      <c r="IH67" s="151"/>
      <c r="II67" s="151"/>
      <c r="IJ67" s="151"/>
      <c r="IK67" s="151"/>
      <c r="IL67" s="151"/>
      <c r="IM67" s="151"/>
      <c r="IN67" s="151"/>
      <c r="IO67" s="151"/>
      <c r="IP67" s="151"/>
      <c r="IQ67" s="151"/>
      <c r="IR67" s="151"/>
      <c r="IS67" s="151"/>
      <c r="IT67" s="151"/>
      <c r="IU67" s="151"/>
      <c r="IV67" s="151"/>
      <c r="IW67" s="151"/>
      <c r="IX67" s="151"/>
      <c r="IY67" s="151"/>
      <c r="IZ67" s="151"/>
      <c r="JA67" s="151"/>
      <c r="JB67" s="151"/>
      <c r="JC67" s="151"/>
      <c r="JD67" s="151"/>
      <c r="JE67" s="151"/>
      <c r="JF67" s="151"/>
      <c r="JG67" s="151"/>
      <c r="JH67" s="151"/>
      <c r="JI67" s="151"/>
      <c r="JJ67" s="151"/>
      <c r="JK67" s="151"/>
      <c r="JL67" s="151"/>
      <c r="JM67" s="151"/>
      <c r="JN67" s="151"/>
      <c r="JO67" s="151"/>
      <c r="JP67" s="151"/>
      <c r="JQ67" s="151"/>
      <c r="JR67" s="151"/>
      <c r="JS67" s="151"/>
      <c r="JT67" s="151"/>
      <c r="JU67" s="151"/>
      <c r="JV67" s="151"/>
      <c r="JW67" s="151"/>
      <c r="JX67" s="151"/>
      <c r="JY67" s="151"/>
      <c r="JZ67" s="151"/>
      <c r="KA67" s="151"/>
      <c r="KB67" s="151"/>
      <c r="KC67" s="151"/>
      <c r="KD67" s="151"/>
      <c r="KE67" s="151"/>
      <c r="KF67" s="151"/>
      <c r="KG67" s="151"/>
      <c r="KH67" s="151"/>
      <c r="KI67" s="151"/>
      <c r="KJ67" s="151"/>
      <c r="KK67" s="151"/>
      <c r="KL67" s="151"/>
      <c r="KM67" s="151"/>
      <c r="KN67" s="151"/>
      <c r="KO67" s="151"/>
      <c r="KP67" s="151"/>
      <c r="KQ67" s="151"/>
      <c r="KR67" s="151"/>
      <c r="KS67" s="151"/>
      <c r="KT67" s="151"/>
      <c r="KU67" s="151"/>
      <c r="KV67" s="151"/>
      <c r="KW67" s="151"/>
      <c r="KX67" s="151"/>
      <c r="KY67" s="151"/>
      <c r="KZ67" s="151"/>
      <c r="LA67" s="151"/>
      <c r="LB67" s="151"/>
      <c r="LC67" s="151"/>
      <c r="LD67" s="151"/>
      <c r="LE67" s="151"/>
    </row>
    <row r="68" spans="1:317" x14ac:dyDescent="0.2">
      <c r="A68" s="179" t="s">
        <v>849</v>
      </c>
      <c r="B68" s="180" t="s">
        <v>967</v>
      </c>
      <c r="C68" s="181"/>
      <c r="D68" s="182">
        <v>0</v>
      </c>
      <c r="E68" s="182">
        <v>0</v>
      </c>
      <c r="F68" s="183" t="s">
        <v>1251</v>
      </c>
      <c r="G68" s="183">
        <v>0</v>
      </c>
      <c r="H68" s="183">
        <v>0</v>
      </c>
      <c r="I68" s="183">
        <v>0</v>
      </c>
      <c r="J68" s="183">
        <v>0</v>
      </c>
      <c r="K68" s="183" t="s">
        <v>1376</v>
      </c>
      <c r="L68" s="183">
        <v>0</v>
      </c>
      <c r="M68" s="183">
        <v>0</v>
      </c>
      <c r="N68" s="183" t="s">
        <v>872</v>
      </c>
      <c r="O68" s="183">
        <v>0</v>
      </c>
      <c r="P68" s="183">
        <v>0</v>
      </c>
      <c r="Q68" s="183"/>
      <c r="R68" s="183"/>
      <c r="S68" s="183"/>
      <c r="T68" s="183"/>
      <c r="U68" s="183"/>
      <c r="V68" s="183">
        <v>0</v>
      </c>
      <c r="W68" s="183">
        <v>0</v>
      </c>
      <c r="X68" s="183">
        <v>0</v>
      </c>
      <c r="Y68" s="184">
        <v>3.26</v>
      </c>
      <c r="Z68" s="184">
        <v>9.39</v>
      </c>
      <c r="AA68" s="184">
        <v>0</v>
      </c>
      <c r="AB68" s="185" t="s">
        <v>615</v>
      </c>
      <c r="AC68" s="185" t="s">
        <v>615</v>
      </c>
      <c r="AD68" s="186" t="s">
        <v>872</v>
      </c>
      <c r="AE68" s="186" t="s">
        <v>852</v>
      </c>
      <c r="AF68" s="187">
        <v>7</v>
      </c>
      <c r="AG68" s="187">
        <v>3</v>
      </c>
      <c r="AH68" s="187">
        <v>4</v>
      </c>
      <c r="AI68" s="188">
        <v>1</v>
      </c>
      <c r="AJ68" s="188" t="s">
        <v>615</v>
      </c>
      <c r="AK68" s="187" t="s">
        <v>1737</v>
      </c>
      <c r="AL68" s="87" t="s">
        <v>615</v>
      </c>
      <c r="AM68" s="189"/>
      <c r="AN68" s="187" t="s">
        <v>615</v>
      </c>
      <c r="AO68" s="13" t="s">
        <v>615</v>
      </c>
      <c r="AP68" s="187">
        <v>0</v>
      </c>
      <c r="AQ68" s="187">
        <v>0</v>
      </c>
      <c r="AR68" s="190">
        <v>0</v>
      </c>
      <c r="AS68" s="190">
        <v>0</v>
      </c>
      <c r="AT68" s="190">
        <v>0</v>
      </c>
      <c r="AU68" s="187">
        <v>0</v>
      </c>
      <c r="AV68" s="187">
        <v>0</v>
      </c>
      <c r="AW68" s="191"/>
      <c r="AX68" s="192"/>
      <c r="AY68" s="193">
        <v>42666</v>
      </c>
      <c r="AZ68" s="193"/>
      <c r="BA68" s="193"/>
      <c r="BB68" s="194"/>
      <c r="BC68" s="194"/>
      <c r="BD68" s="195"/>
      <c r="BE68" s="195" t="s">
        <v>532</v>
      </c>
      <c r="BF68" s="195"/>
      <c r="BG68" s="195">
        <v>20</v>
      </c>
      <c r="BH68" s="196" t="s">
        <v>547</v>
      </c>
      <c r="BI68" s="197">
        <v>1</v>
      </c>
      <c r="BJ68" s="198"/>
      <c r="BK68" s="199">
        <v>0</v>
      </c>
      <c r="BL68" s="13">
        <v>0</v>
      </c>
      <c r="BM68" s="13">
        <v>0</v>
      </c>
      <c r="BN68" s="13" t="s">
        <v>616</v>
      </c>
      <c r="BO68" s="13" t="s">
        <v>616</v>
      </c>
      <c r="BP68" s="200">
        <v>20</v>
      </c>
      <c r="BQ68" s="201"/>
      <c r="BR68" s="202"/>
      <c r="BS68" s="187">
        <v>1000000000</v>
      </c>
      <c r="BT68" s="203">
        <v>58</v>
      </c>
      <c r="BU68" s="204">
        <v>0</v>
      </c>
      <c r="BV68" s="203">
        <v>0</v>
      </c>
      <c r="BW68" s="205">
        <v>0</v>
      </c>
      <c r="BX68" s="205">
        <v>0</v>
      </c>
      <c r="BY68" s="205">
        <v>0</v>
      </c>
      <c r="BZ68" s="203">
        <v>0</v>
      </c>
      <c r="CA68" s="203">
        <v>0</v>
      </c>
      <c r="CB68" s="203">
        <v>58</v>
      </c>
      <c r="CC68" s="204">
        <v>0</v>
      </c>
      <c r="CD68" s="203">
        <v>0</v>
      </c>
      <c r="CE68" s="203">
        <v>0</v>
      </c>
      <c r="CF68" s="13">
        <v>0</v>
      </c>
      <c r="CG68" s="206">
        <v>0</v>
      </c>
      <c r="CH68" s="207">
        <v>0</v>
      </c>
      <c r="CI68" s="201"/>
      <c r="CJ68" s="208"/>
      <c r="CK68" s="209" t="s">
        <v>615</v>
      </c>
      <c r="CL68" s="210" t="s">
        <v>615</v>
      </c>
      <c r="CM68" s="207">
        <v>0</v>
      </c>
      <c r="CN68" s="207">
        <v>0</v>
      </c>
      <c r="CO68" s="204">
        <v>0</v>
      </c>
      <c r="CP68" s="204">
        <v>0</v>
      </c>
      <c r="CQ68" s="211"/>
      <c r="CR68" s="204">
        <v>1</v>
      </c>
      <c r="CS68" s="212">
        <v>42709</v>
      </c>
      <c r="CT68" s="212">
        <v>42780</v>
      </c>
      <c r="CU68" s="213">
        <v>42780</v>
      </c>
      <c r="CV68" s="214">
        <v>42829</v>
      </c>
      <c r="CW68" s="214" t="s">
        <v>615</v>
      </c>
      <c r="CX68" s="214" t="s">
        <v>615</v>
      </c>
      <c r="CY68" s="204">
        <v>0</v>
      </c>
      <c r="CZ68" s="204">
        <v>0.97959183673469385</v>
      </c>
      <c r="DA68" s="203">
        <v>0</v>
      </c>
      <c r="DB68" s="204">
        <v>0</v>
      </c>
      <c r="DC68" s="204">
        <v>0</v>
      </c>
      <c r="DD68" s="204">
        <v>0</v>
      </c>
      <c r="DE68" s="204">
        <v>0</v>
      </c>
      <c r="DF68" s="215">
        <v>0.97959183673469385</v>
      </c>
      <c r="DG68" s="13" t="s">
        <v>615</v>
      </c>
      <c r="DH68" s="86">
        <v>66</v>
      </c>
      <c r="DI68" s="86"/>
      <c r="DJ68" s="86">
        <v>110</v>
      </c>
      <c r="DK68" s="86" t="s">
        <v>1492</v>
      </c>
      <c r="DL68" s="86" t="e">
        <v>#N/A</v>
      </c>
      <c r="DM68" s="86">
        <v>49</v>
      </c>
      <c r="DN68" s="86" t="e">
        <v>#N/A</v>
      </c>
      <c r="DO68" s="86">
        <v>113</v>
      </c>
      <c r="DP68" s="86">
        <v>2</v>
      </c>
      <c r="DQ68" s="86">
        <v>49</v>
      </c>
      <c r="DR68" s="152">
        <v>58</v>
      </c>
      <c r="DS68" s="152">
        <v>58</v>
      </c>
      <c r="DT68" s="152">
        <v>58</v>
      </c>
      <c r="DU68" s="152">
        <v>58</v>
      </c>
      <c r="DV68" s="152">
        <v>58</v>
      </c>
      <c r="DW68" s="152">
        <v>58</v>
      </c>
      <c r="DX68" s="152">
        <v>58</v>
      </c>
      <c r="DY68" s="152">
        <v>58</v>
      </c>
      <c r="DZ68" s="152">
        <v>58</v>
      </c>
      <c r="EA68" s="167">
        <v>58</v>
      </c>
      <c r="EB68" s="167">
        <v>58</v>
      </c>
      <c r="EC68" s="167">
        <v>58</v>
      </c>
      <c r="ED68" s="167">
        <v>58</v>
      </c>
      <c r="EE68" s="167">
        <v>58</v>
      </c>
      <c r="EF68" s="167">
        <v>58</v>
      </c>
      <c r="EG68" s="167">
        <v>58</v>
      </c>
      <c r="EH68" s="167">
        <v>58</v>
      </c>
      <c r="EI68" s="167">
        <v>58</v>
      </c>
      <c r="EJ68" s="167">
        <v>58</v>
      </c>
      <c r="EK68" s="167">
        <v>58</v>
      </c>
      <c r="EL68" s="167">
        <v>58</v>
      </c>
      <c r="EM68" s="167">
        <v>58</v>
      </c>
      <c r="EN68" s="167">
        <v>58</v>
      </c>
      <c r="EO68" s="167">
        <v>58</v>
      </c>
      <c r="EP68" s="167">
        <v>58</v>
      </c>
      <c r="EQ68" s="167">
        <v>58</v>
      </c>
      <c r="ER68" s="167">
        <v>58</v>
      </c>
      <c r="ES68" s="167">
        <v>58</v>
      </c>
      <c r="ET68" s="167">
        <v>58</v>
      </c>
      <c r="EU68" s="167">
        <v>58</v>
      </c>
      <c r="EV68" s="167">
        <v>58</v>
      </c>
      <c r="EW68" s="167">
        <v>58</v>
      </c>
      <c r="EX68" s="167">
        <v>58</v>
      </c>
      <c r="EY68" s="167">
        <v>58</v>
      </c>
      <c r="EZ68" s="167">
        <v>58</v>
      </c>
      <c r="FA68" s="167">
        <v>58</v>
      </c>
      <c r="FB68" s="167">
        <v>58</v>
      </c>
      <c r="FC68" s="167">
        <v>58</v>
      </c>
      <c r="FD68" s="167">
        <v>58</v>
      </c>
      <c r="FE68" s="167">
        <v>58</v>
      </c>
      <c r="FF68" s="167">
        <v>58</v>
      </c>
      <c r="FG68" s="167">
        <v>58</v>
      </c>
      <c r="FH68" s="167">
        <v>58</v>
      </c>
      <c r="FI68" s="167">
        <v>58</v>
      </c>
      <c r="FJ68" s="167">
        <v>58</v>
      </c>
      <c r="FK68" s="167">
        <v>58</v>
      </c>
      <c r="FL68" s="167">
        <v>58</v>
      </c>
      <c r="FM68" s="167">
        <v>58</v>
      </c>
      <c r="FN68" s="167">
        <v>58</v>
      </c>
      <c r="FO68" s="167">
        <v>58</v>
      </c>
      <c r="FP68" s="167">
        <v>58</v>
      </c>
      <c r="FQ68" s="167">
        <v>58</v>
      </c>
      <c r="FR68" s="167">
        <v>58</v>
      </c>
      <c r="FS68" s="167">
        <v>58</v>
      </c>
      <c r="FT68" s="167">
        <v>58</v>
      </c>
      <c r="FU68" s="167">
        <v>58</v>
      </c>
      <c r="FV68" s="167">
        <v>58</v>
      </c>
      <c r="FW68" s="167">
        <v>58</v>
      </c>
      <c r="FX68" s="167">
        <v>58</v>
      </c>
      <c r="FY68" s="167">
        <v>58</v>
      </c>
      <c r="FZ68" s="167">
        <v>58</v>
      </c>
      <c r="GA68" s="167">
        <v>58</v>
      </c>
      <c r="GB68" s="167">
        <v>58</v>
      </c>
      <c r="GC68" s="167">
        <v>58</v>
      </c>
      <c r="GD68" s="167">
        <v>58</v>
      </c>
      <c r="GE68" s="167">
        <v>58</v>
      </c>
      <c r="GF68" s="167">
        <v>58</v>
      </c>
      <c r="GG68" s="167">
        <v>58</v>
      </c>
      <c r="GH68" s="167">
        <v>58</v>
      </c>
      <c r="GI68" s="167">
        <v>58</v>
      </c>
      <c r="GJ68" s="167">
        <v>58</v>
      </c>
      <c r="GK68" s="167">
        <v>58</v>
      </c>
      <c r="GL68" s="167">
        <v>58</v>
      </c>
      <c r="GM68" s="167">
        <v>58</v>
      </c>
      <c r="GN68" s="167">
        <v>58</v>
      </c>
      <c r="GO68" s="167">
        <v>58</v>
      </c>
      <c r="GP68" s="167">
        <v>58</v>
      </c>
      <c r="GQ68" s="167">
        <v>58</v>
      </c>
      <c r="GR68" s="167">
        <v>58</v>
      </c>
      <c r="GS68" s="167">
        <v>58</v>
      </c>
      <c r="GT68" s="167">
        <v>58</v>
      </c>
      <c r="GU68" s="167">
        <v>58</v>
      </c>
      <c r="GV68" s="167">
        <v>58</v>
      </c>
      <c r="GW68" s="167">
        <v>58</v>
      </c>
      <c r="GX68" s="167">
        <v>58</v>
      </c>
      <c r="GY68" s="167">
        <v>58</v>
      </c>
      <c r="GZ68" s="167">
        <v>58</v>
      </c>
      <c r="HA68" s="167">
        <v>58</v>
      </c>
      <c r="HB68" s="167">
        <v>58</v>
      </c>
      <c r="HC68" s="167">
        <v>58</v>
      </c>
      <c r="HD68" s="167">
        <v>58</v>
      </c>
      <c r="HE68" s="167">
        <v>58</v>
      </c>
      <c r="HF68" s="167">
        <v>58</v>
      </c>
      <c r="HG68" s="167">
        <v>58</v>
      </c>
      <c r="HH68" s="152">
        <v>58</v>
      </c>
      <c r="HI68" s="152">
        <v>58</v>
      </c>
      <c r="HJ68" s="152">
        <v>58</v>
      </c>
      <c r="HK68" s="152">
        <v>58</v>
      </c>
      <c r="HL68" s="152">
        <v>58</v>
      </c>
      <c r="HM68" s="152">
        <v>58</v>
      </c>
      <c r="HN68" s="152">
        <v>58</v>
      </c>
      <c r="HO68" s="152">
        <v>58</v>
      </c>
      <c r="HP68" s="152">
        <v>58</v>
      </c>
      <c r="HQ68" s="152">
        <v>58</v>
      </c>
      <c r="HR68" s="152">
        <v>58</v>
      </c>
      <c r="HS68" s="152">
        <v>58</v>
      </c>
      <c r="HT68" s="152">
        <v>58</v>
      </c>
      <c r="HU68" s="216"/>
      <c r="HV68" s="152">
        <v>58</v>
      </c>
      <c r="HW68" s="216"/>
      <c r="HX68" s="216"/>
      <c r="HY68" s="216"/>
      <c r="HZ68" s="216"/>
      <c r="IA68" s="216"/>
      <c r="IB68" s="216"/>
      <c r="IC68" s="216"/>
      <c r="ID68" s="216"/>
      <c r="IE68" s="216"/>
      <c r="IF68" s="216"/>
      <c r="IG68" s="216"/>
      <c r="IH68" s="216"/>
      <c r="II68" s="216"/>
      <c r="IJ68" s="216"/>
      <c r="IK68" s="216"/>
      <c r="IL68" s="216"/>
      <c r="IM68" s="216"/>
      <c r="IN68" s="216"/>
      <c r="IO68" s="216"/>
      <c r="IP68" s="216"/>
      <c r="IQ68" s="216"/>
      <c r="IR68" s="216"/>
      <c r="IS68" s="216"/>
      <c r="IT68" s="216"/>
      <c r="IU68" s="216"/>
      <c r="IV68" s="216"/>
      <c r="IW68" s="216"/>
      <c r="IX68" s="216"/>
      <c r="IY68" s="216"/>
      <c r="IZ68" s="216"/>
      <c r="JA68" s="216"/>
      <c r="JB68" s="216"/>
      <c r="JC68" s="216"/>
      <c r="JD68" s="216"/>
      <c r="JE68" s="216"/>
      <c r="JF68" s="216"/>
      <c r="JG68" s="216"/>
      <c r="JH68" s="216"/>
      <c r="JI68" s="216"/>
      <c r="JJ68" s="216"/>
      <c r="JK68" s="216"/>
      <c r="JL68" s="216"/>
      <c r="JM68" s="216"/>
      <c r="JN68" s="216"/>
      <c r="JO68" s="216"/>
      <c r="JP68" s="216"/>
      <c r="JQ68" s="216"/>
      <c r="JR68" s="216"/>
      <c r="JS68" s="216"/>
      <c r="JT68" s="216"/>
      <c r="JU68" s="216"/>
      <c r="JV68" s="216"/>
      <c r="JW68" s="216"/>
      <c r="JX68" s="216"/>
      <c r="JY68" s="216"/>
      <c r="JZ68" s="216"/>
      <c r="KA68" s="216"/>
      <c r="KB68" s="216"/>
      <c r="KC68" s="216"/>
      <c r="KD68" s="216"/>
      <c r="KE68" s="216"/>
      <c r="KF68" s="216"/>
      <c r="KG68" s="216"/>
      <c r="KH68" s="216"/>
      <c r="KI68" s="216"/>
      <c r="KJ68" s="216"/>
      <c r="KK68" s="216"/>
      <c r="KL68" s="216"/>
      <c r="KM68" s="216"/>
      <c r="KN68" s="216"/>
      <c r="KO68" s="216"/>
      <c r="KP68" s="216"/>
      <c r="KQ68" s="216"/>
      <c r="KR68" s="216"/>
      <c r="KS68" s="216"/>
      <c r="KT68" s="216"/>
      <c r="KU68" s="216"/>
      <c r="KV68" s="216"/>
      <c r="KW68" s="216"/>
      <c r="KX68" s="216"/>
      <c r="KY68" s="216"/>
      <c r="KZ68" s="216"/>
      <c r="LA68" s="216"/>
      <c r="LB68" s="216"/>
      <c r="LC68" s="216"/>
      <c r="LD68" s="216"/>
      <c r="LE68" s="216"/>
    </row>
    <row r="69" spans="1:317" x14ac:dyDescent="0.2">
      <c r="A69" s="179" t="s">
        <v>849</v>
      </c>
      <c r="B69" s="180" t="s">
        <v>968</v>
      </c>
      <c r="C69" s="181"/>
      <c r="D69" s="182">
        <v>0</v>
      </c>
      <c r="E69" s="182">
        <v>0</v>
      </c>
      <c r="F69" s="183" t="s">
        <v>1252</v>
      </c>
      <c r="G69" s="183">
        <v>0</v>
      </c>
      <c r="H69" s="183">
        <v>0</v>
      </c>
      <c r="I69" s="183">
        <v>0</v>
      </c>
      <c r="J69" s="183">
        <v>0</v>
      </c>
      <c r="K69" s="183" t="s">
        <v>1376</v>
      </c>
      <c r="L69" s="183">
        <v>0</v>
      </c>
      <c r="M69" s="183">
        <v>0</v>
      </c>
      <c r="N69" s="183" t="s">
        <v>872</v>
      </c>
      <c r="O69" s="183">
        <v>0</v>
      </c>
      <c r="P69" s="183">
        <v>0</v>
      </c>
      <c r="Q69" s="183"/>
      <c r="R69" s="183"/>
      <c r="S69" s="183"/>
      <c r="T69" s="183"/>
      <c r="U69" s="183"/>
      <c r="V69" s="183">
        <v>0</v>
      </c>
      <c r="W69" s="183">
        <v>0</v>
      </c>
      <c r="X69" s="183">
        <v>0</v>
      </c>
      <c r="Y69" s="184">
        <v>0</v>
      </c>
      <c r="Z69" s="184">
        <v>0</v>
      </c>
      <c r="AA69" s="184">
        <v>0</v>
      </c>
      <c r="AB69" s="185" t="s">
        <v>615</v>
      </c>
      <c r="AC69" s="185" t="s">
        <v>615</v>
      </c>
      <c r="AD69" s="186" t="s">
        <v>872</v>
      </c>
      <c r="AE69" s="186" t="s">
        <v>852</v>
      </c>
      <c r="AF69" s="187">
        <v>7</v>
      </c>
      <c r="AG69" s="187">
        <v>3</v>
      </c>
      <c r="AH69" s="187">
        <v>4</v>
      </c>
      <c r="AI69" s="188">
        <v>1</v>
      </c>
      <c r="AJ69" s="188" t="s">
        <v>615</v>
      </c>
      <c r="AK69" s="187" t="s">
        <v>1736</v>
      </c>
      <c r="AL69" s="87" t="s">
        <v>615</v>
      </c>
      <c r="AM69" s="189"/>
      <c r="AN69" s="187" t="s">
        <v>615</v>
      </c>
      <c r="AO69" s="13" t="s">
        <v>615</v>
      </c>
      <c r="AP69" s="187">
        <v>0</v>
      </c>
      <c r="AQ69" s="187">
        <v>0</v>
      </c>
      <c r="AR69" s="190">
        <v>0</v>
      </c>
      <c r="AS69" s="190">
        <v>0</v>
      </c>
      <c r="AT69" s="190">
        <v>0</v>
      </c>
      <c r="AU69" s="187">
        <v>0</v>
      </c>
      <c r="AV69" s="187">
        <v>0</v>
      </c>
      <c r="AW69" s="191"/>
      <c r="AX69" s="192"/>
      <c r="AY69" s="193">
        <v>42666</v>
      </c>
      <c r="AZ69" s="193"/>
      <c r="BA69" s="193"/>
      <c r="BB69" s="194"/>
      <c r="BC69" s="194"/>
      <c r="BD69" s="195"/>
      <c r="BE69" s="195" t="s">
        <v>532</v>
      </c>
      <c r="BF69" s="195"/>
      <c r="BG69" s="195">
        <v>20</v>
      </c>
      <c r="BH69" s="196" t="s">
        <v>547</v>
      </c>
      <c r="BI69" s="197">
        <v>1</v>
      </c>
      <c r="BJ69" s="198"/>
      <c r="BK69" s="199">
        <v>0</v>
      </c>
      <c r="BL69" s="13">
        <v>0</v>
      </c>
      <c r="BM69" s="13">
        <v>0</v>
      </c>
      <c r="BN69" s="13" t="s">
        <v>616</v>
      </c>
      <c r="BO69" s="13" t="s">
        <v>616</v>
      </c>
      <c r="BP69" s="200">
        <v>20</v>
      </c>
      <c r="BQ69" s="201"/>
      <c r="BR69" s="202"/>
      <c r="BS69" s="187">
        <v>1000000000</v>
      </c>
      <c r="BT69" s="203">
        <v>0</v>
      </c>
      <c r="BU69" s="204">
        <v>0</v>
      </c>
      <c r="BV69" s="203">
        <v>0</v>
      </c>
      <c r="BW69" s="205">
        <v>0</v>
      </c>
      <c r="BX69" s="205">
        <v>0</v>
      </c>
      <c r="BY69" s="205">
        <v>0</v>
      </c>
      <c r="BZ69" s="203">
        <v>0</v>
      </c>
      <c r="CA69" s="203">
        <v>0</v>
      </c>
      <c r="CB69" s="203">
        <v>0</v>
      </c>
      <c r="CC69" s="204">
        <v>0</v>
      </c>
      <c r="CD69" s="203">
        <v>0</v>
      </c>
      <c r="CE69" s="203">
        <v>0</v>
      </c>
      <c r="CF69" s="13">
        <v>0</v>
      </c>
      <c r="CG69" s="206">
        <v>0</v>
      </c>
      <c r="CH69" s="207">
        <v>0</v>
      </c>
      <c r="CI69" s="201"/>
      <c r="CJ69" s="208"/>
      <c r="CK69" s="209" t="s">
        <v>615</v>
      </c>
      <c r="CL69" s="210" t="s">
        <v>615</v>
      </c>
      <c r="CM69" s="207">
        <v>0</v>
      </c>
      <c r="CN69" s="207">
        <v>0</v>
      </c>
      <c r="CO69" s="204">
        <v>0</v>
      </c>
      <c r="CP69" s="204">
        <v>0</v>
      </c>
      <c r="CQ69" s="211"/>
      <c r="CR69" s="204">
        <v>1</v>
      </c>
      <c r="CS69" s="212">
        <v>42531</v>
      </c>
      <c r="CT69" s="212">
        <v>42780</v>
      </c>
      <c r="CU69" s="213">
        <v>42780</v>
      </c>
      <c r="CV69" s="214">
        <v>42829</v>
      </c>
      <c r="CW69" s="214" t="s">
        <v>615</v>
      </c>
      <c r="CX69" s="214" t="s">
        <v>615</v>
      </c>
      <c r="CY69" s="204">
        <v>1</v>
      </c>
      <c r="CZ69" s="204">
        <v>0.97959183673469385</v>
      </c>
      <c r="DA69" s="203">
        <v>0</v>
      </c>
      <c r="DB69" s="204">
        <v>0.97959183673469385</v>
      </c>
      <c r="DC69" s="204">
        <v>0</v>
      </c>
      <c r="DD69" s="204">
        <v>0</v>
      </c>
      <c r="DE69" s="204">
        <v>0</v>
      </c>
      <c r="DF69" s="215">
        <v>0</v>
      </c>
      <c r="DG69" s="13" t="s">
        <v>615</v>
      </c>
      <c r="DH69" s="86">
        <v>67</v>
      </c>
      <c r="DI69" s="86"/>
      <c r="DJ69" s="86">
        <v>109</v>
      </c>
      <c r="DK69" s="86" t="s">
        <v>1586</v>
      </c>
      <c r="DL69" s="86" t="e">
        <v>#N/A</v>
      </c>
      <c r="DM69" s="86" t="e">
        <v>#N/A</v>
      </c>
      <c r="DN69" s="86" t="e">
        <v>#N/A</v>
      </c>
      <c r="DO69" s="86">
        <v>112</v>
      </c>
      <c r="DP69" s="86">
        <v>2</v>
      </c>
      <c r="DQ69" s="86">
        <v>49</v>
      </c>
      <c r="DR69" s="146">
        <v>0</v>
      </c>
      <c r="DS69" s="146">
        <v>0</v>
      </c>
      <c r="DT69" s="146">
        <v>0</v>
      </c>
      <c r="DU69" s="146">
        <v>0</v>
      </c>
      <c r="DV69" s="146">
        <v>0</v>
      </c>
      <c r="DW69" s="146">
        <v>0</v>
      </c>
      <c r="DX69" s="146">
        <v>0</v>
      </c>
      <c r="DY69" s="146">
        <v>0</v>
      </c>
      <c r="DZ69" s="146">
        <v>0</v>
      </c>
      <c r="EA69" s="146">
        <v>0</v>
      </c>
      <c r="EB69" s="146">
        <v>0</v>
      </c>
      <c r="EC69" s="146">
        <v>0</v>
      </c>
      <c r="ED69" s="146">
        <v>0</v>
      </c>
      <c r="EE69" s="146">
        <v>0</v>
      </c>
      <c r="EF69" s="146">
        <v>0</v>
      </c>
      <c r="EG69" s="146">
        <v>0</v>
      </c>
      <c r="EH69" s="146">
        <v>0</v>
      </c>
      <c r="EI69" s="146">
        <v>0</v>
      </c>
      <c r="EJ69" s="146">
        <v>0</v>
      </c>
      <c r="EK69" s="146">
        <v>0</v>
      </c>
      <c r="EL69" s="146">
        <v>0</v>
      </c>
      <c r="EM69" s="146">
        <v>0</v>
      </c>
      <c r="EN69" s="146">
        <v>0</v>
      </c>
      <c r="EO69" s="146">
        <v>0</v>
      </c>
      <c r="EP69" s="146">
        <v>0</v>
      </c>
      <c r="EQ69" s="146">
        <v>0</v>
      </c>
      <c r="ER69" s="146">
        <v>0</v>
      </c>
      <c r="ES69" s="146">
        <v>0</v>
      </c>
      <c r="ET69" s="146">
        <v>0</v>
      </c>
      <c r="EU69" s="146">
        <v>0</v>
      </c>
      <c r="EV69" s="146">
        <v>0</v>
      </c>
      <c r="EW69" s="146">
        <v>0</v>
      </c>
      <c r="EX69" s="146">
        <v>0</v>
      </c>
      <c r="EY69" s="146">
        <v>0</v>
      </c>
      <c r="EZ69" s="146">
        <v>0</v>
      </c>
      <c r="FA69" s="146">
        <v>0</v>
      </c>
      <c r="FB69" s="146">
        <v>0</v>
      </c>
      <c r="FC69" s="146">
        <v>0</v>
      </c>
      <c r="FD69" s="146">
        <v>0</v>
      </c>
      <c r="FE69" s="146">
        <v>0</v>
      </c>
      <c r="FF69" s="146">
        <v>0</v>
      </c>
      <c r="FG69" s="146">
        <v>0</v>
      </c>
      <c r="FH69" s="146">
        <v>0</v>
      </c>
      <c r="FI69" s="146">
        <v>0</v>
      </c>
      <c r="FJ69" s="146">
        <v>0</v>
      </c>
      <c r="FK69" s="146">
        <v>0</v>
      </c>
      <c r="FL69" s="146">
        <v>0</v>
      </c>
      <c r="FM69" s="146">
        <v>0</v>
      </c>
      <c r="FN69" s="146">
        <v>0</v>
      </c>
      <c r="FO69" s="146">
        <v>0</v>
      </c>
      <c r="FP69" s="146">
        <v>0</v>
      </c>
      <c r="FQ69" s="146">
        <v>0</v>
      </c>
      <c r="FR69" s="146">
        <v>0</v>
      </c>
      <c r="FS69" s="160">
        <v>0</v>
      </c>
      <c r="FT69" s="160">
        <v>0</v>
      </c>
      <c r="FU69" s="160">
        <v>0</v>
      </c>
      <c r="FV69" s="160">
        <v>0</v>
      </c>
      <c r="FW69" s="160">
        <v>0</v>
      </c>
      <c r="FX69" s="160">
        <v>0</v>
      </c>
      <c r="FY69" s="160">
        <v>0</v>
      </c>
      <c r="FZ69" s="160">
        <v>0</v>
      </c>
      <c r="GA69" s="160">
        <v>0</v>
      </c>
      <c r="GB69" s="160">
        <v>0</v>
      </c>
      <c r="GC69" s="160">
        <v>0</v>
      </c>
      <c r="GD69" s="160">
        <v>0</v>
      </c>
      <c r="GE69" s="160">
        <v>0</v>
      </c>
      <c r="GF69" s="160">
        <v>0</v>
      </c>
      <c r="GG69" s="160">
        <v>0</v>
      </c>
      <c r="GH69" s="160">
        <v>0</v>
      </c>
      <c r="GI69" s="160">
        <v>0</v>
      </c>
      <c r="GJ69" s="160">
        <v>0</v>
      </c>
      <c r="GK69" s="160">
        <v>0</v>
      </c>
      <c r="GL69" s="160">
        <v>0</v>
      </c>
      <c r="GM69" s="160">
        <v>0</v>
      </c>
      <c r="GN69" s="160">
        <v>0</v>
      </c>
      <c r="GO69" s="160">
        <v>0</v>
      </c>
      <c r="GP69" s="160">
        <v>0</v>
      </c>
      <c r="GQ69" s="160">
        <v>0</v>
      </c>
      <c r="GR69" s="160">
        <v>0</v>
      </c>
      <c r="GS69" s="160">
        <v>0</v>
      </c>
      <c r="GT69" s="160">
        <v>0</v>
      </c>
      <c r="GU69" s="160">
        <v>0</v>
      </c>
      <c r="GV69" s="160">
        <v>0</v>
      </c>
      <c r="GW69" s="160">
        <v>0</v>
      </c>
      <c r="GX69" s="160">
        <v>0</v>
      </c>
      <c r="GY69" s="160">
        <v>0</v>
      </c>
      <c r="GZ69" s="160">
        <v>0</v>
      </c>
      <c r="HA69" s="160">
        <v>0</v>
      </c>
      <c r="HB69" s="160">
        <v>0</v>
      </c>
      <c r="HC69" s="160">
        <v>0</v>
      </c>
      <c r="HD69" s="160">
        <v>0</v>
      </c>
      <c r="HE69" s="160">
        <v>0</v>
      </c>
      <c r="HF69" s="160">
        <v>0</v>
      </c>
      <c r="HG69" s="160">
        <v>0</v>
      </c>
      <c r="HH69" s="146">
        <v>0</v>
      </c>
      <c r="HI69" s="146">
        <v>0</v>
      </c>
      <c r="HJ69" s="146">
        <v>0</v>
      </c>
      <c r="HK69" s="146">
        <v>0</v>
      </c>
      <c r="HL69" s="146">
        <v>0</v>
      </c>
      <c r="HM69" s="146">
        <v>0</v>
      </c>
      <c r="HN69" s="146">
        <v>0</v>
      </c>
      <c r="HO69" s="146">
        <v>0</v>
      </c>
      <c r="HP69" s="146">
        <v>0</v>
      </c>
      <c r="HQ69" s="146">
        <v>0</v>
      </c>
      <c r="HR69" s="146">
        <v>0</v>
      </c>
      <c r="HS69" s="146">
        <v>0</v>
      </c>
      <c r="HT69" s="146">
        <v>0</v>
      </c>
      <c r="HU69" s="151"/>
      <c r="HV69" s="146">
        <v>0</v>
      </c>
      <c r="HW69" s="151"/>
      <c r="HX69" s="151"/>
      <c r="HY69" s="151"/>
      <c r="HZ69" s="151"/>
      <c r="IA69" s="151"/>
      <c r="IB69" s="151"/>
      <c r="IC69" s="151"/>
      <c r="ID69" s="151"/>
      <c r="IE69" s="151"/>
      <c r="IF69" s="151"/>
      <c r="IG69" s="151"/>
      <c r="IH69" s="151"/>
      <c r="II69" s="151"/>
      <c r="IJ69" s="151"/>
      <c r="IK69" s="151"/>
      <c r="IL69" s="151"/>
      <c r="IM69" s="151"/>
      <c r="IN69" s="151"/>
      <c r="IO69" s="151"/>
      <c r="IP69" s="151"/>
      <c r="IQ69" s="151"/>
      <c r="IR69" s="151"/>
      <c r="IS69" s="151"/>
      <c r="IT69" s="151"/>
      <c r="IU69" s="151"/>
      <c r="IV69" s="151"/>
      <c r="IW69" s="151"/>
      <c r="IX69" s="151"/>
      <c r="IY69" s="151"/>
      <c r="IZ69" s="151"/>
      <c r="JA69" s="151"/>
      <c r="JB69" s="151"/>
      <c r="JC69" s="151"/>
      <c r="JD69" s="151"/>
      <c r="JE69" s="151"/>
      <c r="JF69" s="151"/>
      <c r="JG69" s="151"/>
      <c r="JH69" s="151"/>
      <c r="JI69" s="151"/>
      <c r="JJ69" s="151"/>
      <c r="JK69" s="151"/>
      <c r="JL69" s="151"/>
      <c r="JM69" s="151"/>
      <c r="JN69" s="151"/>
      <c r="JO69" s="151"/>
      <c r="JP69" s="151"/>
      <c r="JQ69" s="151"/>
      <c r="JR69" s="151"/>
      <c r="JS69" s="151"/>
      <c r="JT69" s="151"/>
      <c r="JU69" s="151"/>
      <c r="JV69" s="151"/>
      <c r="JW69" s="151"/>
      <c r="JX69" s="151"/>
      <c r="JY69" s="151"/>
      <c r="JZ69" s="151"/>
      <c r="KA69" s="151"/>
      <c r="KB69" s="151"/>
      <c r="KC69" s="151"/>
      <c r="KD69" s="151"/>
      <c r="KE69" s="151"/>
      <c r="KF69" s="151"/>
      <c r="KG69" s="151"/>
      <c r="KH69" s="151"/>
      <c r="KI69" s="151"/>
      <c r="KJ69" s="151"/>
      <c r="KK69" s="151"/>
      <c r="KL69" s="151"/>
      <c r="KM69" s="151"/>
      <c r="KN69" s="151"/>
      <c r="KO69" s="151"/>
      <c r="KP69" s="151"/>
      <c r="KQ69" s="151"/>
      <c r="KR69" s="151"/>
      <c r="KS69" s="151"/>
      <c r="KT69" s="151"/>
      <c r="KU69" s="151"/>
      <c r="KV69" s="151"/>
      <c r="KW69" s="151"/>
      <c r="KX69" s="151"/>
      <c r="KY69" s="151"/>
      <c r="KZ69" s="151"/>
      <c r="LA69" s="151"/>
      <c r="LB69" s="151"/>
      <c r="LC69" s="151"/>
      <c r="LD69" s="151"/>
      <c r="LE69" s="151"/>
    </row>
    <row r="70" spans="1:317" x14ac:dyDescent="0.2">
      <c r="A70" s="179" t="s">
        <v>849</v>
      </c>
      <c r="B70" s="180" t="s">
        <v>969</v>
      </c>
      <c r="C70" s="181"/>
      <c r="D70" s="182">
        <v>0</v>
      </c>
      <c r="E70" s="182">
        <v>0</v>
      </c>
      <c r="F70" s="183" t="s">
        <v>1253</v>
      </c>
      <c r="G70" s="183">
        <v>0</v>
      </c>
      <c r="H70" s="183">
        <v>0</v>
      </c>
      <c r="I70" s="183">
        <v>0</v>
      </c>
      <c r="J70" s="183">
        <v>0</v>
      </c>
      <c r="K70" s="183" t="s">
        <v>1376</v>
      </c>
      <c r="L70" s="183">
        <v>0</v>
      </c>
      <c r="M70" s="183">
        <v>0</v>
      </c>
      <c r="N70" s="183" t="s">
        <v>872</v>
      </c>
      <c r="O70" s="183">
        <v>0</v>
      </c>
      <c r="P70" s="183">
        <v>0</v>
      </c>
      <c r="Q70" s="183"/>
      <c r="R70" s="183"/>
      <c r="S70" s="183"/>
      <c r="T70" s="183"/>
      <c r="U70" s="183"/>
      <c r="V70" s="183">
        <v>0</v>
      </c>
      <c r="W70" s="183">
        <v>0</v>
      </c>
      <c r="X70" s="183">
        <v>0</v>
      </c>
      <c r="Y70" s="184">
        <v>0</v>
      </c>
      <c r="Z70" s="184">
        <v>10.02</v>
      </c>
      <c r="AA70" s="184">
        <v>0</v>
      </c>
      <c r="AB70" s="185" t="s">
        <v>615</v>
      </c>
      <c r="AC70" s="185" t="s">
        <v>615</v>
      </c>
      <c r="AD70" s="186" t="s">
        <v>872</v>
      </c>
      <c r="AE70" s="186" t="s">
        <v>852</v>
      </c>
      <c r="AF70" s="187">
        <v>7</v>
      </c>
      <c r="AG70" s="187">
        <v>3</v>
      </c>
      <c r="AH70" s="187">
        <v>4</v>
      </c>
      <c r="AI70" s="188">
        <v>1</v>
      </c>
      <c r="AJ70" s="188" t="s">
        <v>615</v>
      </c>
      <c r="AK70" s="187" t="s">
        <v>1736</v>
      </c>
      <c r="AL70" s="87" t="s">
        <v>615</v>
      </c>
      <c r="AM70" s="189"/>
      <c r="AN70" s="187" t="s">
        <v>615</v>
      </c>
      <c r="AO70" s="13" t="s">
        <v>615</v>
      </c>
      <c r="AP70" s="187">
        <v>0</v>
      </c>
      <c r="AQ70" s="187">
        <v>0</v>
      </c>
      <c r="AR70" s="190">
        <v>0</v>
      </c>
      <c r="AS70" s="190">
        <v>0</v>
      </c>
      <c r="AT70" s="190">
        <v>0</v>
      </c>
      <c r="AU70" s="187">
        <v>0</v>
      </c>
      <c r="AV70" s="187">
        <v>0</v>
      </c>
      <c r="AW70" s="191"/>
      <c r="AX70" s="192"/>
      <c r="AY70" s="193">
        <v>42666</v>
      </c>
      <c r="AZ70" s="193"/>
      <c r="BA70" s="193"/>
      <c r="BB70" s="194"/>
      <c r="BC70" s="194"/>
      <c r="BD70" s="195"/>
      <c r="BE70" s="195" t="s">
        <v>532</v>
      </c>
      <c r="BF70" s="195"/>
      <c r="BG70" s="195">
        <v>20</v>
      </c>
      <c r="BH70" s="196" t="s">
        <v>547</v>
      </c>
      <c r="BI70" s="197">
        <v>1</v>
      </c>
      <c r="BJ70" s="198"/>
      <c r="BK70" s="199">
        <v>0</v>
      </c>
      <c r="BL70" s="13">
        <v>0</v>
      </c>
      <c r="BM70" s="13">
        <v>0</v>
      </c>
      <c r="BN70" s="13" t="s">
        <v>616</v>
      </c>
      <c r="BO70" s="13" t="s">
        <v>616</v>
      </c>
      <c r="BP70" s="200">
        <v>20</v>
      </c>
      <c r="BQ70" s="201"/>
      <c r="BR70" s="202"/>
      <c r="BS70" s="187">
        <v>1000000000</v>
      </c>
      <c r="BT70" s="203">
        <v>0</v>
      </c>
      <c r="BU70" s="204">
        <v>0</v>
      </c>
      <c r="BV70" s="203">
        <v>0</v>
      </c>
      <c r="BW70" s="205">
        <v>0</v>
      </c>
      <c r="BX70" s="205">
        <v>0</v>
      </c>
      <c r="BY70" s="205">
        <v>0</v>
      </c>
      <c r="BZ70" s="203">
        <v>0</v>
      </c>
      <c r="CA70" s="203">
        <v>0</v>
      </c>
      <c r="CB70" s="203">
        <v>0</v>
      </c>
      <c r="CC70" s="204">
        <v>0</v>
      </c>
      <c r="CD70" s="203">
        <v>0</v>
      </c>
      <c r="CE70" s="203">
        <v>0</v>
      </c>
      <c r="CF70" s="13">
        <v>0</v>
      </c>
      <c r="CG70" s="206">
        <v>0</v>
      </c>
      <c r="CH70" s="207">
        <v>0</v>
      </c>
      <c r="CI70" s="201"/>
      <c r="CJ70" s="208"/>
      <c r="CK70" s="209" t="s">
        <v>615</v>
      </c>
      <c r="CL70" s="210" t="s">
        <v>615</v>
      </c>
      <c r="CM70" s="207">
        <v>0</v>
      </c>
      <c r="CN70" s="207">
        <v>0</v>
      </c>
      <c r="CO70" s="204">
        <v>0</v>
      </c>
      <c r="CP70" s="204">
        <v>0</v>
      </c>
      <c r="CQ70" s="211"/>
      <c r="CR70" s="204">
        <v>1</v>
      </c>
      <c r="CS70" s="212">
        <v>42531</v>
      </c>
      <c r="CT70" s="212">
        <v>42780</v>
      </c>
      <c r="CU70" s="213">
        <v>42780</v>
      </c>
      <c r="CV70" s="214">
        <v>42829</v>
      </c>
      <c r="CW70" s="214" t="s">
        <v>615</v>
      </c>
      <c r="CX70" s="214" t="s">
        <v>615</v>
      </c>
      <c r="CY70" s="204">
        <v>1</v>
      </c>
      <c r="CZ70" s="204">
        <v>0.97959183673469385</v>
      </c>
      <c r="DA70" s="203">
        <v>0</v>
      </c>
      <c r="DB70" s="204">
        <v>0.97959183673469385</v>
      </c>
      <c r="DC70" s="204">
        <v>0</v>
      </c>
      <c r="DD70" s="204">
        <v>0</v>
      </c>
      <c r="DE70" s="204">
        <v>0</v>
      </c>
      <c r="DF70" s="215">
        <v>0</v>
      </c>
      <c r="DG70" s="13" t="s">
        <v>615</v>
      </c>
      <c r="DH70" s="86">
        <v>68</v>
      </c>
      <c r="DI70" s="86"/>
      <c r="DJ70" s="86">
        <v>108</v>
      </c>
      <c r="DK70" s="86" t="s">
        <v>1585</v>
      </c>
      <c r="DL70" s="86" t="e">
        <v>#N/A</v>
      </c>
      <c r="DM70" s="86" t="e">
        <v>#N/A</v>
      </c>
      <c r="DN70" s="86" t="e">
        <v>#N/A</v>
      </c>
      <c r="DO70" s="86">
        <v>111</v>
      </c>
      <c r="DP70" s="86">
        <v>2</v>
      </c>
      <c r="DQ70" s="86">
        <v>49</v>
      </c>
      <c r="DR70" s="152">
        <v>0</v>
      </c>
      <c r="DS70" s="152">
        <v>0</v>
      </c>
      <c r="DT70" s="152">
        <v>0</v>
      </c>
      <c r="DU70" s="152">
        <v>0</v>
      </c>
      <c r="DV70" s="152">
        <v>0</v>
      </c>
      <c r="DW70" s="152">
        <v>0</v>
      </c>
      <c r="DX70" s="152">
        <v>0</v>
      </c>
      <c r="DY70" s="152">
        <v>0</v>
      </c>
      <c r="DZ70" s="152">
        <v>0</v>
      </c>
      <c r="EA70" s="152">
        <v>0</v>
      </c>
      <c r="EB70" s="152">
        <v>0</v>
      </c>
      <c r="EC70" s="152">
        <v>0</v>
      </c>
      <c r="ED70" s="152">
        <v>0</v>
      </c>
      <c r="EE70" s="152">
        <v>0</v>
      </c>
      <c r="EF70" s="152">
        <v>0</v>
      </c>
      <c r="EG70" s="152">
        <v>0</v>
      </c>
      <c r="EH70" s="152">
        <v>0</v>
      </c>
      <c r="EI70" s="152">
        <v>0</v>
      </c>
      <c r="EJ70" s="152">
        <v>0</v>
      </c>
      <c r="EK70" s="152">
        <v>0</v>
      </c>
      <c r="EL70" s="152">
        <v>0</v>
      </c>
      <c r="EM70" s="152">
        <v>0</v>
      </c>
      <c r="EN70" s="152">
        <v>0</v>
      </c>
      <c r="EO70" s="152">
        <v>0</v>
      </c>
      <c r="EP70" s="152">
        <v>0</v>
      </c>
      <c r="EQ70" s="152">
        <v>0</v>
      </c>
      <c r="ER70" s="152">
        <v>0</v>
      </c>
      <c r="ES70" s="152">
        <v>0</v>
      </c>
      <c r="ET70" s="152">
        <v>0</v>
      </c>
      <c r="EU70" s="152">
        <v>0</v>
      </c>
      <c r="EV70" s="152">
        <v>0</v>
      </c>
      <c r="EW70" s="152">
        <v>0</v>
      </c>
      <c r="EX70" s="152">
        <v>0</v>
      </c>
      <c r="EY70" s="152">
        <v>0</v>
      </c>
      <c r="EZ70" s="152">
        <v>0</v>
      </c>
      <c r="FA70" s="152">
        <v>0</v>
      </c>
      <c r="FB70" s="152">
        <v>0</v>
      </c>
      <c r="FC70" s="152">
        <v>0</v>
      </c>
      <c r="FD70" s="152">
        <v>0</v>
      </c>
      <c r="FE70" s="152">
        <v>0</v>
      </c>
      <c r="FF70" s="152">
        <v>0</v>
      </c>
      <c r="FG70" s="152">
        <v>0</v>
      </c>
      <c r="FH70" s="152">
        <v>0</v>
      </c>
      <c r="FI70" s="152">
        <v>0</v>
      </c>
      <c r="FJ70" s="152">
        <v>0</v>
      </c>
      <c r="FK70" s="152">
        <v>0</v>
      </c>
      <c r="FL70" s="152">
        <v>0</v>
      </c>
      <c r="FM70" s="152">
        <v>0</v>
      </c>
      <c r="FN70" s="152">
        <v>0</v>
      </c>
      <c r="FO70" s="152">
        <v>0</v>
      </c>
      <c r="FP70" s="152">
        <v>0</v>
      </c>
      <c r="FQ70" s="152">
        <v>0</v>
      </c>
      <c r="FR70" s="152">
        <v>0</v>
      </c>
      <c r="FS70" s="166">
        <v>0</v>
      </c>
      <c r="FT70" s="166">
        <v>0</v>
      </c>
      <c r="FU70" s="166">
        <v>0</v>
      </c>
      <c r="FV70" s="166">
        <v>0</v>
      </c>
      <c r="FW70" s="166">
        <v>0</v>
      </c>
      <c r="FX70" s="166">
        <v>0</v>
      </c>
      <c r="FY70" s="166">
        <v>0</v>
      </c>
      <c r="FZ70" s="166">
        <v>0</v>
      </c>
      <c r="GA70" s="166">
        <v>0</v>
      </c>
      <c r="GB70" s="166">
        <v>0</v>
      </c>
      <c r="GC70" s="166">
        <v>0</v>
      </c>
      <c r="GD70" s="166">
        <v>0</v>
      </c>
      <c r="GE70" s="166">
        <v>0</v>
      </c>
      <c r="GF70" s="166">
        <v>0</v>
      </c>
      <c r="GG70" s="166">
        <v>0</v>
      </c>
      <c r="GH70" s="166">
        <v>0</v>
      </c>
      <c r="GI70" s="166">
        <v>0</v>
      </c>
      <c r="GJ70" s="166">
        <v>0</v>
      </c>
      <c r="GK70" s="166">
        <v>0</v>
      </c>
      <c r="GL70" s="166">
        <v>0</v>
      </c>
      <c r="GM70" s="166">
        <v>0</v>
      </c>
      <c r="GN70" s="166">
        <v>0</v>
      </c>
      <c r="GO70" s="166">
        <v>0</v>
      </c>
      <c r="GP70" s="166">
        <v>0</v>
      </c>
      <c r="GQ70" s="166">
        <v>0</v>
      </c>
      <c r="GR70" s="166">
        <v>0</v>
      </c>
      <c r="GS70" s="166">
        <v>0</v>
      </c>
      <c r="GT70" s="166">
        <v>0</v>
      </c>
      <c r="GU70" s="166">
        <v>0</v>
      </c>
      <c r="GV70" s="166">
        <v>0</v>
      </c>
      <c r="GW70" s="166">
        <v>0</v>
      </c>
      <c r="GX70" s="166">
        <v>0</v>
      </c>
      <c r="GY70" s="166">
        <v>0</v>
      </c>
      <c r="GZ70" s="166">
        <v>0</v>
      </c>
      <c r="HA70" s="166">
        <v>0</v>
      </c>
      <c r="HB70" s="166">
        <v>0</v>
      </c>
      <c r="HC70" s="166">
        <v>0</v>
      </c>
      <c r="HD70" s="166">
        <v>0</v>
      </c>
      <c r="HE70" s="166">
        <v>0</v>
      </c>
      <c r="HF70" s="166">
        <v>0</v>
      </c>
      <c r="HG70" s="166">
        <v>0</v>
      </c>
      <c r="HH70" s="152">
        <v>0</v>
      </c>
      <c r="HI70" s="152">
        <v>0</v>
      </c>
      <c r="HJ70" s="152">
        <v>0</v>
      </c>
      <c r="HK70" s="152">
        <v>0</v>
      </c>
      <c r="HL70" s="152">
        <v>0</v>
      </c>
      <c r="HM70" s="152">
        <v>0</v>
      </c>
      <c r="HN70" s="152">
        <v>0</v>
      </c>
      <c r="HO70" s="152">
        <v>0</v>
      </c>
      <c r="HP70" s="152">
        <v>0</v>
      </c>
      <c r="HQ70" s="152">
        <v>0</v>
      </c>
      <c r="HR70" s="152">
        <v>0</v>
      </c>
      <c r="HS70" s="152">
        <v>0</v>
      </c>
      <c r="HT70" s="152">
        <v>0</v>
      </c>
      <c r="HU70" s="216"/>
      <c r="HV70" s="152">
        <v>0</v>
      </c>
      <c r="HW70" s="216"/>
      <c r="HX70" s="216"/>
      <c r="HY70" s="216"/>
      <c r="HZ70" s="216"/>
      <c r="IA70" s="216"/>
      <c r="IB70" s="216"/>
      <c r="IC70" s="216"/>
      <c r="ID70" s="216"/>
      <c r="IE70" s="216"/>
      <c r="IF70" s="216"/>
      <c r="IG70" s="216"/>
      <c r="IH70" s="216"/>
      <c r="II70" s="216"/>
      <c r="IJ70" s="216"/>
      <c r="IK70" s="216"/>
      <c r="IL70" s="216"/>
      <c r="IM70" s="216"/>
      <c r="IN70" s="216"/>
      <c r="IO70" s="216"/>
      <c r="IP70" s="216"/>
      <c r="IQ70" s="216"/>
      <c r="IR70" s="216"/>
      <c r="IS70" s="216"/>
      <c r="IT70" s="216"/>
      <c r="IU70" s="216"/>
      <c r="IV70" s="216"/>
      <c r="IW70" s="216"/>
      <c r="IX70" s="216"/>
      <c r="IY70" s="216"/>
      <c r="IZ70" s="216"/>
      <c r="JA70" s="216"/>
      <c r="JB70" s="216"/>
      <c r="JC70" s="216"/>
      <c r="JD70" s="216"/>
      <c r="JE70" s="216"/>
      <c r="JF70" s="216"/>
      <c r="JG70" s="216"/>
      <c r="JH70" s="216"/>
      <c r="JI70" s="216"/>
      <c r="JJ70" s="216"/>
      <c r="JK70" s="216"/>
      <c r="JL70" s="216"/>
      <c r="JM70" s="216"/>
      <c r="JN70" s="216"/>
      <c r="JO70" s="216"/>
      <c r="JP70" s="216"/>
      <c r="JQ70" s="216"/>
      <c r="JR70" s="216"/>
      <c r="JS70" s="216"/>
      <c r="JT70" s="216"/>
      <c r="JU70" s="216"/>
      <c r="JV70" s="216"/>
      <c r="JW70" s="216"/>
      <c r="JX70" s="216"/>
      <c r="JY70" s="216"/>
      <c r="JZ70" s="216"/>
      <c r="KA70" s="216"/>
      <c r="KB70" s="216"/>
      <c r="KC70" s="216"/>
      <c r="KD70" s="216"/>
      <c r="KE70" s="216"/>
      <c r="KF70" s="216"/>
      <c r="KG70" s="216"/>
      <c r="KH70" s="216"/>
      <c r="KI70" s="216"/>
      <c r="KJ70" s="216"/>
      <c r="KK70" s="216"/>
      <c r="KL70" s="216"/>
      <c r="KM70" s="216"/>
      <c r="KN70" s="216"/>
      <c r="KO70" s="216"/>
      <c r="KP70" s="216"/>
      <c r="KQ70" s="216"/>
      <c r="KR70" s="216"/>
      <c r="KS70" s="216"/>
      <c r="KT70" s="216"/>
      <c r="KU70" s="216"/>
      <c r="KV70" s="216"/>
      <c r="KW70" s="216"/>
      <c r="KX70" s="216"/>
      <c r="KY70" s="216"/>
      <c r="KZ70" s="216"/>
      <c r="LA70" s="216"/>
      <c r="LB70" s="216"/>
      <c r="LC70" s="216"/>
      <c r="LD70" s="216"/>
      <c r="LE70" s="216"/>
    </row>
    <row r="71" spans="1:317" x14ac:dyDescent="0.2">
      <c r="A71" s="179" t="s">
        <v>849</v>
      </c>
      <c r="B71" s="180" t="s">
        <v>970</v>
      </c>
      <c r="C71" s="181"/>
      <c r="D71" s="182">
        <v>0</v>
      </c>
      <c r="E71" s="182">
        <v>0</v>
      </c>
      <c r="F71" s="183" t="s">
        <v>1254</v>
      </c>
      <c r="G71" s="183">
        <v>0</v>
      </c>
      <c r="H71" s="183">
        <v>0</v>
      </c>
      <c r="I71" s="183">
        <v>0</v>
      </c>
      <c r="J71" s="183">
        <v>0</v>
      </c>
      <c r="K71" s="183" t="s">
        <v>1376</v>
      </c>
      <c r="L71" s="183">
        <v>0</v>
      </c>
      <c r="M71" s="183">
        <v>0</v>
      </c>
      <c r="N71" s="183" t="s">
        <v>872</v>
      </c>
      <c r="O71" s="183">
        <v>0</v>
      </c>
      <c r="P71" s="183">
        <v>0</v>
      </c>
      <c r="Q71" s="183"/>
      <c r="R71" s="183"/>
      <c r="S71" s="183"/>
      <c r="T71" s="183"/>
      <c r="U71" s="183"/>
      <c r="V71" s="183">
        <v>0</v>
      </c>
      <c r="W71" s="183">
        <v>0</v>
      </c>
      <c r="X71" s="183">
        <v>0</v>
      </c>
      <c r="Y71" s="184">
        <v>0</v>
      </c>
      <c r="Z71" s="184">
        <v>10.02</v>
      </c>
      <c r="AA71" s="184">
        <v>0</v>
      </c>
      <c r="AB71" s="185" t="s">
        <v>615</v>
      </c>
      <c r="AC71" s="185" t="s">
        <v>615</v>
      </c>
      <c r="AD71" s="186" t="s">
        <v>872</v>
      </c>
      <c r="AE71" s="186" t="s">
        <v>852</v>
      </c>
      <c r="AF71" s="187">
        <v>7</v>
      </c>
      <c r="AG71" s="187">
        <v>3</v>
      </c>
      <c r="AH71" s="187">
        <v>4</v>
      </c>
      <c r="AI71" s="188">
        <v>1</v>
      </c>
      <c r="AJ71" s="188" t="s">
        <v>615</v>
      </c>
      <c r="AK71" s="187" t="s">
        <v>1736</v>
      </c>
      <c r="AL71" s="87" t="s">
        <v>615</v>
      </c>
      <c r="AM71" s="189"/>
      <c r="AN71" s="187" t="s">
        <v>615</v>
      </c>
      <c r="AO71" s="13" t="s">
        <v>615</v>
      </c>
      <c r="AP71" s="187">
        <v>0</v>
      </c>
      <c r="AQ71" s="187">
        <v>0</v>
      </c>
      <c r="AR71" s="190">
        <v>0</v>
      </c>
      <c r="AS71" s="190">
        <v>0</v>
      </c>
      <c r="AT71" s="190">
        <v>0</v>
      </c>
      <c r="AU71" s="187">
        <v>0</v>
      </c>
      <c r="AV71" s="187">
        <v>0</v>
      </c>
      <c r="AW71" s="191"/>
      <c r="AX71" s="192"/>
      <c r="AY71" s="193">
        <v>42666</v>
      </c>
      <c r="AZ71" s="193"/>
      <c r="BA71" s="193"/>
      <c r="BB71" s="194"/>
      <c r="BC71" s="194"/>
      <c r="BD71" s="195"/>
      <c r="BE71" s="195" t="s">
        <v>532</v>
      </c>
      <c r="BF71" s="195"/>
      <c r="BG71" s="195">
        <v>20</v>
      </c>
      <c r="BH71" s="196" t="s">
        <v>547</v>
      </c>
      <c r="BI71" s="197">
        <v>1</v>
      </c>
      <c r="BJ71" s="198"/>
      <c r="BK71" s="199">
        <v>0</v>
      </c>
      <c r="BL71" s="13">
        <v>0</v>
      </c>
      <c r="BM71" s="13">
        <v>0</v>
      </c>
      <c r="BN71" s="13" t="s">
        <v>616</v>
      </c>
      <c r="BO71" s="13" t="s">
        <v>616</v>
      </c>
      <c r="BP71" s="200">
        <v>20</v>
      </c>
      <c r="BQ71" s="201"/>
      <c r="BR71" s="202"/>
      <c r="BS71" s="187">
        <v>1000000000</v>
      </c>
      <c r="BT71" s="203">
        <v>0</v>
      </c>
      <c r="BU71" s="204">
        <v>0</v>
      </c>
      <c r="BV71" s="203">
        <v>0</v>
      </c>
      <c r="BW71" s="205">
        <v>0</v>
      </c>
      <c r="BX71" s="205">
        <v>0</v>
      </c>
      <c r="BY71" s="205">
        <v>0</v>
      </c>
      <c r="BZ71" s="203">
        <v>0</v>
      </c>
      <c r="CA71" s="203">
        <v>0</v>
      </c>
      <c r="CB71" s="203">
        <v>0</v>
      </c>
      <c r="CC71" s="204">
        <v>0</v>
      </c>
      <c r="CD71" s="203">
        <v>0</v>
      </c>
      <c r="CE71" s="203">
        <v>0</v>
      </c>
      <c r="CF71" s="13">
        <v>0</v>
      </c>
      <c r="CG71" s="206">
        <v>0</v>
      </c>
      <c r="CH71" s="207">
        <v>0</v>
      </c>
      <c r="CI71" s="201"/>
      <c r="CJ71" s="208"/>
      <c r="CK71" s="209" t="s">
        <v>615</v>
      </c>
      <c r="CL71" s="210" t="s">
        <v>615</v>
      </c>
      <c r="CM71" s="207">
        <v>0</v>
      </c>
      <c r="CN71" s="207">
        <v>0</v>
      </c>
      <c r="CO71" s="204">
        <v>0</v>
      </c>
      <c r="CP71" s="204">
        <v>0</v>
      </c>
      <c r="CQ71" s="211"/>
      <c r="CR71" s="204">
        <v>1</v>
      </c>
      <c r="CS71" s="212">
        <v>42531</v>
      </c>
      <c r="CT71" s="212">
        <v>42780</v>
      </c>
      <c r="CU71" s="213">
        <v>42780</v>
      </c>
      <c r="CV71" s="214">
        <v>42829</v>
      </c>
      <c r="CW71" s="214" t="s">
        <v>615</v>
      </c>
      <c r="CX71" s="214" t="s">
        <v>615</v>
      </c>
      <c r="CY71" s="204">
        <v>1</v>
      </c>
      <c r="CZ71" s="204">
        <v>0.97959183673469385</v>
      </c>
      <c r="DA71" s="203">
        <v>0</v>
      </c>
      <c r="DB71" s="204">
        <v>0.97959183673469385</v>
      </c>
      <c r="DC71" s="204">
        <v>0</v>
      </c>
      <c r="DD71" s="204">
        <v>0</v>
      </c>
      <c r="DE71" s="204">
        <v>0</v>
      </c>
      <c r="DF71" s="215">
        <v>0</v>
      </c>
      <c r="DG71" s="13" t="s">
        <v>615</v>
      </c>
      <c r="DH71" s="86">
        <v>69</v>
      </c>
      <c r="DI71" s="86"/>
      <c r="DJ71" s="86">
        <v>107</v>
      </c>
      <c r="DK71" s="86" t="s">
        <v>1584</v>
      </c>
      <c r="DL71" s="86" t="e">
        <v>#N/A</v>
      </c>
      <c r="DM71" s="86" t="e">
        <v>#N/A</v>
      </c>
      <c r="DN71" s="86" t="e">
        <v>#N/A</v>
      </c>
      <c r="DO71" s="86">
        <v>110</v>
      </c>
      <c r="DP71" s="86">
        <v>2</v>
      </c>
      <c r="DQ71" s="86">
        <v>49</v>
      </c>
      <c r="DR71" s="146">
        <v>0</v>
      </c>
      <c r="DS71" s="146">
        <v>0</v>
      </c>
      <c r="DT71" s="146">
        <v>0</v>
      </c>
      <c r="DU71" s="146">
        <v>0</v>
      </c>
      <c r="DV71" s="146">
        <v>0</v>
      </c>
      <c r="DW71" s="146">
        <v>0</v>
      </c>
      <c r="DX71" s="146">
        <v>0</v>
      </c>
      <c r="DY71" s="146">
        <v>0</v>
      </c>
      <c r="DZ71" s="146">
        <v>0</v>
      </c>
      <c r="EA71" s="146">
        <v>0</v>
      </c>
      <c r="EB71" s="146">
        <v>0</v>
      </c>
      <c r="EC71" s="146">
        <v>0</v>
      </c>
      <c r="ED71" s="146">
        <v>0</v>
      </c>
      <c r="EE71" s="146">
        <v>0</v>
      </c>
      <c r="EF71" s="146">
        <v>0</v>
      </c>
      <c r="EG71" s="146">
        <v>0</v>
      </c>
      <c r="EH71" s="146">
        <v>0</v>
      </c>
      <c r="EI71" s="146">
        <v>0</v>
      </c>
      <c r="EJ71" s="146">
        <v>0</v>
      </c>
      <c r="EK71" s="146">
        <v>0</v>
      </c>
      <c r="EL71" s="146">
        <v>0</v>
      </c>
      <c r="EM71" s="146">
        <v>0</v>
      </c>
      <c r="EN71" s="146">
        <v>0</v>
      </c>
      <c r="EO71" s="146">
        <v>0</v>
      </c>
      <c r="EP71" s="146">
        <v>0</v>
      </c>
      <c r="EQ71" s="146">
        <v>0</v>
      </c>
      <c r="ER71" s="146">
        <v>0</v>
      </c>
      <c r="ES71" s="146">
        <v>0</v>
      </c>
      <c r="ET71" s="146">
        <v>0</v>
      </c>
      <c r="EU71" s="146">
        <v>0</v>
      </c>
      <c r="EV71" s="146">
        <v>0</v>
      </c>
      <c r="EW71" s="146">
        <v>0</v>
      </c>
      <c r="EX71" s="146">
        <v>0</v>
      </c>
      <c r="EY71" s="146">
        <v>0</v>
      </c>
      <c r="EZ71" s="146">
        <v>0</v>
      </c>
      <c r="FA71" s="146">
        <v>0</v>
      </c>
      <c r="FB71" s="146">
        <v>0</v>
      </c>
      <c r="FC71" s="146">
        <v>0</v>
      </c>
      <c r="FD71" s="146">
        <v>0</v>
      </c>
      <c r="FE71" s="146">
        <v>0</v>
      </c>
      <c r="FF71" s="146">
        <v>0</v>
      </c>
      <c r="FG71" s="146">
        <v>0</v>
      </c>
      <c r="FH71" s="146">
        <v>0</v>
      </c>
      <c r="FI71" s="146">
        <v>0</v>
      </c>
      <c r="FJ71" s="146">
        <v>0</v>
      </c>
      <c r="FK71" s="146">
        <v>0</v>
      </c>
      <c r="FL71" s="146">
        <v>0</v>
      </c>
      <c r="FM71" s="146">
        <v>0</v>
      </c>
      <c r="FN71" s="146">
        <v>0</v>
      </c>
      <c r="FO71" s="146">
        <v>0</v>
      </c>
      <c r="FP71" s="146">
        <v>0</v>
      </c>
      <c r="FQ71" s="146">
        <v>0</v>
      </c>
      <c r="FR71" s="146">
        <v>0</v>
      </c>
      <c r="FS71" s="160">
        <v>0</v>
      </c>
      <c r="FT71" s="160">
        <v>0</v>
      </c>
      <c r="FU71" s="160">
        <v>0</v>
      </c>
      <c r="FV71" s="160">
        <v>0</v>
      </c>
      <c r="FW71" s="160">
        <v>0</v>
      </c>
      <c r="FX71" s="160">
        <v>0</v>
      </c>
      <c r="FY71" s="160">
        <v>0</v>
      </c>
      <c r="FZ71" s="160">
        <v>0</v>
      </c>
      <c r="GA71" s="160">
        <v>0</v>
      </c>
      <c r="GB71" s="160">
        <v>0</v>
      </c>
      <c r="GC71" s="160">
        <v>0</v>
      </c>
      <c r="GD71" s="160">
        <v>0</v>
      </c>
      <c r="GE71" s="160">
        <v>0</v>
      </c>
      <c r="GF71" s="160">
        <v>0</v>
      </c>
      <c r="GG71" s="160">
        <v>0</v>
      </c>
      <c r="GH71" s="160">
        <v>0</v>
      </c>
      <c r="GI71" s="160">
        <v>0</v>
      </c>
      <c r="GJ71" s="160">
        <v>0</v>
      </c>
      <c r="GK71" s="160">
        <v>0</v>
      </c>
      <c r="GL71" s="160">
        <v>0</v>
      </c>
      <c r="GM71" s="160">
        <v>0</v>
      </c>
      <c r="GN71" s="160">
        <v>0</v>
      </c>
      <c r="GO71" s="160">
        <v>0</v>
      </c>
      <c r="GP71" s="160">
        <v>0</v>
      </c>
      <c r="GQ71" s="160">
        <v>0</v>
      </c>
      <c r="GR71" s="160">
        <v>0</v>
      </c>
      <c r="GS71" s="160">
        <v>0</v>
      </c>
      <c r="GT71" s="160">
        <v>0</v>
      </c>
      <c r="GU71" s="160">
        <v>0</v>
      </c>
      <c r="GV71" s="160">
        <v>0</v>
      </c>
      <c r="GW71" s="160">
        <v>0</v>
      </c>
      <c r="GX71" s="160">
        <v>0</v>
      </c>
      <c r="GY71" s="160">
        <v>0</v>
      </c>
      <c r="GZ71" s="160">
        <v>0</v>
      </c>
      <c r="HA71" s="160">
        <v>0</v>
      </c>
      <c r="HB71" s="160">
        <v>0</v>
      </c>
      <c r="HC71" s="160">
        <v>0</v>
      </c>
      <c r="HD71" s="160">
        <v>0</v>
      </c>
      <c r="HE71" s="160">
        <v>0</v>
      </c>
      <c r="HF71" s="160">
        <v>0</v>
      </c>
      <c r="HG71" s="160">
        <v>0</v>
      </c>
      <c r="HH71" s="146">
        <v>0</v>
      </c>
      <c r="HI71" s="146">
        <v>0</v>
      </c>
      <c r="HJ71" s="146">
        <v>0</v>
      </c>
      <c r="HK71" s="146">
        <v>0</v>
      </c>
      <c r="HL71" s="146">
        <v>0</v>
      </c>
      <c r="HM71" s="146">
        <v>0</v>
      </c>
      <c r="HN71" s="146">
        <v>0</v>
      </c>
      <c r="HO71" s="146">
        <v>0</v>
      </c>
      <c r="HP71" s="146">
        <v>0</v>
      </c>
      <c r="HQ71" s="146">
        <v>0</v>
      </c>
      <c r="HR71" s="146">
        <v>0</v>
      </c>
      <c r="HS71" s="146">
        <v>0</v>
      </c>
      <c r="HT71" s="146">
        <v>0</v>
      </c>
      <c r="HU71" s="151"/>
      <c r="HV71" s="146">
        <v>0</v>
      </c>
      <c r="HW71" s="151"/>
      <c r="HX71" s="151"/>
      <c r="HY71" s="151"/>
      <c r="HZ71" s="151"/>
      <c r="IA71" s="151"/>
      <c r="IB71" s="151"/>
      <c r="IC71" s="151"/>
      <c r="ID71" s="151"/>
      <c r="IE71" s="151"/>
      <c r="IF71" s="151"/>
      <c r="IG71" s="151"/>
      <c r="IH71" s="151"/>
      <c r="II71" s="151"/>
      <c r="IJ71" s="151"/>
      <c r="IK71" s="151"/>
      <c r="IL71" s="151"/>
      <c r="IM71" s="151"/>
      <c r="IN71" s="151"/>
      <c r="IO71" s="151"/>
      <c r="IP71" s="151"/>
      <c r="IQ71" s="151"/>
      <c r="IR71" s="151"/>
      <c r="IS71" s="151"/>
      <c r="IT71" s="151"/>
      <c r="IU71" s="151"/>
      <c r="IV71" s="151"/>
      <c r="IW71" s="151"/>
      <c r="IX71" s="151"/>
      <c r="IY71" s="151"/>
      <c r="IZ71" s="151"/>
      <c r="JA71" s="151"/>
      <c r="JB71" s="151"/>
      <c r="JC71" s="151"/>
      <c r="JD71" s="151"/>
      <c r="JE71" s="151"/>
      <c r="JF71" s="151"/>
      <c r="JG71" s="151"/>
      <c r="JH71" s="151"/>
      <c r="JI71" s="151"/>
      <c r="JJ71" s="151"/>
      <c r="JK71" s="151"/>
      <c r="JL71" s="151"/>
      <c r="JM71" s="151"/>
      <c r="JN71" s="151"/>
      <c r="JO71" s="151"/>
      <c r="JP71" s="151"/>
      <c r="JQ71" s="151"/>
      <c r="JR71" s="151"/>
      <c r="JS71" s="151"/>
      <c r="JT71" s="151"/>
      <c r="JU71" s="151"/>
      <c r="JV71" s="151"/>
      <c r="JW71" s="151"/>
      <c r="JX71" s="151"/>
      <c r="JY71" s="151"/>
      <c r="JZ71" s="151"/>
      <c r="KA71" s="151"/>
      <c r="KB71" s="151"/>
      <c r="KC71" s="151"/>
      <c r="KD71" s="151"/>
      <c r="KE71" s="151"/>
      <c r="KF71" s="151"/>
      <c r="KG71" s="151"/>
      <c r="KH71" s="151"/>
      <c r="KI71" s="151"/>
      <c r="KJ71" s="151"/>
      <c r="KK71" s="151"/>
      <c r="KL71" s="151"/>
      <c r="KM71" s="151"/>
      <c r="KN71" s="151"/>
      <c r="KO71" s="151"/>
      <c r="KP71" s="151"/>
      <c r="KQ71" s="151"/>
      <c r="KR71" s="151"/>
      <c r="KS71" s="151"/>
      <c r="KT71" s="151"/>
      <c r="KU71" s="151"/>
      <c r="KV71" s="151"/>
      <c r="KW71" s="151"/>
      <c r="KX71" s="151"/>
      <c r="KY71" s="151"/>
      <c r="KZ71" s="151"/>
      <c r="LA71" s="151"/>
      <c r="LB71" s="151"/>
      <c r="LC71" s="151"/>
      <c r="LD71" s="151"/>
      <c r="LE71" s="151"/>
    </row>
    <row r="72" spans="1:317" x14ac:dyDescent="0.2">
      <c r="A72" s="179" t="s">
        <v>849</v>
      </c>
      <c r="B72" s="180" t="s">
        <v>971</v>
      </c>
      <c r="C72" s="181"/>
      <c r="D72" s="182">
        <v>0</v>
      </c>
      <c r="E72" s="182">
        <v>0</v>
      </c>
      <c r="F72" s="183" t="s">
        <v>1255</v>
      </c>
      <c r="G72" s="183">
        <v>0</v>
      </c>
      <c r="H72" s="183">
        <v>0</v>
      </c>
      <c r="I72" s="183">
        <v>0</v>
      </c>
      <c r="J72" s="183">
        <v>0</v>
      </c>
      <c r="K72" s="183" t="s">
        <v>1377</v>
      </c>
      <c r="L72" s="183">
        <v>0</v>
      </c>
      <c r="M72" s="183">
        <v>0</v>
      </c>
      <c r="N72" s="183" t="s">
        <v>872</v>
      </c>
      <c r="O72" s="183">
        <v>0</v>
      </c>
      <c r="P72" s="183">
        <v>0</v>
      </c>
      <c r="Q72" s="183"/>
      <c r="R72" s="183"/>
      <c r="S72" s="183"/>
      <c r="T72" s="183"/>
      <c r="U72" s="183"/>
      <c r="V72" s="183">
        <v>0</v>
      </c>
      <c r="W72" s="183">
        <v>0</v>
      </c>
      <c r="X72" s="183">
        <v>0</v>
      </c>
      <c r="Y72" s="184">
        <v>0</v>
      </c>
      <c r="Z72" s="184">
        <v>13.18</v>
      </c>
      <c r="AA72" s="184">
        <v>0</v>
      </c>
      <c r="AB72" s="185" t="s">
        <v>615</v>
      </c>
      <c r="AC72" s="185" t="s">
        <v>615</v>
      </c>
      <c r="AD72" s="186" t="s">
        <v>872</v>
      </c>
      <c r="AE72" s="186" t="s">
        <v>852</v>
      </c>
      <c r="AF72" s="187">
        <v>7</v>
      </c>
      <c r="AG72" s="187">
        <v>3</v>
      </c>
      <c r="AH72" s="187">
        <v>4</v>
      </c>
      <c r="AI72" s="188">
        <v>1</v>
      </c>
      <c r="AJ72" s="188" t="s">
        <v>615</v>
      </c>
      <c r="AK72" s="187" t="s">
        <v>1736</v>
      </c>
      <c r="AL72" s="87" t="s">
        <v>615</v>
      </c>
      <c r="AM72" s="189"/>
      <c r="AN72" s="187" t="s">
        <v>615</v>
      </c>
      <c r="AO72" s="13" t="s">
        <v>615</v>
      </c>
      <c r="AP72" s="187">
        <v>0</v>
      </c>
      <c r="AQ72" s="187">
        <v>0</v>
      </c>
      <c r="AR72" s="190">
        <v>0</v>
      </c>
      <c r="AS72" s="190">
        <v>0</v>
      </c>
      <c r="AT72" s="190">
        <v>0</v>
      </c>
      <c r="AU72" s="187">
        <v>0</v>
      </c>
      <c r="AV72" s="187">
        <v>0</v>
      </c>
      <c r="AW72" s="191"/>
      <c r="AX72" s="192"/>
      <c r="AY72" s="193">
        <v>42666</v>
      </c>
      <c r="AZ72" s="193"/>
      <c r="BA72" s="193"/>
      <c r="BB72" s="194"/>
      <c r="BC72" s="194"/>
      <c r="BD72" s="195"/>
      <c r="BE72" s="195" t="s">
        <v>532</v>
      </c>
      <c r="BF72" s="195"/>
      <c r="BG72" s="195">
        <v>20</v>
      </c>
      <c r="BH72" s="196" t="s">
        <v>547</v>
      </c>
      <c r="BI72" s="197">
        <v>1</v>
      </c>
      <c r="BJ72" s="198"/>
      <c r="BK72" s="199">
        <v>0</v>
      </c>
      <c r="BL72" s="13">
        <v>0</v>
      </c>
      <c r="BM72" s="13">
        <v>0</v>
      </c>
      <c r="BN72" s="13" t="s">
        <v>616</v>
      </c>
      <c r="BO72" s="13" t="s">
        <v>616</v>
      </c>
      <c r="BP72" s="200">
        <v>20</v>
      </c>
      <c r="BQ72" s="201"/>
      <c r="BR72" s="202"/>
      <c r="BS72" s="187">
        <v>1000000000</v>
      </c>
      <c r="BT72" s="203">
        <v>0</v>
      </c>
      <c r="BU72" s="204">
        <v>0</v>
      </c>
      <c r="BV72" s="203">
        <v>0</v>
      </c>
      <c r="BW72" s="205">
        <v>0</v>
      </c>
      <c r="BX72" s="205">
        <v>0</v>
      </c>
      <c r="BY72" s="205">
        <v>0</v>
      </c>
      <c r="BZ72" s="203">
        <v>0</v>
      </c>
      <c r="CA72" s="203">
        <v>0</v>
      </c>
      <c r="CB72" s="203">
        <v>0</v>
      </c>
      <c r="CC72" s="204">
        <v>0</v>
      </c>
      <c r="CD72" s="203">
        <v>0</v>
      </c>
      <c r="CE72" s="203">
        <v>0</v>
      </c>
      <c r="CF72" s="13">
        <v>0</v>
      </c>
      <c r="CG72" s="206">
        <v>0</v>
      </c>
      <c r="CH72" s="207">
        <v>0</v>
      </c>
      <c r="CI72" s="201"/>
      <c r="CJ72" s="208"/>
      <c r="CK72" s="209" t="s">
        <v>615</v>
      </c>
      <c r="CL72" s="210" t="s">
        <v>615</v>
      </c>
      <c r="CM72" s="207">
        <v>0</v>
      </c>
      <c r="CN72" s="207">
        <v>0</v>
      </c>
      <c r="CO72" s="204">
        <v>0</v>
      </c>
      <c r="CP72" s="204">
        <v>0</v>
      </c>
      <c r="CQ72" s="211"/>
      <c r="CR72" s="204">
        <v>1</v>
      </c>
      <c r="CS72" s="212">
        <v>42531</v>
      </c>
      <c r="CT72" s="212">
        <v>42780</v>
      </c>
      <c r="CU72" s="213">
        <v>42780</v>
      </c>
      <c r="CV72" s="214">
        <v>42829</v>
      </c>
      <c r="CW72" s="214" t="s">
        <v>615</v>
      </c>
      <c r="CX72" s="214" t="s">
        <v>615</v>
      </c>
      <c r="CY72" s="204">
        <v>1</v>
      </c>
      <c r="CZ72" s="204">
        <v>0.97959183673469385</v>
      </c>
      <c r="DA72" s="203">
        <v>0</v>
      </c>
      <c r="DB72" s="204">
        <v>0.97959183673469385</v>
      </c>
      <c r="DC72" s="204">
        <v>0</v>
      </c>
      <c r="DD72" s="204">
        <v>0</v>
      </c>
      <c r="DE72" s="204">
        <v>0</v>
      </c>
      <c r="DF72" s="215">
        <v>0</v>
      </c>
      <c r="DG72" s="13" t="s">
        <v>615</v>
      </c>
      <c r="DH72" s="86">
        <v>70</v>
      </c>
      <c r="DI72" s="86"/>
      <c r="DJ72" s="86">
        <v>106</v>
      </c>
      <c r="DK72" s="86" t="s">
        <v>1583</v>
      </c>
      <c r="DL72" s="86" t="e">
        <v>#N/A</v>
      </c>
      <c r="DM72" s="86" t="e">
        <v>#N/A</v>
      </c>
      <c r="DN72" s="86" t="e">
        <v>#N/A</v>
      </c>
      <c r="DO72" s="86">
        <v>109</v>
      </c>
      <c r="DP72" s="86">
        <v>2</v>
      </c>
      <c r="DQ72" s="86">
        <v>49</v>
      </c>
      <c r="DR72" s="152">
        <v>0</v>
      </c>
      <c r="DS72" s="152">
        <v>0</v>
      </c>
      <c r="DT72" s="152">
        <v>0</v>
      </c>
      <c r="DU72" s="152">
        <v>0</v>
      </c>
      <c r="DV72" s="152">
        <v>0</v>
      </c>
      <c r="DW72" s="152">
        <v>0</v>
      </c>
      <c r="DX72" s="152">
        <v>0</v>
      </c>
      <c r="DY72" s="152">
        <v>0</v>
      </c>
      <c r="DZ72" s="152">
        <v>0</v>
      </c>
      <c r="EA72" s="152">
        <v>0</v>
      </c>
      <c r="EB72" s="152">
        <v>0</v>
      </c>
      <c r="EC72" s="152">
        <v>0</v>
      </c>
      <c r="ED72" s="152">
        <v>0</v>
      </c>
      <c r="EE72" s="152">
        <v>0</v>
      </c>
      <c r="EF72" s="152">
        <v>0</v>
      </c>
      <c r="EG72" s="152">
        <v>0</v>
      </c>
      <c r="EH72" s="152">
        <v>0</v>
      </c>
      <c r="EI72" s="152">
        <v>0</v>
      </c>
      <c r="EJ72" s="152">
        <v>0</v>
      </c>
      <c r="EK72" s="152">
        <v>0</v>
      </c>
      <c r="EL72" s="152">
        <v>0</v>
      </c>
      <c r="EM72" s="152">
        <v>0</v>
      </c>
      <c r="EN72" s="152">
        <v>0</v>
      </c>
      <c r="EO72" s="152">
        <v>0</v>
      </c>
      <c r="EP72" s="152">
        <v>0</v>
      </c>
      <c r="EQ72" s="152">
        <v>0</v>
      </c>
      <c r="ER72" s="152">
        <v>0</v>
      </c>
      <c r="ES72" s="152">
        <v>0</v>
      </c>
      <c r="ET72" s="152">
        <v>0</v>
      </c>
      <c r="EU72" s="152">
        <v>0</v>
      </c>
      <c r="EV72" s="152">
        <v>0</v>
      </c>
      <c r="EW72" s="152">
        <v>0</v>
      </c>
      <c r="EX72" s="152">
        <v>0</v>
      </c>
      <c r="EY72" s="152">
        <v>0</v>
      </c>
      <c r="EZ72" s="152">
        <v>0</v>
      </c>
      <c r="FA72" s="152">
        <v>0</v>
      </c>
      <c r="FB72" s="152">
        <v>0</v>
      </c>
      <c r="FC72" s="152">
        <v>0</v>
      </c>
      <c r="FD72" s="152">
        <v>0</v>
      </c>
      <c r="FE72" s="152">
        <v>0</v>
      </c>
      <c r="FF72" s="152">
        <v>0</v>
      </c>
      <c r="FG72" s="152">
        <v>0</v>
      </c>
      <c r="FH72" s="152">
        <v>0</v>
      </c>
      <c r="FI72" s="152">
        <v>0</v>
      </c>
      <c r="FJ72" s="152">
        <v>0</v>
      </c>
      <c r="FK72" s="152">
        <v>0</v>
      </c>
      <c r="FL72" s="152">
        <v>0</v>
      </c>
      <c r="FM72" s="152">
        <v>0</v>
      </c>
      <c r="FN72" s="152">
        <v>0</v>
      </c>
      <c r="FO72" s="152">
        <v>0</v>
      </c>
      <c r="FP72" s="152">
        <v>0</v>
      </c>
      <c r="FQ72" s="152">
        <v>0</v>
      </c>
      <c r="FR72" s="152">
        <v>0</v>
      </c>
      <c r="FS72" s="166">
        <v>0</v>
      </c>
      <c r="FT72" s="166">
        <v>0</v>
      </c>
      <c r="FU72" s="166">
        <v>0</v>
      </c>
      <c r="FV72" s="166">
        <v>0</v>
      </c>
      <c r="FW72" s="166">
        <v>0</v>
      </c>
      <c r="FX72" s="166">
        <v>0</v>
      </c>
      <c r="FY72" s="166">
        <v>0</v>
      </c>
      <c r="FZ72" s="166">
        <v>0</v>
      </c>
      <c r="GA72" s="166">
        <v>0</v>
      </c>
      <c r="GB72" s="166">
        <v>0</v>
      </c>
      <c r="GC72" s="166">
        <v>0</v>
      </c>
      <c r="GD72" s="166">
        <v>0</v>
      </c>
      <c r="GE72" s="166">
        <v>0</v>
      </c>
      <c r="GF72" s="166">
        <v>0</v>
      </c>
      <c r="GG72" s="166">
        <v>0</v>
      </c>
      <c r="GH72" s="166">
        <v>0</v>
      </c>
      <c r="GI72" s="166">
        <v>0</v>
      </c>
      <c r="GJ72" s="166">
        <v>0</v>
      </c>
      <c r="GK72" s="166">
        <v>0</v>
      </c>
      <c r="GL72" s="166">
        <v>0</v>
      </c>
      <c r="GM72" s="166">
        <v>0</v>
      </c>
      <c r="GN72" s="166">
        <v>0</v>
      </c>
      <c r="GO72" s="166">
        <v>0</v>
      </c>
      <c r="GP72" s="166">
        <v>0</v>
      </c>
      <c r="GQ72" s="166">
        <v>0</v>
      </c>
      <c r="GR72" s="166">
        <v>0</v>
      </c>
      <c r="GS72" s="166">
        <v>0</v>
      </c>
      <c r="GT72" s="166">
        <v>0</v>
      </c>
      <c r="GU72" s="166">
        <v>0</v>
      </c>
      <c r="GV72" s="166">
        <v>0</v>
      </c>
      <c r="GW72" s="166">
        <v>0</v>
      </c>
      <c r="GX72" s="166">
        <v>0</v>
      </c>
      <c r="GY72" s="166">
        <v>0</v>
      </c>
      <c r="GZ72" s="166">
        <v>0</v>
      </c>
      <c r="HA72" s="166">
        <v>0</v>
      </c>
      <c r="HB72" s="166">
        <v>0</v>
      </c>
      <c r="HC72" s="166">
        <v>0</v>
      </c>
      <c r="HD72" s="166">
        <v>0</v>
      </c>
      <c r="HE72" s="166">
        <v>0</v>
      </c>
      <c r="HF72" s="166">
        <v>0</v>
      </c>
      <c r="HG72" s="166">
        <v>0</v>
      </c>
      <c r="HH72" s="152">
        <v>0</v>
      </c>
      <c r="HI72" s="152">
        <v>0</v>
      </c>
      <c r="HJ72" s="152">
        <v>0</v>
      </c>
      <c r="HK72" s="152">
        <v>0</v>
      </c>
      <c r="HL72" s="152">
        <v>0</v>
      </c>
      <c r="HM72" s="152">
        <v>0</v>
      </c>
      <c r="HN72" s="152">
        <v>0</v>
      </c>
      <c r="HO72" s="152">
        <v>0</v>
      </c>
      <c r="HP72" s="152">
        <v>0</v>
      </c>
      <c r="HQ72" s="152">
        <v>0</v>
      </c>
      <c r="HR72" s="152">
        <v>0</v>
      </c>
      <c r="HS72" s="152">
        <v>0</v>
      </c>
      <c r="HT72" s="152">
        <v>0</v>
      </c>
      <c r="HU72" s="216"/>
      <c r="HV72" s="152">
        <v>0</v>
      </c>
      <c r="HW72" s="216"/>
      <c r="HX72" s="216"/>
      <c r="HY72" s="216"/>
      <c r="HZ72" s="216"/>
      <c r="IA72" s="216"/>
      <c r="IB72" s="216"/>
      <c r="IC72" s="216"/>
      <c r="ID72" s="216"/>
      <c r="IE72" s="216"/>
      <c r="IF72" s="216"/>
      <c r="IG72" s="216"/>
      <c r="IH72" s="216"/>
      <c r="II72" s="216"/>
      <c r="IJ72" s="216"/>
      <c r="IK72" s="216"/>
      <c r="IL72" s="216"/>
      <c r="IM72" s="216"/>
      <c r="IN72" s="216"/>
      <c r="IO72" s="216"/>
      <c r="IP72" s="216"/>
      <c r="IQ72" s="216"/>
      <c r="IR72" s="216"/>
      <c r="IS72" s="216"/>
      <c r="IT72" s="216"/>
      <c r="IU72" s="216"/>
      <c r="IV72" s="216"/>
      <c r="IW72" s="216"/>
      <c r="IX72" s="216"/>
      <c r="IY72" s="216"/>
      <c r="IZ72" s="216"/>
      <c r="JA72" s="216"/>
      <c r="JB72" s="216"/>
      <c r="JC72" s="216"/>
      <c r="JD72" s="216"/>
      <c r="JE72" s="216"/>
      <c r="JF72" s="216"/>
      <c r="JG72" s="216"/>
      <c r="JH72" s="216"/>
      <c r="JI72" s="216"/>
      <c r="JJ72" s="216"/>
      <c r="JK72" s="216"/>
      <c r="JL72" s="216"/>
      <c r="JM72" s="216"/>
      <c r="JN72" s="216"/>
      <c r="JO72" s="216"/>
      <c r="JP72" s="216"/>
      <c r="JQ72" s="216"/>
      <c r="JR72" s="216"/>
      <c r="JS72" s="216"/>
      <c r="JT72" s="216"/>
      <c r="JU72" s="216"/>
      <c r="JV72" s="216"/>
      <c r="JW72" s="216"/>
      <c r="JX72" s="216"/>
      <c r="JY72" s="216"/>
      <c r="JZ72" s="216"/>
      <c r="KA72" s="216"/>
      <c r="KB72" s="216"/>
      <c r="KC72" s="216"/>
      <c r="KD72" s="216"/>
      <c r="KE72" s="216"/>
      <c r="KF72" s="216"/>
      <c r="KG72" s="216"/>
      <c r="KH72" s="216"/>
      <c r="KI72" s="216"/>
      <c r="KJ72" s="216"/>
      <c r="KK72" s="216"/>
      <c r="KL72" s="216"/>
      <c r="KM72" s="216"/>
      <c r="KN72" s="216"/>
      <c r="KO72" s="216"/>
      <c r="KP72" s="216"/>
      <c r="KQ72" s="216"/>
      <c r="KR72" s="216"/>
      <c r="KS72" s="216"/>
      <c r="KT72" s="216"/>
      <c r="KU72" s="216"/>
      <c r="KV72" s="216"/>
      <c r="KW72" s="216"/>
      <c r="KX72" s="216"/>
      <c r="KY72" s="216"/>
      <c r="KZ72" s="216"/>
      <c r="LA72" s="216"/>
      <c r="LB72" s="216"/>
      <c r="LC72" s="216"/>
      <c r="LD72" s="216"/>
      <c r="LE72" s="216"/>
    </row>
    <row r="73" spans="1:317" x14ac:dyDescent="0.2">
      <c r="A73" s="179" t="s">
        <v>849</v>
      </c>
      <c r="B73" s="180" t="s">
        <v>972</v>
      </c>
      <c r="C73" s="181"/>
      <c r="D73" s="182">
        <v>0</v>
      </c>
      <c r="E73" s="182">
        <v>0</v>
      </c>
      <c r="F73" s="183" t="s">
        <v>1256</v>
      </c>
      <c r="G73" s="183">
        <v>0</v>
      </c>
      <c r="H73" s="183">
        <v>0</v>
      </c>
      <c r="I73" s="183">
        <v>0</v>
      </c>
      <c r="J73" s="183">
        <v>0</v>
      </c>
      <c r="K73" s="183" t="s">
        <v>1377</v>
      </c>
      <c r="L73" s="183">
        <v>0</v>
      </c>
      <c r="M73" s="183">
        <v>0</v>
      </c>
      <c r="N73" s="183" t="s">
        <v>872</v>
      </c>
      <c r="O73" s="183">
        <v>0</v>
      </c>
      <c r="P73" s="183">
        <v>0</v>
      </c>
      <c r="Q73" s="183"/>
      <c r="R73" s="183"/>
      <c r="S73" s="183"/>
      <c r="T73" s="183"/>
      <c r="U73" s="183"/>
      <c r="V73" s="183">
        <v>0</v>
      </c>
      <c r="W73" s="183">
        <v>0</v>
      </c>
      <c r="X73" s="183">
        <v>0</v>
      </c>
      <c r="Y73" s="184">
        <v>0</v>
      </c>
      <c r="Z73" s="184">
        <v>13.18</v>
      </c>
      <c r="AA73" s="184">
        <v>0</v>
      </c>
      <c r="AB73" s="185" t="s">
        <v>615</v>
      </c>
      <c r="AC73" s="185" t="s">
        <v>615</v>
      </c>
      <c r="AD73" s="186" t="s">
        <v>872</v>
      </c>
      <c r="AE73" s="186" t="s">
        <v>852</v>
      </c>
      <c r="AF73" s="187">
        <v>7</v>
      </c>
      <c r="AG73" s="187">
        <v>3</v>
      </c>
      <c r="AH73" s="187">
        <v>4</v>
      </c>
      <c r="AI73" s="188">
        <v>1</v>
      </c>
      <c r="AJ73" s="188" t="s">
        <v>615</v>
      </c>
      <c r="AK73" s="187" t="s">
        <v>1736</v>
      </c>
      <c r="AL73" s="87" t="s">
        <v>615</v>
      </c>
      <c r="AM73" s="189"/>
      <c r="AN73" s="187" t="s">
        <v>615</v>
      </c>
      <c r="AO73" s="13" t="s">
        <v>615</v>
      </c>
      <c r="AP73" s="187">
        <v>0</v>
      </c>
      <c r="AQ73" s="187">
        <v>0</v>
      </c>
      <c r="AR73" s="190">
        <v>0</v>
      </c>
      <c r="AS73" s="190">
        <v>0</v>
      </c>
      <c r="AT73" s="190">
        <v>0</v>
      </c>
      <c r="AU73" s="187">
        <v>0</v>
      </c>
      <c r="AV73" s="187">
        <v>0</v>
      </c>
      <c r="AW73" s="191"/>
      <c r="AX73" s="192"/>
      <c r="AY73" s="193">
        <v>42666</v>
      </c>
      <c r="AZ73" s="193"/>
      <c r="BA73" s="193"/>
      <c r="BB73" s="194"/>
      <c r="BC73" s="194"/>
      <c r="BD73" s="195"/>
      <c r="BE73" s="195" t="s">
        <v>532</v>
      </c>
      <c r="BF73" s="195"/>
      <c r="BG73" s="195">
        <v>20</v>
      </c>
      <c r="BH73" s="196" t="s">
        <v>547</v>
      </c>
      <c r="BI73" s="197">
        <v>1</v>
      </c>
      <c r="BJ73" s="198"/>
      <c r="BK73" s="199">
        <v>0</v>
      </c>
      <c r="BL73" s="13">
        <v>0</v>
      </c>
      <c r="BM73" s="13">
        <v>0</v>
      </c>
      <c r="BN73" s="13" t="s">
        <v>616</v>
      </c>
      <c r="BO73" s="13" t="s">
        <v>616</v>
      </c>
      <c r="BP73" s="200">
        <v>20</v>
      </c>
      <c r="BQ73" s="201"/>
      <c r="BR73" s="202"/>
      <c r="BS73" s="187">
        <v>1000000000</v>
      </c>
      <c r="BT73" s="203">
        <v>0</v>
      </c>
      <c r="BU73" s="204">
        <v>0</v>
      </c>
      <c r="BV73" s="203">
        <v>0</v>
      </c>
      <c r="BW73" s="205">
        <v>0</v>
      </c>
      <c r="BX73" s="205">
        <v>0</v>
      </c>
      <c r="BY73" s="205">
        <v>0</v>
      </c>
      <c r="BZ73" s="203">
        <v>0</v>
      </c>
      <c r="CA73" s="203">
        <v>0</v>
      </c>
      <c r="CB73" s="203">
        <v>0</v>
      </c>
      <c r="CC73" s="204">
        <v>0</v>
      </c>
      <c r="CD73" s="203">
        <v>0</v>
      </c>
      <c r="CE73" s="203">
        <v>0</v>
      </c>
      <c r="CF73" s="13">
        <v>0</v>
      </c>
      <c r="CG73" s="206">
        <v>0</v>
      </c>
      <c r="CH73" s="207">
        <v>0</v>
      </c>
      <c r="CI73" s="201"/>
      <c r="CJ73" s="208"/>
      <c r="CK73" s="209" t="s">
        <v>615</v>
      </c>
      <c r="CL73" s="210" t="s">
        <v>615</v>
      </c>
      <c r="CM73" s="207">
        <v>0</v>
      </c>
      <c r="CN73" s="207">
        <v>0</v>
      </c>
      <c r="CO73" s="204">
        <v>0</v>
      </c>
      <c r="CP73" s="204">
        <v>0</v>
      </c>
      <c r="CQ73" s="211"/>
      <c r="CR73" s="204">
        <v>1</v>
      </c>
      <c r="CS73" s="212">
        <v>42531</v>
      </c>
      <c r="CT73" s="212">
        <v>42780</v>
      </c>
      <c r="CU73" s="213">
        <v>42780</v>
      </c>
      <c r="CV73" s="214">
        <v>42829</v>
      </c>
      <c r="CW73" s="214" t="s">
        <v>615</v>
      </c>
      <c r="CX73" s="214" t="s">
        <v>615</v>
      </c>
      <c r="CY73" s="204">
        <v>1</v>
      </c>
      <c r="CZ73" s="204">
        <v>0.97959183673469385</v>
      </c>
      <c r="DA73" s="203">
        <v>0</v>
      </c>
      <c r="DB73" s="204">
        <v>0.97959183673469385</v>
      </c>
      <c r="DC73" s="204">
        <v>0</v>
      </c>
      <c r="DD73" s="204">
        <v>0</v>
      </c>
      <c r="DE73" s="204">
        <v>0</v>
      </c>
      <c r="DF73" s="215">
        <v>0</v>
      </c>
      <c r="DG73" s="13" t="s">
        <v>615</v>
      </c>
      <c r="DH73" s="86">
        <v>71</v>
      </c>
      <c r="DI73" s="86"/>
      <c r="DJ73" s="86">
        <v>105</v>
      </c>
      <c r="DK73" s="86" t="s">
        <v>1582</v>
      </c>
      <c r="DL73" s="86" t="e">
        <v>#N/A</v>
      </c>
      <c r="DM73" s="86" t="e">
        <v>#N/A</v>
      </c>
      <c r="DN73" s="86" t="e">
        <v>#N/A</v>
      </c>
      <c r="DO73" s="86">
        <v>108</v>
      </c>
      <c r="DP73" s="86">
        <v>2</v>
      </c>
      <c r="DQ73" s="86">
        <v>49</v>
      </c>
      <c r="DR73" s="146">
        <v>0</v>
      </c>
      <c r="DS73" s="146">
        <v>0</v>
      </c>
      <c r="DT73" s="146">
        <v>0</v>
      </c>
      <c r="DU73" s="146">
        <v>0</v>
      </c>
      <c r="DV73" s="146">
        <v>0</v>
      </c>
      <c r="DW73" s="146">
        <v>0</v>
      </c>
      <c r="DX73" s="146">
        <v>0</v>
      </c>
      <c r="DY73" s="146">
        <v>0</v>
      </c>
      <c r="DZ73" s="146">
        <v>0</v>
      </c>
      <c r="EA73" s="146">
        <v>0</v>
      </c>
      <c r="EB73" s="146">
        <v>0</v>
      </c>
      <c r="EC73" s="146">
        <v>0</v>
      </c>
      <c r="ED73" s="146">
        <v>0</v>
      </c>
      <c r="EE73" s="146">
        <v>0</v>
      </c>
      <c r="EF73" s="146">
        <v>0</v>
      </c>
      <c r="EG73" s="146">
        <v>0</v>
      </c>
      <c r="EH73" s="146">
        <v>0</v>
      </c>
      <c r="EI73" s="146">
        <v>0</v>
      </c>
      <c r="EJ73" s="146">
        <v>0</v>
      </c>
      <c r="EK73" s="146">
        <v>0</v>
      </c>
      <c r="EL73" s="146">
        <v>0</v>
      </c>
      <c r="EM73" s="146">
        <v>0</v>
      </c>
      <c r="EN73" s="146">
        <v>0</v>
      </c>
      <c r="EO73" s="146">
        <v>0</v>
      </c>
      <c r="EP73" s="146">
        <v>0</v>
      </c>
      <c r="EQ73" s="146">
        <v>0</v>
      </c>
      <c r="ER73" s="146">
        <v>0</v>
      </c>
      <c r="ES73" s="146">
        <v>0</v>
      </c>
      <c r="ET73" s="146">
        <v>0</v>
      </c>
      <c r="EU73" s="146">
        <v>0</v>
      </c>
      <c r="EV73" s="146">
        <v>0</v>
      </c>
      <c r="EW73" s="146">
        <v>0</v>
      </c>
      <c r="EX73" s="146">
        <v>0</v>
      </c>
      <c r="EY73" s="146">
        <v>0</v>
      </c>
      <c r="EZ73" s="146">
        <v>0</v>
      </c>
      <c r="FA73" s="146">
        <v>0</v>
      </c>
      <c r="FB73" s="146">
        <v>0</v>
      </c>
      <c r="FC73" s="146">
        <v>0</v>
      </c>
      <c r="FD73" s="146">
        <v>0</v>
      </c>
      <c r="FE73" s="146">
        <v>0</v>
      </c>
      <c r="FF73" s="146">
        <v>0</v>
      </c>
      <c r="FG73" s="146">
        <v>0</v>
      </c>
      <c r="FH73" s="146">
        <v>0</v>
      </c>
      <c r="FI73" s="146">
        <v>0</v>
      </c>
      <c r="FJ73" s="146">
        <v>0</v>
      </c>
      <c r="FK73" s="146">
        <v>0</v>
      </c>
      <c r="FL73" s="146">
        <v>0</v>
      </c>
      <c r="FM73" s="146">
        <v>0</v>
      </c>
      <c r="FN73" s="146">
        <v>0</v>
      </c>
      <c r="FO73" s="146">
        <v>0</v>
      </c>
      <c r="FP73" s="146">
        <v>0</v>
      </c>
      <c r="FQ73" s="146">
        <v>0</v>
      </c>
      <c r="FR73" s="146">
        <v>0</v>
      </c>
      <c r="FS73" s="160">
        <v>0</v>
      </c>
      <c r="FT73" s="160">
        <v>0</v>
      </c>
      <c r="FU73" s="160">
        <v>0</v>
      </c>
      <c r="FV73" s="160">
        <v>0</v>
      </c>
      <c r="FW73" s="160">
        <v>0</v>
      </c>
      <c r="FX73" s="160">
        <v>0</v>
      </c>
      <c r="FY73" s="160">
        <v>0</v>
      </c>
      <c r="FZ73" s="160">
        <v>0</v>
      </c>
      <c r="GA73" s="160">
        <v>0</v>
      </c>
      <c r="GB73" s="160">
        <v>0</v>
      </c>
      <c r="GC73" s="160">
        <v>0</v>
      </c>
      <c r="GD73" s="160">
        <v>0</v>
      </c>
      <c r="GE73" s="160">
        <v>0</v>
      </c>
      <c r="GF73" s="160">
        <v>0</v>
      </c>
      <c r="GG73" s="160">
        <v>0</v>
      </c>
      <c r="GH73" s="160">
        <v>0</v>
      </c>
      <c r="GI73" s="160">
        <v>0</v>
      </c>
      <c r="GJ73" s="160">
        <v>0</v>
      </c>
      <c r="GK73" s="160">
        <v>0</v>
      </c>
      <c r="GL73" s="160">
        <v>0</v>
      </c>
      <c r="GM73" s="160">
        <v>0</v>
      </c>
      <c r="GN73" s="160">
        <v>0</v>
      </c>
      <c r="GO73" s="160">
        <v>0</v>
      </c>
      <c r="GP73" s="160">
        <v>0</v>
      </c>
      <c r="GQ73" s="160">
        <v>0</v>
      </c>
      <c r="GR73" s="160">
        <v>0</v>
      </c>
      <c r="GS73" s="160">
        <v>0</v>
      </c>
      <c r="GT73" s="160">
        <v>0</v>
      </c>
      <c r="GU73" s="160">
        <v>0</v>
      </c>
      <c r="GV73" s="160">
        <v>0</v>
      </c>
      <c r="GW73" s="160">
        <v>0</v>
      </c>
      <c r="GX73" s="160">
        <v>0</v>
      </c>
      <c r="GY73" s="160">
        <v>0</v>
      </c>
      <c r="GZ73" s="160">
        <v>0</v>
      </c>
      <c r="HA73" s="160">
        <v>0</v>
      </c>
      <c r="HB73" s="160">
        <v>0</v>
      </c>
      <c r="HC73" s="160">
        <v>0</v>
      </c>
      <c r="HD73" s="160">
        <v>0</v>
      </c>
      <c r="HE73" s="160">
        <v>0</v>
      </c>
      <c r="HF73" s="160">
        <v>0</v>
      </c>
      <c r="HG73" s="160">
        <v>0</v>
      </c>
      <c r="HH73" s="146">
        <v>0</v>
      </c>
      <c r="HI73" s="146">
        <v>0</v>
      </c>
      <c r="HJ73" s="146">
        <v>0</v>
      </c>
      <c r="HK73" s="146">
        <v>0</v>
      </c>
      <c r="HL73" s="146">
        <v>0</v>
      </c>
      <c r="HM73" s="146">
        <v>0</v>
      </c>
      <c r="HN73" s="146">
        <v>0</v>
      </c>
      <c r="HO73" s="146">
        <v>0</v>
      </c>
      <c r="HP73" s="146">
        <v>0</v>
      </c>
      <c r="HQ73" s="146">
        <v>0</v>
      </c>
      <c r="HR73" s="146">
        <v>0</v>
      </c>
      <c r="HS73" s="146">
        <v>0</v>
      </c>
      <c r="HT73" s="146">
        <v>0</v>
      </c>
      <c r="HU73" s="151"/>
      <c r="HV73" s="146">
        <v>0</v>
      </c>
      <c r="HW73" s="151"/>
      <c r="HX73" s="151"/>
      <c r="HY73" s="151"/>
      <c r="HZ73" s="151"/>
      <c r="IA73" s="151"/>
      <c r="IB73" s="151"/>
      <c r="IC73" s="151"/>
      <c r="ID73" s="151"/>
      <c r="IE73" s="151"/>
      <c r="IF73" s="151"/>
      <c r="IG73" s="151"/>
      <c r="IH73" s="151"/>
      <c r="II73" s="151"/>
      <c r="IJ73" s="151"/>
      <c r="IK73" s="151"/>
      <c r="IL73" s="151"/>
      <c r="IM73" s="151"/>
      <c r="IN73" s="151"/>
      <c r="IO73" s="151"/>
      <c r="IP73" s="151"/>
      <c r="IQ73" s="151"/>
      <c r="IR73" s="151"/>
      <c r="IS73" s="151"/>
      <c r="IT73" s="151"/>
      <c r="IU73" s="151"/>
      <c r="IV73" s="151"/>
      <c r="IW73" s="151"/>
      <c r="IX73" s="151"/>
      <c r="IY73" s="151"/>
      <c r="IZ73" s="151"/>
      <c r="JA73" s="151"/>
      <c r="JB73" s="151"/>
      <c r="JC73" s="151"/>
      <c r="JD73" s="151"/>
      <c r="JE73" s="151"/>
      <c r="JF73" s="151"/>
      <c r="JG73" s="151"/>
      <c r="JH73" s="151"/>
      <c r="JI73" s="151"/>
      <c r="JJ73" s="151"/>
      <c r="JK73" s="151"/>
      <c r="JL73" s="151"/>
      <c r="JM73" s="151"/>
      <c r="JN73" s="151"/>
      <c r="JO73" s="151"/>
      <c r="JP73" s="151"/>
      <c r="JQ73" s="151"/>
      <c r="JR73" s="151"/>
      <c r="JS73" s="151"/>
      <c r="JT73" s="151"/>
      <c r="JU73" s="151"/>
      <c r="JV73" s="151"/>
      <c r="JW73" s="151"/>
      <c r="JX73" s="151"/>
      <c r="JY73" s="151"/>
      <c r="JZ73" s="151"/>
      <c r="KA73" s="151"/>
      <c r="KB73" s="151"/>
      <c r="KC73" s="151"/>
      <c r="KD73" s="151"/>
      <c r="KE73" s="151"/>
      <c r="KF73" s="151"/>
      <c r="KG73" s="151"/>
      <c r="KH73" s="151"/>
      <c r="KI73" s="151"/>
      <c r="KJ73" s="151"/>
      <c r="KK73" s="151"/>
      <c r="KL73" s="151"/>
      <c r="KM73" s="151"/>
      <c r="KN73" s="151"/>
      <c r="KO73" s="151"/>
      <c r="KP73" s="151"/>
      <c r="KQ73" s="151"/>
      <c r="KR73" s="151"/>
      <c r="KS73" s="151"/>
      <c r="KT73" s="151"/>
      <c r="KU73" s="151"/>
      <c r="KV73" s="151"/>
      <c r="KW73" s="151"/>
      <c r="KX73" s="151"/>
      <c r="KY73" s="151"/>
      <c r="KZ73" s="151"/>
      <c r="LA73" s="151"/>
      <c r="LB73" s="151"/>
      <c r="LC73" s="151"/>
      <c r="LD73" s="151"/>
      <c r="LE73" s="151"/>
    </row>
    <row r="74" spans="1:317" x14ac:dyDescent="0.2">
      <c r="A74" s="179" t="s">
        <v>849</v>
      </c>
      <c r="B74" s="180" t="s">
        <v>973</v>
      </c>
      <c r="C74" s="181"/>
      <c r="D74" s="182">
        <v>0</v>
      </c>
      <c r="E74" s="182">
        <v>0</v>
      </c>
      <c r="F74" s="183" t="s">
        <v>1257</v>
      </c>
      <c r="G74" s="183">
        <v>0</v>
      </c>
      <c r="H74" s="183">
        <v>0</v>
      </c>
      <c r="I74" s="183">
        <v>0</v>
      </c>
      <c r="J74" s="183">
        <v>0</v>
      </c>
      <c r="K74" s="183" t="s">
        <v>1377</v>
      </c>
      <c r="L74" s="183">
        <v>0</v>
      </c>
      <c r="M74" s="183">
        <v>0</v>
      </c>
      <c r="N74" s="183" t="s">
        <v>872</v>
      </c>
      <c r="O74" s="183">
        <v>0</v>
      </c>
      <c r="P74" s="183">
        <v>0</v>
      </c>
      <c r="Q74" s="183"/>
      <c r="R74" s="183"/>
      <c r="S74" s="183"/>
      <c r="T74" s="183"/>
      <c r="U74" s="183"/>
      <c r="V74" s="183">
        <v>0</v>
      </c>
      <c r="W74" s="183">
        <v>0</v>
      </c>
      <c r="X74" s="183">
        <v>0</v>
      </c>
      <c r="Y74" s="184">
        <v>4.07</v>
      </c>
      <c r="Z74" s="184">
        <v>13.18</v>
      </c>
      <c r="AA74" s="184">
        <v>0</v>
      </c>
      <c r="AB74" s="185" t="s">
        <v>615</v>
      </c>
      <c r="AC74" s="185" t="s">
        <v>615</v>
      </c>
      <c r="AD74" s="186" t="s">
        <v>872</v>
      </c>
      <c r="AE74" s="186" t="s">
        <v>852</v>
      </c>
      <c r="AF74" s="187">
        <v>7</v>
      </c>
      <c r="AG74" s="187">
        <v>3</v>
      </c>
      <c r="AH74" s="187">
        <v>4</v>
      </c>
      <c r="AI74" s="188">
        <v>1</v>
      </c>
      <c r="AJ74" s="188" t="s">
        <v>615</v>
      </c>
      <c r="AK74" s="187" t="s">
        <v>1736</v>
      </c>
      <c r="AL74" s="87" t="s">
        <v>615</v>
      </c>
      <c r="AM74" s="189"/>
      <c r="AN74" s="187" t="s">
        <v>615</v>
      </c>
      <c r="AO74" s="13" t="s">
        <v>615</v>
      </c>
      <c r="AP74" s="187">
        <v>0</v>
      </c>
      <c r="AQ74" s="187">
        <v>0</v>
      </c>
      <c r="AR74" s="190">
        <v>0</v>
      </c>
      <c r="AS74" s="190">
        <v>0</v>
      </c>
      <c r="AT74" s="190">
        <v>0</v>
      </c>
      <c r="AU74" s="187">
        <v>0</v>
      </c>
      <c r="AV74" s="187">
        <v>0</v>
      </c>
      <c r="AW74" s="191"/>
      <c r="AX74" s="192"/>
      <c r="AY74" s="193">
        <v>42845</v>
      </c>
      <c r="AZ74" s="193"/>
      <c r="BA74" s="193"/>
      <c r="BB74" s="194"/>
      <c r="BC74" s="194"/>
      <c r="BD74" s="195"/>
      <c r="BE74" s="195" t="s">
        <v>532</v>
      </c>
      <c r="BF74" s="195"/>
      <c r="BG74" s="195">
        <v>20</v>
      </c>
      <c r="BH74" s="196" t="s">
        <v>547</v>
      </c>
      <c r="BI74" s="197">
        <v>1</v>
      </c>
      <c r="BJ74" s="198"/>
      <c r="BK74" s="199">
        <v>0</v>
      </c>
      <c r="BL74" s="13">
        <v>0</v>
      </c>
      <c r="BM74" s="13">
        <v>0</v>
      </c>
      <c r="BN74" s="13" t="s">
        <v>616</v>
      </c>
      <c r="BO74" s="13" t="s">
        <v>616</v>
      </c>
      <c r="BP74" s="200">
        <v>20</v>
      </c>
      <c r="BQ74" s="201"/>
      <c r="BR74" s="202"/>
      <c r="BS74" s="187">
        <v>1000000000</v>
      </c>
      <c r="BT74" s="203">
        <v>32</v>
      </c>
      <c r="BU74" s="204">
        <v>0</v>
      </c>
      <c r="BV74" s="203">
        <v>0</v>
      </c>
      <c r="BW74" s="205">
        <v>0</v>
      </c>
      <c r="BX74" s="205">
        <v>0</v>
      </c>
      <c r="BY74" s="205">
        <v>0</v>
      </c>
      <c r="BZ74" s="203">
        <v>0</v>
      </c>
      <c r="CA74" s="203">
        <v>0</v>
      </c>
      <c r="CB74" s="203">
        <v>32</v>
      </c>
      <c r="CC74" s="204">
        <v>0</v>
      </c>
      <c r="CD74" s="203">
        <v>0</v>
      </c>
      <c r="CE74" s="203">
        <v>0</v>
      </c>
      <c r="CF74" s="13">
        <v>0</v>
      </c>
      <c r="CG74" s="206">
        <v>0</v>
      </c>
      <c r="CH74" s="207">
        <v>0</v>
      </c>
      <c r="CI74" s="201"/>
      <c r="CJ74" s="208"/>
      <c r="CK74" s="209" t="s">
        <v>615</v>
      </c>
      <c r="CL74" s="210" t="s">
        <v>615</v>
      </c>
      <c r="CM74" s="207">
        <v>0</v>
      </c>
      <c r="CN74" s="207">
        <v>0</v>
      </c>
      <c r="CO74" s="204">
        <v>0</v>
      </c>
      <c r="CP74" s="204">
        <v>0</v>
      </c>
      <c r="CQ74" s="211"/>
      <c r="CR74" s="204">
        <v>1</v>
      </c>
      <c r="CS74" s="212">
        <v>42531</v>
      </c>
      <c r="CT74" s="212">
        <v>42780</v>
      </c>
      <c r="CU74" s="213">
        <v>42780</v>
      </c>
      <c r="CV74" s="214">
        <v>42829</v>
      </c>
      <c r="CW74" s="214" t="s">
        <v>615</v>
      </c>
      <c r="CX74" s="214" t="s">
        <v>615</v>
      </c>
      <c r="CY74" s="204">
        <v>7.6947422623222475E-2</v>
      </c>
      <c r="CZ74" s="204">
        <v>0.97959183673469385</v>
      </c>
      <c r="DA74" s="203">
        <v>0</v>
      </c>
      <c r="DB74" s="204">
        <v>0</v>
      </c>
      <c r="DC74" s="204">
        <v>0</v>
      </c>
      <c r="DD74" s="204">
        <v>0</v>
      </c>
      <c r="DE74" s="204">
        <v>0</v>
      </c>
      <c r="DF74" s="215">
        <v>0.97959183673469385</v>
      </c>
      <c r="DG74" s="13" t="s">
        <v>615</v>
      </c>
      <c r="DH74" s="86">
        <v>72</v>
      </c>
      <c r="DI74" s="86"/>
      <c r="DJ74" s="86">
        <v>104</v>
      </c>
      <c r="DK74" s="86" t="s">
        <v>1491</v>
      </c>
      <c r="DL74" s="86" t="e">
        <v>#N/A</v>
      </c>
      <c r="DM74" s="86">
        <v>48</v>
      </c>
      <c r="DN74" s="86" t="e">
        <v>#N/A</v>
      </c>
      <c r="DO74" s="86">
        <v>107</v>
      </c>
      <c r="DP74" s="86">
        <v>2</v>
      </c>
      <c r="DQ74" s="86">
        <v>49</v>
      </c>
      <c r="DR74" s="152">
        <v>32</v>
      </c>
      <c r="DS74" s="152">
        <v>32</v>
      </c>
      <c r="DT74" s="152">
        <v>32</v>
      </c>
      <c r="DU74" s="152">
        <v>32</v>
      </c>
      <c r="DV74" s="152">
        <v>32</v>
      </c>
      <c r="DW74" s="152">
        <v>32</v>
      </c>
      <c r="DX74" s="152">
        <v>32</v>
      </c>
      <c r="DY74" s="152">
        <v>32</v>
      </c>
      <c r="DZ74" s="152">
        <v>32</v>
      </c>
      <c r="EA74" s="152">
        <v>32</v>
      </c>
      <c r="EB74" s="152">
        <v>32</v>
      </c>
      <c r="EC74" s="152">
        <v>32</v>
      </c>
      <c r="ED74" s="152">
        <v>32</v>
      </c>
      <c r="EE74" s="152">
        <v>32</v>
      </c>
      <c r="EF74" s="152">
        <v>32</v>
      </c>
      <c r="EG74" s="152">
        <v>32</v>
      </c>
      <c r="EH74" s="152">
        <v>32</v>
      </c>
      <c r="EI74" s="152">
        <v>32</v>
      </c>
      <c r="EJ74" s="152">
        <v>32</v>
      </c>
      <c r="EK74" s="152">
        <v>32</v>
      </c>
      <c r="EL74" s="152">
        <v>32</v>
      </c>
      <c r="EM74" s="152">
        <v>32</v>
      </c>
      <c r="EN74" s="152">
        <v>32</v>
      </c>
      <c r="EO74" s="152">
        <v>32</v>
      </c>
      <c r="EP74" s="152">
        <v>32</v>
      </c>
      <c r="EQ74" s="152">
        <v>32</v>
      </c>
      <c r="ER74" s="152">
        <v>32</v>
      </c>
      <c r="ES74" s="152">
        <v>32</v>
      </c>
      <c r="ET74" s="152">
        <v>32</v>
      </c>
      <c r="EU74" s="152">
        <v>32</v>
      </c>
      <c r="EV74" s="152">
        <v>32</v>
      </c>
      <c r="EW74" s="152">
        <v>32</v>
      </c>
      <c r="EX74" s="152">
        <v>32</v>
      </c>
      <c r="EY74" s="152">
        <v>32</v>
      </c>
      <c r="EZ74" s="152">
        <v>32</v>
      </c>
      <c r="FA74" s="152">
        <v>32</v>
      </c>
      <c r="FB74" s="152">
        <v>32</v>
      </c>
      <c r="FC74" s="152">
        <v>32</v>
      </c>
      <c r="FD74" s="152">
        <v>32</v>
      </c>
      <c r="FE74" s="152">
        <v>32</v>
      </c>
      <c r="FF74" s="152">
        <v>32</v>
      </c>
      <c r="FG74" s="152">
        <v>32</v>
      </c>
      <c r="FH74" s="152">
        <v>32</v>
      </c>
      <c r="FI74" s="152">
        <v>32</v>
      </c>
      <c r="FJ74" s="152">
        <v>32</v>
      </c>
      <c r="FK74" s="152">
        <v>32</v>
      </c>
      <c r="FL74" s="152">
        <v>32</v>
      </c>
      <c r="FM74" s="152">
        <v>32</v>
      </c>
      <c r="FN74" s="152">
        <v>32</v>
      </c>
      <c r="FO74" s="152">
        <v>32</v>
      </c>
      <c r="FP74" s="152">
        <v>32</v>
      </c>
      <c r="FQ74" s="152">
        <v>32</v>
      </c>
      <c r="FR74" s="152">
        <v>32</v>
      </c>
      <c r="FS74" s="167">
        <v>32</v>
      </c>
      <c r="FT74" s="167">
        <v>32</v>
      </c>
      <c r="FU74" s="167">
        <v>32</v>
      </c>
      <c r="FV74" s="167">
        <v>32</v>
      </c>
      <c r="FW74" s="167">
        <v>32</v>
      </c>
      <c r="FX74" s="167">
        <v>32</v>
      </c>
      <c r="FY74" s="167">
        <v>32</v>
      </c>
      <c r="FZ74" s="167">
        <v>32</v>
      </c>
      <c r="GA74" s="167">
        <v>32</v>
      </c>
      <c r="GB74" s="167">
        <v>32</v>
      </c>
      <c r="GC74" s="167">
        <v>32</v>
      </c>
      <c r="GD74" s="167">
        <v>32</v>
      </c>
      <c r="GE74" s="167">
        <v>32</v>
      </c>
      <c r="GF74" s="167">
        <v>32</v>
      </c>
      <c r="GG74" s="167">
        <v>32</v>
      </c>
      <c r="GH74" s="167">
        <v>32</v>
      </c>
      <c r="GI74" s="167">
        <v>32</v>
      </c>
      <c r="GJ74" s="167">
        <v>32</v>
      </c>
      <c r="GK74" s="167">
        <v>32</v>
      </c>
      <c r="GL74" s="167">
        <v>32</v>
      </c>
      <c r="GM74" s="167">
        <v>32</v>
      </c>
      <c r="GN74" s="167">
        <v>32</v>
      </c>
      <c r="GO74" s="167">
        <v>32</v>
      </c>
      <c r="GP74" s="167">
        <v>32</v>
      </c>
      <c r="GQ74" s="167">
        <v>32</v>
      </c>
      <c r="GR74" s="167">
        <v>32</v>
      </c>
      <c r="GS74" s="167">
        <v>32</v>
      </c>
      <c r="GT74" s="167">
        <v>32</v>
      </c>
      <c r="GU74" s="167">
        <v>32</v>
      </c>
      <c r="GV74" s="167">
        <v>32</v>
      </c>
      <c r="GW74" s="167">
        <v>32</v>
      </c>
      <c r="GX74" s="167">
        <v>32</v>
      </c>
      <c r="GY74" s="167">
        <v>32</v>
      </c>
      <c r="GZ74" s="167">
        <v>32</v>
      </c>
      <c r="HA74" s="167">
        <v>32</v>
      </c>
      <c r="HB74" s="167">
        <v>32</v>
      </c>
      <c r="HC74" s="167">
        <v>32</v>
      </c>
      <c r="HD74" s="167">
        <v>32</v>
      </c>
      <c r="HE74" s="167">
        <v>27</v>
      </c>
      <c r="HF74" s="167">
        <v>27</v>
      </c>
      <c r="HG74" s="167">
        <v>27</v>
      </c>
      <c r="HH74" s="152">
        <v>27</v>
      </c>
      <c r="HI74" s="152">
        <v>27</v>
      </c>
      <c r="HJ74" s="152">
        <v>27</v>
      </c>
      <c r="HK74" s="152">
        <v>27</v>
      </c>
      <c r="HL74" s="152">
        <v>27</v>
      </c>
      <c r="HM74" s="152">
        <v>27</v>
      </c>
      <c r="HN74" s="152">
        <v>27</v>
      </c>
      <c r="HO74" s="152">
        <v>27</v>
      </c>
      <c r="HP74" s="152">
        <v>27</v>
      </c>
      <c r="HQ74" s="152">
        <v>27</v>
      </c>
      <c r="HR74" s="152">
        <v>27</v>
      </c>
      <c r="HS74" s="152">
        <v>27</v>
      </c>
      <c r="HT74" s="152">
        <v>32</v>
      </c>
      <c r="HU74" s="216"/>
      <c r="HV74" s="152">
        <v>32</v>
      </c>
      <c r="HW74" s="216"/>
      <c r="HX74" s="216"/>
      <c r="HY74" s="216"/>
      <c r="HZ74" s="216"/>
      <c r="IA74" s="216"/>
      <c r="IB74" s="216"/>
      <c r="IC74" s="216"/>
      <c r="ID74" s="216"/>
      <c r="IE74" s="216"/>
      <c r="IF74" s="216"/>
      <c r="IG74" s="216"/>
      <c r="IH74" s="216"/>
      <c r="II74" s="216"/>
      <c r="IJ74" s="216"/>
      <c r="IK74" s="216"/>
      <c r="IL74" s="216"/>
      <c r="IM74" s="216"/>
      <c r="IN74" s="216"/>
      <c r="IO74" s="216"/>
      <c r="IP74" s="216"/>
      <c r="IQ74" s="216"/>
      <c r="IR74" s="216"/>
      <c r="IS74" s="216"/>
      <c r="IT74" s="216"/>
      <c r="IU74" s="216"/>
      <c r="IV74" s="216"/>
      <c r="IW74" s="216"/>
      <c r="IX74" s="216"/>
      <c r="IY74" s="216"/>
      <c r="IZ74" s="216"/>
      <c r="JA74" s="216"/>
      <c r="JB74" s="216"/>
      <c r="JC74" s="216"/>
      <c r="JD74" s="216"/>
      <c r="JE74" s="216"/>
      <c r="JF74" s="216"/>
      <c r="JG74" s="216"/>
      <c r="JH74" s="216"/>
      <c r="JI74" s="216"/>
      <c r="JJ74" s="216"/>
      <c r="JK74" s="216"/>
      <c r="JL74" s="216"/>
      <c r="JM74" s="216"/>
      <c r="JN74" s="216"/>
      <c r="JO74" s="216"/>
      <c r="JP74" s="216"/>
      <c r="JQ74" s="216"/>
      <c r="JR74" s="216"/>
      <c r="JS74" s="216"/>
      <c r="JT74" s="216"/>
      <c r="JU74" s="216"/>
      <c r="JV74" s="216"/>
      <c r="JW74" s="216"/>
      <c r="JX74" s="216"/>
      <c r="JY74" s="216"/>
      <c r="JZ74" s="216"/>
      <c r="KA74" s="216"/>
      <c r="KB74" s="216"/>
      <c r="KC74" s="216"/>
      <c r="KD74" s="216"/>
      <c r="KE74" s="216"/>
      <c r="KF74" s="216"/>
      <c r="KG74" s="216"/>
      <c r="KH74" s="216"/>
      <c r="KI74" s="216"/>
      <c r="KJ74" s="216"/>
      <c r="KK74" s="216"/>
      <c r="KL74" s="216"/>
      <c r="KM74" s="216"/>
      <c r="KN74" s="216"/>
      <c r="KO74" s="216"/>
      <c r="KP74" s="216"/>
      <c r="KQ74" s="216"/>
      <c r="KR74" s="216"/>
      <c r="KS74" s="216"/>
      <c r="KT74" s="216"/>
      <c r="KU74" s="216"/>
      <c r="KV74" s="216"/>
      <c r="KW74" s="216"/>
      <c r="KX74" s="216"/>
      <c r="KY74" s="216"/>
      <c r="KZ74" s="216"/>
      <c r="LA74" s="216"/>
      <c r="LB74" s="216"/>
      <c r="LC74" s="216"/>
      <c r="LD74" s="216"/>
      <c r="LE74" s="216"/>
    </row>
    <row r="75" spans="1:317" x14ac:dyDescent="0.2">
      <c r="A75" s="179" t="s">
        <v>849</v>
      </c>
      <c r="B75" s="180" t="s">
        <v>974</v>
      </c>
      <c r="C75" s="181"/>
      <c r="D75" s="182">
        <v>0</v>
      </c>
      <c r="E75" s="182">
        <v>0</v>
      </c>
      <c r="F75" s="183" t="s">
        <v>1258</v>
      </c>
      <c r="G75" s="183">
        <v>0</v>
      </c>
      <c r="H75" s="183">
        <v>0</v>
      </c>
      <c r="I75" s="183">
        <v>0</v>
      </c>
      <c r="J75" s="183">
        <v>0</v>
      </c>
      <c r="K75" s="183" t="s">
        <v>1377</v>
      </c>
      <c r="L75" s="183">
        <v>0</v>
      </c>
      <c r="M75" s="183">
        <v>0</v>
      </c>
      <c r="N75" s="183" t="s">
        <v>872</v>
      </c>
      <c r="O75" s="183">
        <v>0</v>
      </c>
      <c r="P75" s="183">
        <v>0</v>
      </c>
      <c r="Q75" s="183"/>
      <c r="R75" s="183"/>
      <c r="S75" s="183"/>
      <c r="T75" s="183"/>
      <c r="U75" s="183"/>
      <c r="V75" s="183">
        <v>0</v>
      </c>
      <c r="W75" s="183">
        <v>0</v>
      </c>
      <c r="X75" s="183">
        <v>0</v>
      </c>
      <c r="Y75" s="184">
        <v>0</v>
      </c>
      <c r="Z75" s="184">
        <v>13.18</v>
      </c>
      <c r="AA75" s="184">
        <v>0</v>
      </c>
      <c r="AB75" s="185" t="s">
        <v>615</v>
      </c>
      <c r="AC75" s="185" t="s">
        <v>615</v>
      </c>
      <c r="AD75" s="186" t="s">
        <v>872</v>
      </c>
      <c r="AE75" s="186" t="s">
        <v>852</v>
      </c>
      <c r="AF75" s="187">
        <v>7</v>
      </c>
      <c r="AG75" s="187">
        <v>3</v>
      </c>
      <c r="AH75" s="187">
        <v>4</v>
      </c>
      <c r="AI75" s="188">
        <v>1</v>
      </c>
      <c r="AJ75" s="188" t="s">
        <v>615</v>
      </c>
      <c r="AK75" s="187" t="s">
        <v>1736</v>
      </c>
      <c r="AL75" s="87" t="s">
        <v>615</v>
      </c>
      <c r="AM75" s="189"/>
      <c r="AN75" s="187" t="s">
        <v>615</v>
      </c>
      <c r="AO75" s="13" t="s">
        <v>615</v>
      </c>
      <c r="AP75" s="187">
        <v>0</v>
      </c>
      <c r="AQ75" s="187">
        <v>0</v>
      </c>
      <c r="AR75" s="190">
        <v>0</v>
      </c>
      <c r="AS75" s="190">
        <v>0</v>
      </c>
      <c r="AT75" s="190">
        <v>0</v>
      </c>
      <c r="AU75" s="187">
        <v>0</v>
      </c>
      <c r="AV75" s="187">
        <v>0</v>
      </c>
      <c r="AW75" s="191"/>
      <c r="AX75" s="192"/>
      <c r="AY75" s="193">
        <v>42666</v>
      </c>
      <c r="AZ75" s="193"/>
      <c r="BA75" s="193"/>
      <c r="BB75" s="194"/>
      <c r="BC75" s="194"/>
      <c r="BD75" s="195"/>
      <c r="BE75" s="195" t="s">
        <v>532</v>
      </c>
      <c r="BF75" s="195"/>
      <c r="BG75" s="195">
        <v>20</v>
      </c>
      <c r="BH75" s="196" t="s">
        <v>547</v>
      </c>
      <c r="BI75" s="197">
        <v>1</v>
      </c>
      <c r="BJ75" s="198"/>
      <c r="BK75" s="199">
        <v>0</v>
      </c>
      <c r="BL75" s="13">
        <v>0</v>
      </c>
      <c r="BM75" s="13">
        <v>0</v>
      </c>
      <c r="BN75" s="13" t="s">
        <v>616</v>
      </c>
      <c r="BO75" s="13" t="s">
        <v>616</v>
      </c>
      <c r="BP75" s="200">
        <v>20</v>
      </c>
      <c r="BQ75" s="201"/>
      <c r="BR75" s="202"/>
      <c r="BS75" s="187">
        <v>1000000000</v>
      </c>
      <c r="BT75" s="203">
        <v>0</v>
      </c>
      <c r="BU75" s="204">
        <v>0</v>
      </c>
      <c r="BV75" s="203">
        <v>0</v>
      </c>
      <c r="BW75" s="205">
        <v>0</v>
      </c>
      <c r="BX75" s="205">
        <v>0</v>
      </c>
      <c r="BY75" s="205">
        <v>0</v>
      </c>
      <c r="BZ75" s="203">
        <v>0</v>
      </c>
      <c r="CA75" s="203">
        <v>0</v>
      </c>
      <c r="CB75" s="203">
        <v>0</v>
      </c>
      <c r="CC75" s="204">
        <v>0</v>
      </c>
      <c r="CD75" s="203">
        <v>0</v>
      </c>
      <c r="CE75" s="203">
        <v>0</v>
      </c>
      <c r="CF75" s="13">
        <v>0</v>
      </c>
      <c r="CG75" s="206">
        <v>0</v>
      </c>
      <c r="CH75" s="207">
        <v>0</v>
      </c>
      <c r="CI75" s="201"/>
      <c r="CJ75" s="208"/>
      <c r="CK75" s="209" t="s">
        <v>615</v>
      </c>
      <c r="CL75" s="210" t="s">
        <v>615</v>
      </c>
      <c r="CM75" s="207">
        <v>0</v>
      </c>
      <c r="CN75" s="207">
        <v>0</v>
      </c>
      <c r="CO75" s="204">
        <v>0</v>
      </c>
      <c r="CP75" s="204">
        <v>0</v>
      </c>
      <c r="CQ75" s="211"/>
      <c r="CR75" s="204">
        <v>1</v>
      </c>
      <c r="CS75" s="212">
        <v>42531</v>
      </c>
      <c r="CT75" s="212">
        <v>42780</v>
      </c>
      <c r="CU75" s="213">
        <v>42780</v>
      </c>
      <c r="CV75" s="214">
        <v>42829</v>
      </c>
      <c r="CW75" s="214" t="s">
        <v>615</v>
      </c>
      <c r="CX75" s="214" t="s">
        <v>615</v>
      </c>
      <c r="CY75" s="204">
        <v>1</v>
      </c>
      <c r="CZ75" s="204">
        <v>0.97959183673469385</v>
      </c>
      <c r="DA75" s="203">
        <v>0</v>
      </c>
      <c r="DB75" s="204">
        <v>0.97959183673469385</v>
      </c>
      <c r="DC75" s="204">
        <v>0</v>
      </c>
      <c r="DD75" s="204">
        <v>0</v>
      </c>
      <c r="DE75" s="204">
        <v>0</v>
      </c>
      <c r="DF75" s="215">
        <v>0</v>
      </c>
      <c r="DG75" s="13" t="s">
        <v>615</v>
      </c>
      <c r="DH75" s="86">
        <v>73</v>
      </c>
      <c r="DI75" s="86"/>
      <c r="DJ75" s="86">
        <v>103</v>
      </c>
      <c r="DK75" s="86" t="s">
        <v>1581</v>
      </c>
      <c r="DL75" s="86" t="e">
        <v>#N/A</v>
      </c>
      <c r="DM75" s="86" t="e">
        <v>#N/A</v>
      </c>
      <c r="DN75" s="86" t="e">
        <v>#N/A</v>
      </c>
      <c r="DO75" s="86">
        <v>106</v>
      </c>
      <c r="DP75" s="86">
        <v>2</v>
      </c>
      <c r="DQ75" s="86">
        <v>49</v>
      </c>
      <c r="DR75" s="146">
        <v>0</v>
      </c>
      <c r="DS75" s="146">
        <v>0</v>
      </c>
      <c r="DT75" s="146">
        <v>0</v>
      </c>
      <c r="DU75" s="146">
        <v>0</v>
      </c>
      <c r="DV75" s="146">
        <v>0</v>
      </c>
      <c r="DW75" s="146">
        <v>0</v>
      </c>
      <c r="DX75" s="146">
        <v>0</v>
      </c>
      <c r="DY75" s="146">
        <v>0</v>
      </c>
      <c r="DZ75" s="146">
        <v>0</v>
      </c>
      <c r="EA75" s="146">
        <v>0</v>
      </c>
      <c r="EB75" s="146">
        <v>0</v>
      </c>
      <c r="EC75" s="146">
        <v>0</v>
      </c>
      <c r="ED75" s="146">
        <v>0</v>
      </c>
      <c r="EE75" s="146">
        <v>0</v>
      </c>
      <c r="EF75" s="146">
        <v>0</v>
      </c>
      <c r="EG75" s="146">
        <v>0</v>
      </c>
      <c r="EH75" s="146">
        <v>0</v>
      </c>
      <c r="EI75" s="146">
        <v>0</v>
      </c>
      <c r="EJ75" s="146">
        <v>0</v>
      </c>
      <c r="EK75" s="146">
        <v>0</v>
      </c>
      <c r="EL75" s="146">
        <v>0</v>
      </c>
      <c r="EM75" s="146">
        <v>0</v>
      </c>
      <c r="EN75" s="146">
        <v>0</v>
      </c>
      <c r="EO75" s="146">
        <v>0</v>
      </c>
      <c r="EP75" s="146">
        <v>0</v>
      </c>
      <c r="EQ75" s="146">
        <v>0</v>
      </c>
      <c r="ER75" s="146">
        <v>0</v>
      </c>
      <c r="ES75" s="146">
        <v>0</v>
      </c>
      <c r="ET75" s="146">
        <v>0</v>
      </c>
      <c r="EU75" s="146">
        <v>0</v>
      </c>
      <c r="EV75" s="146">
        <v>0</v>
      </c>
      <c r="EW75" s="146">
        <v>0</v>
      </c>
      <c r="EX75" s="146">
        <v>0</v>
      </c>
      <c r="EY75" s="146">
        <v>0</v>
      </c>
      <c r="EZ75" s="146">
        <v>0</v>
      </c>
      <c r="FA75" s="146">
        <v>0</v>
      </c>
      <c r="FB75" s="146">
        <v>0</v>
      </c>
      <c r="FC75" s="146">
        <v>0</v>
      </c>
      <c r="FD75" s="146">
        <v>0</v>
      </c>
      <c r="FE75" s="146">
        <v>0</v>
      </c>
      <c r="FF75" s="146">
        <v>0</v>
      </c>
      <c r="FG75" s="146">
        <v>0</v>
      </c>
      <c r="FH75" s="146">
        <v>0</v>
      </c>
      <c r="FI75" s="146">
        <v>0</v>
      </c>
      <c r="FJ75" s="146">
        <v>0</v>
      </c>
      <c r="FK75" s="146">
        <v>0</v>
      </c>
      <c r="FL75" s="146">
        <v>0</v>
      </c>
      <c r="FM75" s="146">
        <v>0</v>
      </c>
      <c r="FN75" s="146">
        <v>0</v>
      </c>
      <c r="FO75" s="146">
        <v>0</v>
      </c>
      <c r="FP75" s="146">
        <v>0</v>
      </c>
      <c r="FQ75" s="146">
        <v>0</v>
      </c>
      <c r="FR75" s="146">
        <v>0</v>
      </c>
      <c r="FS75" s="160">
        <v>0</v>
      </c>
      <c r="FT75" s="160">
        <v>0</v>
      </c>
      <c r="FU75" s="160">
        <v>0</v>
      </c>
      <c r="FV75" s="160">
        <v>0</v>
      </c>
      <c r="FW75" s="160">
        <v>0</v>
      </c>
      <c r="FX75" s="160">
        <v>0</v>
      </c>
      <c r="FY75" s="160">
        <v>0</v>
      </c>
      <c r="FZ75" s="160">
        <v>0</v>
      </c>
      <c r="GA75" s="160">
        <v>0</v>
      </c>
      <c r="GB75" s="160">
        <v>0</v>
      </c>
      <c r="GC75" s="160">
        <v>0</v>
      </c>
      <c r="GD75" s="160">
        <v>0</v>
      </c>
      <c r="GE75" s="160">
        <v>0</v>
      </c>
      <c r="GF75" s="160">
        <v>0</v>
      </c>
      <c r="GG75" s="160">
        <v>0</v>
      </c>
      <c r="GH75" s="160">
        <v>0</v>
      </c>
      <c r="GI75" s="160">
        <v>0</v>
      </c>
      <c r="GJ75" s="160">
        <v>0</v>
      </c>
      <c r="GK75" s="160">
        <v>0</v>
      </c>
      <c r="GL75" s="160">
        <v>0</v>
      </c>
      <c r="GM75" s="160">
        <v>0</v>
      </c>
      <c r="GN75" s="160">
        <v>0</v>
      </c>
      <c r="GO75" s="160">
        <v>0</v>
      </c>
      <c r="GP75" s="160">
        <v>0</v>
      </c>
      <c r="GQ75" s="160">
        <v>0</v>
      </c>
      <c r="GR75" s="160">
        <v>0</v>
      </c>
      <c r="GS75" s="160">
        <v>0</v>
      </c>
      <c r="GT75" s="160">
        <v>0</v>
      </c>
      <c r="GU75" s="160">
        <v>0</v>
      </c>
      <c r="GV75" s="160">
        <v>0</v>
      </c>
      <c r="GW75" s="160">
        <v>0</v>
      </c>
      <c r="GX75" s="160">
        <v>0</v>
      </c>
      <c r="GY75" s="160">
        <v>0</v>
      </c>
      <c r="GZ75" s="160">
        <v>0</v>
      </c>
      <c r="HA75" s="160">
        <v>0</v>
      </c>
      <c r="HB75" s="160">
        <v>0</v>
      </c>
      <c r="HC75" s="160">
        <v>0</v>
      </c>
      <c r="HD75" s="160">
        <v>0</v>
      </c>
      <c r="HE75" s="160">
        <v>0</v>
      </c>
      <c r="HF75" s="160">
        <v>0</v>
      </c>
      <c r="HG75" s="160">
        <v>0</v>
      </c>
      <c r="HH75" s="146">
        <v>0</v>
      </c>
      <c r="HI75" s="146">
        <v>0</v>
      </c>
      <c r="HJ75" s="146">
        <v>0</v>
      </c>
      <c r="HK75" s="146">
        <v>0</v>
      </c>
      <c r="HL75" s="146">
        <v>0</v>
      </c>
      <c r="HM75" s="146">
        <v>0</v>
      </c>
      <c r="HN75" s="146">
        <v>0</v>
      </c>
      <c r="HO75" s="146">
        <v>0</v>
      </c>
      <c r="HP75" s="146">
        <v>0</v>
      </c>
      <c r="HQ75" s="146">
        <v>0</v>
      </c>
      <c r="HR75" s="146">
        <v>0</v>
      </c>
      <c r="HS75" s="146">
        <v>0</v>
      </c>
      <c r="HT75" s="146">
        <v>0</v>
      </c>
      <c r="HU75" s="151"/>
      <c r="HV75" s="146">
        <v>0</v>
      </c>
      <c r="HW75" s="151"/>
      <c r="HX75" s="151"/>
      <c r="HY75" s="151"/>
      <c r="HZ75" s="151"/>
      <c r="IA75" s="151"/>
      <c r="IB75" s="151"/>
      <c r="IC75" s="151"/>
      <c r="ID75" s="151"/>
      <c r="IE75" s="151"/>
      <c r="IF75" s="151"/>
      <c r="IG75" s="151"/>
      <c r="IH75" s="151"/>
      <c r="II75" s="151"/>
      <c r="IJ75" s="151"/>
      <c r="IK75" s="151"/>
      <c r="IL75" s="151"/>
      <c r="IM75" s="151"/>
      <c r="IN75" s="151"/>
      <c r="IO75" s="151"/>
      <c r="IP75" s="151"/>
      <c r="IQ75" s="151"/>
      <c r="IR75" s="151"/>
      <c r="IS75" s="151"/>
      <c r="IT75" s="151"/>
      <c r="IU75" s="151"/>
      <c r="IV75" s="151"/>
      <c r="IW75" s="151"/>
      <c r="IX75" s="151"/>
      <c r="IY75" s="151"/>
      <c r="IZ75" s="151"/>
      <c r="JA75" s="151"/>
      <c r="JB75" s="151"/>
      <c r="JC75" s="151"/>
      <c r="JD75" s="151"/>
      <c r="JE75" s="151"/>
      <c r="JF75" s="151"/>
      <c r="JG75" s="151"/>
      <c r="JH75" s="151"/>
      <c r="JI75" s="151"/>
      <c r="JJ75" s="151"/>
      <c r="JK75" s="151"/>
      <c r="JL75" s="151"/>
      <c r="JM75" s="151"/>
      <c r="JN75" s="151"/>
      <c r="JO75" s="151"/>
      <c r="JP75" s="151"/>
      <c r="JQ75" s="151"/>
      <c r="JR75" s="151"/>
      <c r="JS75" s="151"/>
      <c r="JT75" s="151"/>
      <c r="JU75" s="151"/>
      <c r="JV75" s="151"/>
      <c r="JW75" s="151"/>
      <c r="JX75" s="151"/>
      <c r="JY75" s="151"/>
      <c r="JZ75" s="151"/>
      <c r="KA75" s="151"/>
      <c r="KB75" s="151"/>
      <c r="KC75" s="151"/>
      <c r="KD75" s="151"/>
      <c r="KE75" s="151"/>
      <c r="KF75" s="151"/>
      <c r="KG75" s="151"/>
      <c r="KH75" s="151"/>
      <c r="KI75" s="151"/>
      <c r="KJ75" s="151"/>
      <c r="KK75" s="151"/>
      <c r="KL75" s="151"/>
      <c r="KM75" s="151"/>
      <c r="KN75" s="151"/>
      <c r="KO75" s="151"/>
      <c r="KP75" s="151"/>
      <c r="KQ75" s="151"/>
      <c r="KR75" s="151"/>
      <c r="KS75" s="151"/>
      <c r="KT75" s="151"/>
      <c r="KU75" s="151"/>
      <c r="KV75" s="151"/>
      <c r="KW75" s="151"/>
      <c r="KX75" s="151"/>
      <c r="KY75" s="151"/>
      <c r="KZ75" s="151"/>
      <c r="LA75" s="151"/>
      <c r="LB75" s="151"/>
      <c r="LC75" s="151"/>
      <c r="LD75" s="151"/>
      <c r="LE75" s="151"/>
    </row>
    <row r="76" spans="1:317" x14ac:dyDescent="0.2">
      <c r="A76" s="179" t="s">
        <v>849</v>
      </c>
      <c r="B76" s="180" t="s">
        <v>975</v>
      </c>
      <c r="C76" s="181"/>
      <c r="D76" s="182">
        <v>0</v>
      </c>
      <c r="E76" s="182">
        <v>0</v>
      </c>
      <c r="F76" s="183" t="s">
        <v>1259</v>
      </c>
      <c r="G76" s="183">
        <v>0</v>
      </c>
      <c r="H76" s="183">
        <v>0</v>
      </c>
      <c r="I76" s="183">
        <v>0</v>
      </c>
      <c r="J76" s="183">
        <v>0</v>
      </c>
      <c r="K76" s="183" t="s">
        <v>1377</v>
      </c>
      <c r="L76" s="183">
        <v>0</v>
      </c>
      <c r="M76" s="183">
        <v>0</v>
      </c>
      <c r="N76" s="183" t="s">
        <v>872</v>
      </c>
      <c r="O76" s="183">
        <v>0</v>
      </c>
      <c r="P76" s="183">
        <v>0</v>
      </c>
      <c r="Q76" s="183"/>
      <c r="R76" s="183"/>
      <c r="S76" s="183"/>
      <c r="T76" s="183"/>
      <c r="U76" s="183"/>
      <c r="V76" s="183">
        <v>0</v>
      </c>
      <c r="W76" s="183">
        <v>0</v>
      </c>
      <c r="X76" s="183">
        <v>0</v>
      </c>
      <c r="Y76" s="184">
        <v>0</v>
      </c>
      <c r="Z76" s="184">
        <v>13.18</v>
      </c>
      <c r="AA76" s="184">
        <v>0</v>
      </c>
      <c r="AB76" s="185" t="s">
        <v>615</v>
      </c>
      <c r="AC76" s="185" t="s">
        <v>615</v>
      </c>
      <c r="AD76" s="186" t="s">
        <v>872</v>
      </c>
      <c r="AE76" s="186" t="s">
        <v>852</v>
      </c>
      <c r="AF76" s="187">
        <v>7</v>
      </c>
      <c r="AG76" s="187">
        <v>3</v>
      </c>
      <c r="AH76" s="187">
        <v>4</v>
      </c>
      <c r="AI76" s="188">
        <v>1</v>
      </c>
      <c r="AJ76" s="188" t="s">
        <v>617</v>
      </c>
      <c r="AK76" s="187" t="s">
        <v>1736</v>
      </c>
      <c r="AL76" s="87">
        <v>27</v>
      </c>
      <c r="AM76" s="189"/>
      <c r="AN76" s="187">
        <v>27</v>
      </c>
      <c r="AO76" s="13" t="s">
        <v>615</v>
      </c>
      <c r="AP76" s="187">
        <v>0</v>
      </c>
      <c r="AQ76" s="187">
        <v>0</v>
      </c>
      <c r="AR76" s="190">
        <v>0</v>
      </c>
      <c r="AS76" s="190">
        <v>0</v>
      </c>
      <c r="AT76" s="190">
        <v>0</v>
      </c>
      <c r="AU76" s="187">
        <v>28</v>
      </c>
      <c r="AV76" s="187">
        <v>0</v>
      </c>
      <c r="AW76" s="191"/>
      <c r="AX76" s="192"/>
      <c r="AY76" s="193">
        <v>42666</v>
      </c>
      <c r="AZ76" s="193"/>
      <c r="BA76" s="193"/>
      <c r="BB76" s="194"/>
      <c r="BC76" s="194"/>
      <c r="BD76" s="195"/>
      <c r="BE76" s="195" t="s">
        <v>532</v>
      </c>
      <c r="BF76" s="195"/>
      <c r="BG76" s="195">
        <v>20</v>
      </c>
      <c r="BH76" s="196" t="s">
        <v>547</v>
      </c>
      <c r="BI76" s="197">
        <v>1</v>
      </c>
      <c r="BJ76" s="198"/>
      <c r="BK76" s="199">
        <v>20</v>
      </c>
      <c r="BL76" s="13">
        <v>13</v>
      </c>
      <c r="BM76" s="13">
        <v>7</v>
      </c>
      <c r="BN76" s="13" t="s">
        <v>621</v>
      </c>
      <c r="BO76" s="13" t="s">
        <v>621</v>
      </c>
      <c r="BP76" s="200">
        <v>20</v>
      </c>
      <c r="BQ76" s="201"/>
      <c r="BR76" s="202"/>
      <c r="BS76" s="187">
        <v>1000000000</v>
      </c>
      <c r="BT76" s="203">
        <v>0</v>
      </c>
      <c r="BU76" s="204">
        <v>1</v>
      </c>
      <c r="BV76" s="203">
        <v>0</v>
      </c>
      <c r="BW76" s="205">
        <v>0</v>
      </c>
      <c r="BX76" s="205">
        <v>0</v>
      </c>
      <c r="BY76" s="205">
        <v>0</v>
      </c>
      <c r="BZ76" s="203">
        <v>0</v>
      </c>
      <c r="CA76" s="203">
        <v>0</v>
      </c>
      <c r="CB76" s="203">
        <v>0</v>
      </c>
      <c r="CC76" s="204">
        <v>1</v>
      </c>
      <c r="CD76" s="203">
        <v>0</v>
      </c>
      <c r="CE76" s="203">
        <v>0</v>
      </c>
      <c r="CF76" s="13">
        <v>20</v>
      </c>
      <c r="CG76" s="206">
        <v>20</v>
      </c>
      <c r="CH76" s="207">
        <v>11</v>
      </c>
      <c r="CI76" s="201"/>
      <c r="CJ76" s="208"/>
      <c r="CK76" s="209" t="s">
        <v>615</v>
      </c>
      <c r="CL76" s="210" t="s">
        <v>615</v>
      </c>
      <c r="CM76" s="207">
        <v>92.259999999999991</v>
      </c>
      <c r="CN76" s="207">
        <v>0</v>
      </c>
      <c r="CO76" s="204">
        <v>0</v>
      </c>
      <c r="CP76" s="204">
        <v>0</v>
      </c>
      <c r="CQ76" s="211"/>
      <c r="CR76" s="204">
        <v>1</v>
      </c>
      <c r="CS76" s="212">
        <v>42531</v>
      </c>
      <c r="CT76" s="212">
        <v>42780</v>
      </c>
      <c r="CU76" s="213">
        <v>42780</v>
      </c>
      <c r="CV76" s="214">
        <v>42829</v>
      </c>
      <c r="CW76" s="214" t="s">
        <v>615</v>
      </c>
      <c r="CX76" s="214" t="s">
        <v>615</v>
      </c>
      <c r="CY76" s="204">
        <v>1</v>
      </c>
      <c r="CZ76" s="204">
        <v>0.97959183673469385</v>
      </c>
      <c r="DA76" s="203">
        <v>336</v>
      </c>
      <c r="DB76" s="204">
        <v>0.97959183673469385</v>
      </c>
      <c r="DC76" s="204">
        <v>0</v>
      </c>
      <c r="DD76" s="204">
        <v>0</v>
      </c>
      <c r="DE76" s="204">
        <v>0</v>
      </c>
      <c r="DF76" s="215">
        <v>0</v>
      </c>
      <c r="DG76" s="13" t="s">
        <v>615</v>
      </c>
      <c r="DH76" s="86">
        <v>74</v>
      </c>
      <c r="DI76" s="86"/>
      <c r="DJ76" s="86">
        <v>102</v>
      </c>
      <c r="DK76" s="86" t="s">
        <v>1580</v>
      </c>
      <c r="DL76" s="86" t="e">
        <v>#N/A</v>
      </c>
      <c r="DM76" s="86" t="e">
        <v>#N/A</v>
      </c>
      <c r="DN76" s="86" t="e">
        <v>#N/A</v>
      </c>
      <c r="DO76" s="86">
        <v>105</v>
      </c>
      <c r="DP76" s="86">
        <v>2</v>
      </c>
      <c r="DQ76" s="86">
        <v>49</v>
      </c>
      <c r="DR76" s="152">
        <v>0</v>
      </c>
      <c r="DS76" s="152">
        <v>0</v>
      </c>
      <c r="DT76" s="152">
        <v>0</v>
      </c>
      <c r="DU76" s="152">
        <v>0</v>
      </c>
      <c r="DV76" s="152">
        <v>0</v>
      </c>
      <c r="DW76" s="152">
        <v>0</v>
      </c>
      <c r="DX76" s="152">
        <v>0</v>
      </c>
      <c r="DY76" s="152">
        <v>0</v>
      </c>
      <c r="DZ76" s="152">
        <v>0</v>
      </c>
      <c r="EA76" s="152">
        <v>0</v>
      </c>
      <c r="EB76" s="152">
        <v>0</v>
      </c>
      <c r="EC76" s="152">
        <v>0</v>
      </c>
      <c r="ED76" s="152">
        <v>0</v>
      </c>
      <c r="EE76" s="152">
        <v>0</v>
      </c>
      <c r="EF76" s="152">
        <v>0</v>
      </c>
      <c r="EG76" s="152">
        <v>0</v>
      </c>
      <c r="EH76" s="152">
        <v>0</v>
      </c>
      <c r="EI76" s="152">
        <v>0</v>
      </c>
      <c r="EJ76" s="152">
        <v>0</v>
      </c>
      <c r="EK76" s="152">
        <v>0</v>
      </c>
      <c r="EL76" s="152">
        <v>0</v>
      </c>
      <c r="EM76" s="152">
        <v>0</v>
      </c>
      <c r="EN76" s="152">
        <v>0</v>
      </c>
      <c r="EO76" s="152">
        <v>0</v>
      </c>
      <c r="EP76" s="152">
        <v>0</v>
      </c>
      <c r="EQ76" s="152">
        <v>0</v>
      </c>
      <c r="ER76" s="152">
        <v>0</v>
      </c>
      <c r="ES76" s="152">
        <v>0</v>
      </c>
      <c r="ET76" s="152">
        <v>0</v>
      </c>
      <c r="EU76" s="152">
        <v>0</v>
      </c>
      <c r="EV76" s="152">
        <v>0</v>
      </c>
      <c r="EW76" s="152">
        <v>0</v>
      </c>
      <c r="EX76" s="152">
        <v>0</v>
      </c>
      <c r="EY76" s="152">
        <v>0</v>
      </c>
      <c r="EZ76" s="152">
        <v>0</v>
      </c>
      <c r="FA76" s="152">
        <v>0</v>
      </c>
      <c r="FB76" s="152">
        <v>0</v>
      </c>
      <c r="FC76" s="152">
        <v>0</v>
      </c>
      <c r="FD76" s="152">
        <v>0</v>
      </c>
      <c r="FE76" s="152">
        <v>0</v>
      </c>
      <c r="FF76" s="152">
        <v>0</v>
      </c>
      <c r="FG76" s="152">
        <v>0</v>
      </c>
      <c r="FH76" s="152">
        <v>0</v>
      </c>
      <c r="FI76" s="152">
        <v>0</v>
      </c>
      <c r="FJ76" s="152">
        <v>0</v>
      </c>
      <c r="FK76" s="152">
        <v>0</v>
      </c>
      <c r="FL76" s="152">
        <v>0</v>
      </c>
      <c r="FM76" s="152">
        <v>0</v>
      </c>
      <c r="FN76" s="152">
        <v>0</v>
      </c>
      <c r="FO76" s="152">
        <v>0</v>
      </c>
      <c r="FP76" s="152">
        <v>0</v>
      </c>
      <c r="FQ76" s="152">
        <v>0</v>
      </c>
      <c r="FR76" s="152">
        <v>0</v>
      </c>
      <c r="FS76" s="166">
        <v>0</v>
      </c>
      <c r="FT76" s="166">
        <v>0</v>
      </c>
      <c r="FU76" s="166">
        <v>0</v>
      </c>
      <c r="FV76" s="166">
        <v>0</v>
      </c>
      <c r="FW76" s="166">
        <v>0</v>
      </c>
      <c r="FX76" s="166">
        <v>0</v>
      </c>
      <c r="FY76" s="166">
        <v>0</v>
      </c>
      <c r="FZ76" s="166">
        <v>0</v>
      </c>
      <c r="GA76" s="166">
        <v>0</v>
      </c>
      <c r="GB76" s="166">
        <v>0</v>
      </c>
      <c r="GC76" s="166">
        <v>0</v>
      </c>
      <c r="GD76" s="166">
        <v>0</v>
      </c>
      <c r="GE76" s="166">
        <v>0</v>
      </c>
      <c r="GF76" s="166">
        <v>0</v>
      </c>
      <c r="GG76" s="166">
        <v>0</v>
      </c>
      <c r="GH76" s="166">
        <v>0</v>
      </c>
      <c r="GI76" s="166">
        <v>0</v>
      </c>
      <c r="GJ76" s="166">
        <v>0</v>
      </c>
      <c r="GK76" s="166">
        <v>0</v>
      </c>
      <c r="GL76" s="166">
        <v>0</v>
      </c>
      <c r="GM76" s="166">
        <v>0</v>
      </c>
      <c r="GN76" s="166">
        <v>0</v>
      </c>
      <c r="GO76" s="166">
        <v>0</v>
      </c>
      <c r="GP76" s="166">
        <v>0</v>
      </c>
      <c r="GQ76" s="166">
        <v>0</v>
      </c>
      <c r="GR76" s="166">
        <v>0</v>
      </c>
      <c r="GS76" s="166">
        <v>0</v>
      </c>
      <c r="GT76" s="166">
        <v>0</v>
      </c>
      <c r="GU76" s="166">
        <v>0</v>
      </c>
      <c r="GV76" s="166">
        <v>0</v>
      </c>
      <c r="GW76" s="166">
        <v>0</v>
      </c>
      <c r="GX76" s="166">
        <v>0</v>
      </c>
      <c r="GY76" s="166">
        <v>0</v>
      </c>
      <c r="GZ76" s="166">
        <v>0</v>
      </c>
      <c r="HA76" s="166">
        <v>0</v>
      </c>
      <c r="HB76" s="166">
        <v>0</v>
      </c>
      <c r="HC76" s="166">
        <v>0</v>
      </c>
      <c r="HD76" s="166">
        <v>0</v>
      </c>
      <c r="HE76" s="166">
        <v>0</v>
      </c>
      <c r="HF76" s="166">
        <v>0</v>
      </c>
      <c r="HG76" s="166">
        <v>0</v>
      </c>
      <c r="HH76" s="166">
        <v>0</v>
      </c>
      <c r="HI76" s="166">
        <v>0</v>
      </c>
      <c r="HJ76" s="166">
        <v>0</v>
      </c>
      <c r="HK76" s="166">
        <v>0</v>
      </c>
      <c r="HL76" s="166">
        <v>0</v>
      </c>
      <c r="HM76" s="166">
        <v>0</v>
      </c>
      <c r="HN76" s="166">
        <v>0</v>
      </c>
      <c r="HO76" s="166">
        <v>0</v>
      </c>
      <c r="HP76" s="166">
        <v>0</v>
      </c>
      <c r="HQ76" s="166">
        <v>0</v>
      </c>
      <c r="HR76" s="166">
        <v>0</v>
      </c>
      <c r="HS76" s="166">
        <v>0</v>
      </c>
      <c r="HT76" s="166">
        <v>0</v>
      </c>
      <c r="HU76" s="216"/>
      <c r="HV76" s="166">
        <v>0</v>
      </c>
      <c r="HW76" s="216"/>
      <c r="HX76" s="216"/>
      <c r="HY76" s="216"/>
      <c r="HZ76" s="216"/>
      <c r="IA76" s="216"/>
      <c r="IB76" s="216"/>
      <c r="IC76" s="216"/>
      <c r="ID76" s="216"/>
      <c r="IE76" s="216"/>
      <c r="IF76" s="216"/>
      <c r="IG76" s="216"/>
      <c r="IH76" s="216"/>
      <c r="II76" s="216"/>
      <c r="IJ76" s="216"/>
      <c r="IK76" s="216"/>
      <c r="IL76" s="216"/>
      <c r="IM76" s="216"/>
      <c r="IN76" s="216"/>
      <c r="IO76" s="216"/>
      <c r="IP76" s="216"/>
      <c r="IQ76" s="216"/>
      <c r="IR76" s="216"/>
      <c r="IS76" s="216"/>
      <c r="IT76" s="216"/>
      <c r="IU76" s="216"/>
      <c r="IV76" s="216"/>
      <c r="IW76" s="216"/>
      <c r="IX76" s="216"/>
      <c r="IY76" s="216"/>
      <c r="IZ76" s="216"/>
      <c r="JA76" s="216"/>
      <c r="JB76" s="216"/>
      <c r="JC76" s="216"/>
      <c r="JD76" s="216"/>
      <c r="JE76" s="216"/>
      <c r="JF76" s="216"/>
      <c r="JG76" s="216"/>
      <c r="JH76" s="216"/>
      <c r="JI76" s="216"/>
      <c r="JJ76" s="216"/>
      <c r="JK76" s="216"/>
      <c r="JL76" s="216"/>
      <c r="JM76" s="216"/>
      <c r="JN76" s="216"/>
      <c r="JO76" s="216"/>
      <c r="JP76" s="216"/>
      <c r="JQ76" s="216"/>
      <c r="JR76" s="216"/>
      <c r="JS76" s="216"/>
      <c r="JT76" s="216"/>
      <c r="JU76" s="216"/>
      <c r="JV76" s="216"/>
      <c r="JW76" s="216"/>
      <c r="JX76" s="216"/>
      <c r="JY76" s="216"/>
      <c r="JZ76" s="216"/>
      <c r="KA76" s="216"/>
      <c r="KB76" s="216"/>
      <c r="KC76" s="216"/>
      <c r="KD76" s="216"/>
      <c r="KE76" s="216"/>
      <c r="KF76" s="216"/>
      <c r="KG76" s="216"/>
      <c r="KH76" s="216"/>
      <c r="KI76" s="216"/>
      <c r="KJ76" s="216"/>
      <c r="KK76" s="216"/>
      <c r="KL76" s="216"/>
      <c r="KM76" s="216"/>
      <c r="KN76" s="216"/>
      <c r="KO76" s="216"/>
      <c r="KP76" s="216"/>
      <c r="KQ76" s="216"/>
      <c r="KR76" s="216"/>
      <c r="KS76" s="216"/>
      <c r="KT76" s="216"/>
      <c r="KU76" s="216"/>
      <c r="KV76" s="216"/>
      <c r="KW76" s="216"/>
      <c r="KX76" s="216"/>
      <c r="KY76" s="216"/>
      <c r="KZ76" s="216"/>
      <c r="LA76" s="216"/>
      <c r="LB76" s="216"/>
      <c r="LC76" s="216"/>
      <c r="LD76" s="216"/>
      <c r="LE76" s="216"/>
    </row>
    <row r="77" spans="1:317" x14ac:dyDescent="0.2">
      <c r="A77" s="179" t="s">
        <v>849</v>
      </c>
      <c r="B77" s="180" t="s">
        <v>976</v>
      </c>
      <c r="C77" s="181"/>
      <c r="D77" s="182">
        <v>0</v>
      </c>
      <c r="E77" s="182">
        <v>0</v>
      </c>
      <c r="F77" s="183" t="s">
        <v>1260</v>
      </c>
      <c r="G77" s="183">
        <v>0</v>
      </c>
      <c r="H77" s="183">
        <v>0</v>
      </c>
      <c r="I77" s="183">
        <v>0</v>
      </c>
      <c r="J77" s="183">
        <v>0</v>
      </c>
      <c r="K77" s="183" t="s">
        <v>1377</v>
      </c>
      <c r="L77" s="183">
        <v>0</v>
      </c>
      <c r="M77" s="183">
        <v>0</v>
      </c>
      <c r="N77" s="183" t="s">
        <v>872</v>
      </c>
      <c r="O77" s="183">
        <v>0</v>
      </c>
      <c r="P77" s="183">
        <v>0</v>
      </c>
      <c r="Q77" s="183"/>
      <c r="R77" s="183"/>
      <c r="S77" s="183"/>
      <c r="T77" s="183"/>
      <c r="U77" s="183"/>
      <c r="V77" s="183">
        <v>0</v>
      </c>
      <c r="W77" s="183">
        <v>0</v>
      </c>
      <c r="X77" s="183">
        <v>0</v>
      </c>
      <c r="Y77" s="184">
        <v>0</v>
      </c>
      <c r="Z77" s="184">
        <v>13.18</v>
      </c>
      <c r="AA77" s="184">
        <v>0</v>
      </c>
      <c r="AB77" s="185" t="s">
        <v>615</v>
      </c>
      <c r="AC77" s="185" t="s">
        <v>615</v>
      </c>
      <c r="AD77" s="186" t="s">
        <v>872</v>
      </c>
      <c r="AE77" s="186" t="s">
        <v>852</v>
      </c>
      <c r="AF77" s="187">
        <v>7</v>
      </c>
      <c r="AG77" s="187">
        <v>3</v>
      </c>
      <c r="AH77" s="187">
        <v>4</v>
      </c>
      <c r="AI77" s="188">
        <v>1</v>
      </c>
      <c r="AJ77" s="188" t="s">
        <v>615</v>
      </c>
      <c r="AK77" s="187" t="s">
        <v>1736</v>
      </c>
      <c r="AL77" s="87" t="s">
        <v>615</v>
      </c>
      <c r="AM77" s="189"/>
      <c r="AN77" s="187" t="s">
        <v>615</v>
      </c>
      <c r="AO77" s="13" t="s">
        <v>615</v>
      </c>
      <c r="AP77" s="187">
        <v>0</v>
      </c>
      <c r="AQ77" s="187">
        <v>0</v>
      </c>
      <c r="AR77" s="190">
        <v>0</v>
      </c>
      <c r="AS77" s="190">
        <v>0</v>
      </c>
      <c r="AT77" s="190">
        <v>0</v>
      </c>
      <c r="AU77" s="187">
        <v>0</v>
      </c>
      <c r="AV77" s="187">
        <v>0</v>
      </c>
      <c r="AW77" s="191"/>
      <c r="AX77" s="192"/>
      <c r="AY77" s="193">
        <v>42666</v>
      </c>
      <c r="AZ77" s="193"/>
      <c r="BA77" s="193"/>
      <c r="BB77" s="194"/>
      <c r="BC77" s="194"/>
      <c r="BD77" s="195"/>
      <c r="BE77" s="195" t="s">
        <v>532</v>
      </c>
      <c r="BF77" s="195"/>
      <c r="BG77" s="195">
        <v>20</v>
      </c>
      <c r="BH77" s="196" t="s">
        <v>547</v>
      </c>
      <c r="BI77" s="197">
        <v>1</v>
      </c>
      <c r="BJ77" s="198"/>
      <c r="BK77" s="199">
        <v>0</v>
      </c>
      <c r="BL77" s="13">
        <v>0</v>
      </c>
      <c r="BM77" s="13">
        <v>0</v>
      </c>
      <c r="BN77" s="13" t="s">
        <v>616</v>
      </c>
      <c r="BO77" s="13" t="s">
        <v>616</v>
      </c>
      <c r="BP77" s="200">
        <v>20</v>
      </c>
      <c r="BQ77" s="201"/>
      <c r="BR77" s="202"/>
      <c r="BS77" s="187">
        <v>1000000000</v>
      </c>
      <c r="BT77" s="203">
        <v>0</v>
      </c>
      <c r="BU77" s="204">
        <v>0</v>
      </c>
      <c r="BV77" s="203">
        <v>0</v>
      </c>
      <c r="BW77" s="205">
        <v>0</v>
      </c>
      <c r="BX77" s="205">
        <v>0</v>
      </c>
      <c r="BY77" s="205">
        <v>0</v>
      </c>
      <c r="BZ77" s="203">
        <v>0</v>
      </c>
      <c r="CA77" s="203">
        <v>0</v>
      </c>
      <c r="CB77" s="203">
        <v>0</v>
      </c>
      <c r="CC77" s="204">
        <v>0</v>
      </c>
      <c r="CD77" s="203">
        <v>0</v>
      </c>
      <c r="CE77" s="203">
        <v>0</v>
      </c>
      <c r="CF77" s="13">
        <v>0</v>
      </c>
      <c r="CG77" s="206">
        <v>0</v>
      </c>
      <c r="CH77" s="207">
        <v>0</v>
      </c>
      <c r="CI77" s="201"/>
      <c r="CJ77" s="208"/>
      <c r="CK77" s="209" t="s">
        <v>615</v>
      </c>
      <c r="CL77" s="210" t="s">
        <v>615</v>
      </c>
      <c r="CM77" s="207">
        <v>0</v>
      </c>
      <c r="CN77" s="207">
        <v>0</v>
      </c>
      <c r="CO77" s="204">
        <v>0</v>
      </c>
      <c r="CP77" s="204">
        <v>0</v>
      </c>
      <c r="CQ77" s="211"/>
      <c r="CR77" s="204">
        <v>1</v>
      </c>
      <c r="CS77" s="212">
        <v>42531</v>
      </c>
      <c r="CT77" s="212">
        <v>42780</v>
      </c>
      <c r="CU77" s="213">
        <v>42780</v>
      </c>
      <c r="CV77" s="214">
        <v>42829</v>
      </c>
      <c r="CW77" s="214" t="s">
        <v>615</v>
      </c>
      <c r="CX77" s="214" t="s">
        <v>615</v>
      </c>
      <c r="CY77" s="204">
        <v>1</v>
      </c>
      <c r="CZ77" s="204">
        <v>0.97959183673469385</v>
      </c>
      <c r="DA77" s="203">
        <v>0</v>
      </c>
      <c r="DB77" s="204">
        <v>0.97959183673469385</v>
      </c>
      <c r="DC77" s="204">
        <v>0</v>
      </c>
      <c r="DD77" s="204">
        <v>0</v>
      </c>
      <c r="DE77" s="204">
        <v>0</v>
      </c>
      <c r="DF77" s="215">
        <v>0</v>
      </c>
      <c r="DG77" s="13" t="s">
        <v>615</v>
      </c>
      <c r="DH77" s="86">
        <v>75</v>
      </c>
      <c r="DI77" s="86"/>
      <c r="DJ77" s="86">
        <v>101</v>
      </c>
      <c r="DK77" s="86" t="s">
        <v>1579</v>
      </c>
      <c r="DL77" s="86" t="e">
        <v>#N/A</v>
      </c>
      <c r="DM77" s="86" t="e">
        <v>#N/A</v>
      </c>
      <c r="DN77" s="86" t="e">
        <v>#N/A</v>
      </c>
      <c r="DO77" s="86">
        <v>104</v>
      </c>
      <c r="DP77" s="86">
        <v>2</v>
      </c>
      <c r="DQ77" s="86">
        <v>49</v>
      </c>
      <c r="DR77" s="146">
        <v>0</v>
      </c>
      <c r="DS77" s="146">
        <v>0</v>
      </c>
      <c r="DT77" s="146">
        <v>0</v>
      </c>
      <c r="DU77" s="146">
        <v>0</v>
      </c>
      <c r="DV77" s="146">
        <v>0</v>
      </c>
      <c r="DW77" s="146">
        <v>0</v>
      </c>
      <c r="DX77" s="146">
        <v>0</v>
      </c>
      <c r="DY77" s="146">
        <v>0</v>
      </c>
      <c r="DZ77" s="146">
        <v>0</v>
      </c>
      <c r="EA77" s="146">
        <v>0</v>
      </c>
      <c r="EB77" s="146">
        <v>0</v>
      </c>
      <c r="EC77" s="146">
        <v>0</v>
      </c>
      <c r="ED77" s="146">
        <v>0</v>
      </c>
      <c r="EE77" s="146">
        <v>0</v>
      </c>
      <c r="EF77" s="146">
        <v>0</v>
      </c>
      <c r="EG77" s="146">
        <v>0</v>
      </c>
      <c r="EH77" s="146">
        <v>0</v>
      </c>
      <c r="EI77" s="146">
        <v>0</v>
      </c>
      <c r="EJ77" s="146">
        <v>0</v>
      </c>
      <c r="EK77" s="146">
        <v>0</v>
      </c>
      <c r="EL77" s="146">
        <v>0</v>
      </c>
      <c r="EM77" s="146">
        <v>0</v>
      </c>
      <c r="EN77" s="146">
        <v>0</v>
      </c>
      <c r="EO77" s="146">
        <v>0</v>
      </c>
      <c r="EP77" s="146">
        <v>0</v>
      </c>
      <c r="EQ77" s="146">
        <v>0</v>
      </c>
      <c r="ER77" s="146">
        <v>0</v>
      </c>
      <c r="ES77" s="146">
        <v>0</v>
      </c>
      <c r="ET77" s="146">
        <v>0</v>
      </c>
      <c r="EU77" s="146">
        <v>0</v>
      </c>
      <c r="EV77" s="146">
        <v>0</v>
      </c>
      <c r="EW77" s="146">
        <v>0</v>
      </c>
      <c r="EX77" s="146">
        <v>0</v>
      </c>
      <c r="EY77" s="146">
        <v>0</v>
      </c>
      <c r="EZ77" s="146">
        <v>0</v>
      </c>
      <c r="FA77" s="146">
        <v>0</v>
      </c>
      <c r="FB77" s="146">
        <v>0</v>
      </c>
      <c r="FC77" s="146">
        <v>0</v>
      </c>
      <c r="FD77" s="146">
        <v>0</v>
      </c>
      <c r="FE77" s="146">
        <v>0</v>
      </c>
      <c r="FF77" s="146">
        <v>0</v>
      </c>
      <c r="FG77" s="146">
        <v>0</v>
      </c>
      <c r="FH77" s="146">
        <v>0</v>
      </c>
      <c r="FI77" s="146">
        <v>0</v>
      </c>
      <c r="FJ77" s="146">
        <v>0</v>
      </c>
      <c r="FK77" s="146">
        <v>0</v>
      </c>
      <c r="FL77" s="146">
        <v>0</v>
      </c>
      <c r="FM77" s="146">
        <v>0</v>
      </c>
      <c r="FN77" s="146">
        <v>0</v>
      </c>
      <c r="FO77" s="146">
        <v>0</v>
      </c>
      <c r="FP77" s="146">
        <v>0</v>
      </c>
      <c r="FQ77" s="146">
        <v>0</v>
      </c>
      <c r="FR77" s="146">
        <v>0</v>
      </c>
      <c r="FS77" s="160">
        <v>0</v>
      </c>
      <c r="FT77" s="160">
        <v>0</v>
      </c>
      <c r="FU77" s="160">
        <v>0</v>
      </c>
      <c r="FV77" s="160">
        <v>0</v>
      </c>
      <c r="FW77" s="160">
        <v>0</v>
      </c>
      <c r="FX77" s="160">
        <v>0</v>
      </c>
      <c r="FY77" s="160">
        <v>0</v>
      </c>
      <c r="FZ77" s="160">
        <v>0</v>
      </c>
      <c r="GA77" s="160">
        <v>0</v>
      </c>
      <c r="GB77" s="160">
        <v>0</v>
      </c>
      <c r="GC77" s="160">
        <v>0</v>
      </c>
      <c r="GD77" s="160">
        <v>0</v>
      </c>
      <c r="GE77" s="160">
        <v>0</v>
      </c>
      <c r="GF77" s="160">
        <v>0</v>
      </c>
      <c r="GG77" s="160">
        <v>0</v>
      </c>
      <c r="GH77" s="160">
        <v>0</v>
      </c>
      <c r="GI77" s="160">
        <v>0</v>
      </c>
      <c r="GJ77" s="160">
        <v>0</v>
      </c>
      <c r="GK77" s="160">
        <v>0</v>
      </c>
      <c r="GL77" s="160">
        <v>0</v>
      </c>
      <c r="GM77" s="160">
        <v>0</v>
      </c>
      <c r="GN77" s="160">
        <v>0</v>
      </c>
      <c r="GO77" s="160">
        <v>0</v>
      </c>
      <c r="GP77" s="160">
        <v>0</v>
      </c>
      <c r="GQ77" s="160">
        <v>0</v>
      </c>
      <c r="GR77" s="160">
        <v>0</v>
      </c>
      <c r="GS77" s="160">
        <v>0</v>
      </c>
      <c r="GT77" s="160">
        <v>0</v>
      </c>
      <c r="GU77" s="160">
        <v>0</v>
      </c>
      <c r="GV77" s="160">
        <v>0</v>
      </c>
      <c r="GW77" s="160">
        <v>0</v>
      </c>
      <c r="GX77" s="160">
        <v>0</v>
      </c>
      <c r="GY77" s="160">
        <v>0</v>
      </c>
      <c r="GZ77" s="160">
        <v>0</v>
      </c>
      <c r="HA77" s="160">
        <v>0</v>
      </c>
      <c r="HB77" s="160">
        <v>0</v>
      </c>
      <c r="HC77" s="160">
        <v>0</v>
      </c>
      <c r="HD77" s="160">
        <v>0</v>
      </c>
      <c r="HE77" s="160">
        <v>0</v>
      </c>
      <c r="HF77" s="160">
        <v>0</v>
      </c>
      <c r="HG77" s="160">
        <v>0</v>
      </c>
      <c r="HH77" s="146">
        <v>0</v>
      </c>
      <c r="HI77" s="146">
        <v>0</v>
      </c>
      <c r="HJ77" s="146">
        <v>0</v>
      </c>
      <c r="HK77" s="146">
        <v>0</v>
      </c>
      <c r="HL77" s="146">
        <v>0</v>
      </c>
      <c r="HM77" s="146">
        <v>0</v>
      </c>
      <c r="HN77" s="146">
        <v>0</v>
      </c>
      <c r="HO77" s="146">
        <v>0</v>
      </c>
      <c r="HP77" s="146">
        <v>0</v>
      </c>
      <c r="HQ77" s="146">
        <v>0</v>
      </c>
      <c r="HR77" s="146">
        <v>0</v>
      </c>
      <c r="HS77" s="146">
        <v>0</v>
      </c>
      <c r="HT77" s="146">
        <v>0</v>
      </c>
      <c r="HU77" s="151"/>
      <c r="HV77" s="146">
        <v>0</v>
      </c>
      <c r="HW77" s="151"/>
      <c r="HX77" s="151"/>
      <c r="HY77" s="151"/>
      <c r="HZ77" s="151"/>
      <c r="IA77" s="151"/>
      <c r="IB77" s="151"/>
      <c r="IC77" s="151"/>
      <c r="ID77" s="151"/>
      <c r="IE77" s="151"/>
      <c r="IF77" s="151"/>
      <c r="IG77" s="151"/>
      <c r="IH77" s="151"/>
      <c r="II77" s="151"/>
      <c r="IJ77" s="151"/>
      <c r="IK77" s="151"/>
      <c r="IL77" s="151"/>
      <c r="IM77" s="151"/>
      <c r="IN77" s="151"/>
      <c r="IO77" s="151"/>
      <c r="IP77" s="151"/>
      <c r="IQ77" s="151"/>
      <c r="IR77" s="151"/>
      <c r="IS77" s="151"/>
      <c r="IT77" s="151"/>
      <c r="IU77" s="151"/>
      <c r="IV77" s="151"/>
      <c r="IW77" s="151"/>
      <c r="IX77" s="151"/>
      <c r="IY77" s="151"/>
      <c r="IZ77" s="151"/>
      <c r="JA77" s="151"/>
      <c r="JB77" s="151"/>
      <c r="JC77" s="151"/>
      <c r="JD77" s="151"/>
      <c r="JE77" s="151"/>
      <c r="JF77" s="151"/>
      <c r="JG77" s="151"/>
      <c r="JH77" s="151"/>
      <c r="JI77" s="151"/>
      <c r="JJ77" s="151"/>
      <c r="JK77" s="151"/>
      <c r="JL77" s="151"/>
      <c r="JM77" s="151"/>
      <c r="JN77" s="151"/>
      <c r="JO77" s="151"/>
      <c r="JP77" s="151"/>
      <c r="JQ77" s="151"/>
      <c r="JR77" s="151"/>
      <c r="JS77" s="151"/>
      <c r="JT77" s="151"/>
      <c r="JU77" s="151"/>
      <c r="JV77" s="151"/>
      <c r="JW77" s="151"/>
      <c r="JX77" s="151"/>
      <c r="JY77" s="151"/>
      <c r="JZ77" s="151"/>
      <c r="KA77" s="151"/>
      <c r="KB77" s="151"/>
      <c r="KC77" s="151"/>
      <c r="KD77" s="151"/>
      <c r="KE77" s="151"/>
      <c r="KF77" s="151"/>
      <c r="KG77" s="151"/>
      <c r="KH77" s="151"/>
      <c r="KI77" s="151"/>
      <c r="KJ77" s="151"/>
      <c r="KK77" s="151"/>
      <c r="KL77" s="151"/>
      <c r="KM77" s="151"/>
      <c r="KN77" s="151"/>
      <c r="KO77" s="151"/>
      <c r="KP77" s="151"/>
      <c r="KQ77" s="151"/>
      <c r="KR77" s="151"/>
      <c r="KS77" s="151"/>
      <c r="KT77" s="151"/>
      <c r="KU77" s="151"/>
      <c r="KV77" s="151"/>
      <c r="KW77" s="151"/>
      <c r="KX77" s="151"/>
      <c r="KY77" s="151"/>
      <c r="KZ77" s="151"/>
      <c r="LA77" s="151"/>
      <c r="LB77" s="151"/>
      <c r="LC77" s="151"/>
      <c r="LD77" s="151"/>
      <c r="LE77" s="151"/>
    </row>
    <row r="78" spans="1:317" x14ac:dyDescent="0.2">
      <c r="A78" s="179" t="s">
        <v>849</v>
      </c>
      <c r="B78" s="180" t="s">
        <v>977</v>
      </c>
      <c r="C78" s="181"/>
      <c r="D78" s="182">
        <v>0</v>
      </c>
      <c r="E78" s="182">
        <v>0</v>
      </c>
      <c r="F78" s="183" t="s">
        <v>1261</v>
      </c>
      <c r="G78" s="183">
        <v>0</v>
      </c>
      <c r="H78" s="183">
        <v>0</v>
      </c>
      <c r="I78" s="183">
        <v>0</v>
      </c>
      <c r="J78" s="183">
        <v>0</v>
      </c>
      <c r="K78" s="183" t="s">
        <v>1377</v>
      </c>
      <c r="L78" s="183">
        <v>0</v>
      </c>
      <c r="M78" s="183">
        <v>0</v>
      </c>
      <c r="N78" s="183" t="s">
        <v>872</v>
      </c>
      <c r="O78" s="183">
        <v>0</v>
      </c>
      <c r="P78" s="183">
        <v>0</v>
      </c>
      <c r="Q78" s="183"/>
      <c r="R78" s="183"/>
      <c r="S78" s="183"/>
      <c r="T78" s="183"/>
      <c r="U78" s="183"/>
      <c r="V78" s="183">
        <v>0</v>
      </c>
      <c r="W78" s="183">
        <v>0</v>
      </c>
      <c r="X78" s="183">
        <v>0</v>
      </c>
      <c r="Y78" s="184">
        <v>0</v>
      </c>
      <c r="Z78" s="184">
        <v>13.18</v>
      </c>
      <c r="AA78" s="184">
        <v>0</v>
      </c>
      <c r="AB78" s="185" t="s">
        <v>615</v>
      </c>
      <c r="AC78" s="185" t="s">
        <v>615</v>
      </c>
      <c r="AD78" s="186" t="s">
        <v>872</v>
      </c>
      <c r="AE78" s="186" t="s">
        <v>852</v>
      </c>
      <c r="AF78" s="187">
        <v>7</v>
      </c>
      <c r="AG78" s="187">
        <v>3</v>
      </c>
      <c r="AH78" s="187">
        <v>4</v>
      </c>
      <c r="AI78" s="188">
        <v>1</v>
      </c>
      <c r="AJ78" s="188" t="s">
        <v>615</v>
      </c>
      <c r="AK78" s="187" t="s">
        <v>1736</v>
      </c>
      <c r="AL78" s="87" t="s">
        <v>615</v>
      </c>
      <c r="AM78" s="189"/>
      <c r="AN78" s="187" t="s">
        <v>615</v>
      </c>
      <c r="AO78" s="13" t="s">
        <v>615</v>
      </c>
      <c r="AP78" s="187">
        <v>0</v>
      </c>
      <c r="AQ78" s="187">
        <v>0</v>
      </c>
      <c r="AR78" s="190">
        <v>0</v>
      </c>
      <c r="AS78" s="190">
        <v>0</v>
      </c>
      <c r="AT78" s="190">
        <v>0</v>
      </c>
      <c r="AU78" s="187">
        <v>0</v>
      </c>
      <c r="AV78" s="187">
        <v>0</v>
      </c>
      <c r="AW78" s="191"/>
      <c r="AX78" s="192"/>
      <c r="AY78" s="193">
        <v>42666</v>
      </c>
      <c r="AZ78" s="193"/>
      <c r="BA78" s="193"/>
      <c r="BB78" s="194"/>
      <c r="BC78" s="194"/>
      <c r="BD78" s="195"/>
      <c r="BE78" s="195" t="s">
        <v>532</v>
      </c>
      <c r="BF78" s="195"/>
      <c r="BG78" s="195">
        <v>20</v>
      </c>
      <c r="BH78" s="196" t="s">
        <v>547</v>
      </c>
      <c r="BI78" s="197">
        <v>1</v>
      </c>
      <c r="BJ78" s="198"/>
      <c r="BK78" s="199">
        <v>0</v>
      </c>
      <c r="BL78" s="13">
        <v>0</v>
      </c>
      <c r="BM78" s="13">
        <v>0</v>
      </c>
      <c r="BN78" s="13" t="s">
        <v>616</v>
      </c>
      <c r="BO78" s="13" t="s">
        <v>616</v>
      </c>
      <c r="BP78" s="200">
        <v>20</v>
      </c>
      <c r="BQ78" s="201"/>
      <c r="BR78" s="202"/>
      <c r="BS78" s="187">
        <v>1000000000</v>
      </c>
      <c r="BT78" s="203">
        <v>0</v>
      </c>
      <c r="BU78" s="204">
        <v>0</v>
      </c>
      <c r="BV78" s="203">
        <v>0</v>
      </c>
      <c r="BW78" s="205">
        <v>0</v>
      </c>
      <c r="BX78" s="205">
        <v>0</v>
      </c>
      <c r="BY78" s="205">
        <v>0</v>
      </c>
      <c r="BZ78" s="203">
        <v>0</v>
      </c>
      <c r="CA78" s="203">
        <v>0</v>
      </c>
      <c r="CB78" s="203">
        <v>0</v>
      </c>
      <c r="CC78" s="204">
        <v>0</v>
      </c>
      <c r="CD78" s="203">
        <v>0</v>
      </c>
      <c r="CE78" s="203">
        <v>0</v>
      </c>
      <c r="CF78" s="13">
        <v>0</v>
      </c>
      <c r="CG78" s="206">
        <v>0</v>
      </c>
      <c r="CH78" s="207">
        <v>0</v>
      </c>
      <c r="CI78" s="201"/>
      <c r="CJ78" s="208"/>
      <c r="CK78" s="209" t="s">
        <v>615</v>
      </c>
      <c r="CL78" s="210" t="s">
        <v>615</v>
      </c>
      <c r="CM78" s="207">
        <v>0</v>
      </c>
      <c r="CN78" s="207">
        <v>0</v>
      </c>
      <c r="CO78" s="204">
        <v>0</v>
      </c>
      <c r="CP78" s="204">
        <v>0</v>
      </c>
      <c r="CQ78" s="211"/>
      <c r="CR78" s="204">
        <v>1</v>
      </c>
      <c r="CS78" s="212">
        <v>42531</v>
      </c>
      <c r="CT78" s="212">
        <v>42780</v>
      </c>
      <c r="CU78" s="213">
        <v>42780</v>
      </c>
      <c r="CV78" s="214">
        <v>42829</v>
      </c>
      <c r="CW78" s="214" t="s">
        <v>615</v>
      </c>
      <c r="CX78" s="214" t="s">
        <v>615</v>
      </c>
      <c r="CY78" s="204">
        <v>1</v>
      </c>
      <c r="CZ78" s="204">
        <v>0.97959183673469385</v>
      </c>
      <c r="DA78" s="203">
        <v>0</v>
      </c>
      <c r="DB78" s="204">
        <v>0.97959183673469385</v>
      </c>
      <c r="DC78" s="204">
        <v>0</v>
      </c>
      <c r="DD78" s="204">
        <v>0</v>
      </c>
      <c r="DE78" s="204">
        <v>0</v>
      </c>
      <c r="DF78" s="215">
        <v>0</v>
      </c>
      <c r="DG78" s="13" t="s">
        <v>615</v>
      </c>
      <c r="DH78" s="86">
        <v>76</v>
      </c>
      <c r="DI78" s="86"/>
      <c r="DJ78" s="86">
        <v>100</v>
      </c>
      <c r="DK78" s="86" t="s">
        <v>1578</v>
      </c>
      <c r="DL78" s="86" t="e">
        <v>#N/A</v>
      </c>
      <c r="DM78" s="86" t="e">
        <v>#N/A</v>
      </c>
      <c r="DN78" s="86" t="e">
        <v>#N/A</v>
      </c>
      <c r="DO78" s="86">
        <v>103</v>
      </c>
      <c r="DP78" s="86">
        <v>2</v>
      </c>
      <c r="DQ78" s="86">
        <v>49</v>
      </c>
      <c r="DR78" s="152">
        <v>0</v>
      </c>
      <c r="DS78" s="152">
        <v>0</v>
      </c>
      <c r="DT78" s="152">
        <v>0</v>
      </c>
      <c r="DU78" s="152">
        <v>0</v>
      </c>
      <c r="DV78" s="152">
        <v>0</v>
      </c>
      <c r="DW78" s="152">
        <v>0</v>
      </c>
      <c r="DX78" s="152">
        <v>0</v>
      </c>
      <c r="DY78" s="152">
        <v>0</v>
      </c>
      <c r="DZ78" s="152">
        <v>0</v>
      </c>
      <c r="EA78" s="152">
        <v>0</v>
      </c>
      <c r="EB78" s="152">
        <v>0</v>
      </c>
      <c r="EC78" s="152">
        <v>0</v>
      </c>
      <c r="ED78" s="152">
        <v>0</v>
      </c>
      <c r="EE78" s="152">
        <v>0</v>
      </c>
      <c r="EF78" s="152">
        <v>0</v>
      </c>
      <c r="EG78" s="152">
        <v>0</v>
      </c>
      <c r="EH78" s="152">
        <v>0</v>
      </c>
      <c r="EI78" s="152">
        <v>0</v>
      </c>
      <c r="EJ78" s="152">
        <v>0</v>
      </c>
      <c r="EK78" s="152">
        <v>0</v>
      </c>
      <c r="EL78" s="152">
        <v>0</v>
      </c>
      <c r="EM78" s="152">
        <v>0</v>
      </c>
      <c r="EN78" s="152">
        <v>0</v>
      </c>
      <c r="EO78" s="152">
        <v>0</v>
      </c>
      <c r="EP78" s="152">
        <v>0</v>
      </c>
      <c r="EQ78" s="152">
        <v>0</v>
      </c>
      <c r="ER78" s="152">
        <v>0</v>
      </c>
      <c r="ES78" s="152">
        <v>0</v>
      </c>
      <c r="ET78" s="152">
        <v>0</v>
      </c>
      <c r="EU78" s="152">
        <v>0</v>
      </c>
      <c r="EV78" s="152">
        <v>0</v>
      </c>
      <c r="EW78" s="152">
        <v>0</v>
      </c>
      <c r="EX78" s="152">
        <v>0</v>
      </c>
      <c r="EY78" s="152">
        <v>0</v>
      </c>
      <c r="EZ78" s="152">
        <v>0</v>
      </c>
      <c r="FA78" s="152">
        <v>0</v>
      </c>
      <c r="FB78" s="152">
        <v>0</v>
      </c>
      <c r="FC78" s="152">
        <v>0</v>
      </c>
      <c r="FD78" s="152">
        <v>0</v>
      </c>
      <c r="FE78" s="152">
        <v>0</v>
      </c>
      <c r="FF78" s="152">
        <v>0</v>
      </c>
      <c r="FG78" s="152">
        <v>0</v>
      </c>
      <c r="FH78" s="152">
        <v>0</v>
      </c>
      <c r="FI78" s="152">
        <v>0</v>
      </c>
      <c r="FJ78" s="152">
        <v>0</v>
      </c>
      <c r="FK78" s="152">
        <v>0</v>
      </c>
      <c r="FL78" s="152">
        <v>0</v>
      </c>
      <c r="FM78" s="152">
        <v>0</v>
      </c>
      <c r="FN78" s="152">
        <v>0</v>
      </c>
      <c r="FO78" s="152">
        <v>0</v>
      </c>
      <c r="FP78" s="152">
        <v>0</v>
      </c>
      <c r="FQ78" s="152">
        <v>0</v>
      </c>
      <c r="FR78" s="152">
        <v>0</v>
      </c>
      <c r="FS78" s="166">
        <v>0</v>
      </c>
      <c r="FT78" s="166">
        <v>0</v>
      </c>
      <c r="FU78" s="166">
        <v>0</v>
      </c>
      <c r="FV78" s="166">
        <v>0</v>
      </c>
      <c r="FW78" s="166">
        <v>0</v>
      </c>
      <c r="FX78" s="166">
        <v>0</v>
      </c>
      <c r="FY78" s="166">
        <v>0</v>
      </c>
      <c r="FZ78" s="166">
        <v>0</v>
      </c>
      <c r="GA78" s="166">
        <v>0</v>
      </c>
      <c r="GB78" s="166">
        <v>0</v>
      </c>
      <c r="GC78" s="166">
        <v>0</v>
      </c>
      <c r="GD78" s="166">
        <v>0</v>
      </c>
      <c r="GE78" s="166">
        <v>0</v>
      </c>
      <c r="GF78" s="166">
        <v>0</v>
      </c>
      <c r="GG78" s="166">
        <v>0</v>
      </c>
      <c r="GH78" s="166">
        <v>0</v>
      </c>
      <c r="GI78" s="166">
        <v>0</v>
      </c>
      <c r="GJ78" s="166">
        <v>0</v>
      </c>
      <c r="GK78" s="166">
        <v>0</v>
      </c>
      <c r="GL78" s="166">
        <v>0</v>
      </c>
      <c r="GM78" s="166">
        <v>0</v>
      </c>
      <c r="GN78" s="166">
        <v>0</v>
      </c>
      <c r="GO78" s="166">
        <v>0</v>
      </c>
      <c r="GP78" s="166">
        <v>0</v>
      </c>
      <c r="GQ78" s="166">
        <v>0</v>
      </c>
      <c r="GR78" s="166">
        <v>0</v>
      </c>
      <c r="GS78" s="166">
        <v>0</v>
      </c>
      <c r="GT78" s="166">
        <v>0</v>
      </c>
      <c r="GU78" s="166">
        <v>0</v>
      </c>
      <c r="GV78" s="166">
        <v>0</v>
      </c>
      <c r="GW78" s="166">
        <v>0</v>
      </c>
      <c r="GX78" s="166">
        <v>0</v>
      </c>
      <c r="GY78" s="166">
        <v>0</v>
      </c>
      <c r="GZ78" s="166">
        <v>0</v>
      </c>
      <c r="HA78" s="166">
        <v>0</v>
      </c>
      <c r="HB78" s="166">
        <v>0</v>
      </c>
      <c r="HC78" s="166">
        <v>0</v>
      </c>
      <c r="HD78" s="166">
        <v>0</v>
      </c>
      <c r="HE78" s="166">
        <v>0</v>
      </c>
      <c r="HF78" s="166">
        <v>0</v>
      </c>
      <c r="HG78" s="166">
        <v>0</v>
      </c>
      <c r="HH78" s="152">
        <v>0</v>
      </c>
      <c r="HI78" s="152">
        <v>0</v>
      </c>
      <c r="HJ78" s="152">
        <v>0</v>
      </c>
      <c r="HK78" s="152">
        <v>0</v>
      </c>
      <c r="HL78" s="152">
        <v>0</v>
      </c>
      <c r="HM78" s="152">
        <v>0</v>
      </c>
      <c r="HN78" s="152">
        <v>0</v>
      </c>
      <c r="HO78" s="152">
        <v>0</v>
      </c>
      <c r="HP78" s="152">
        <v>0</v>
      </c>
      <c r="HQ78" s="152">
        <v>0</v>
      </c>
      <c r="HR78" s="152">
        <v>0</v>
      </c>
      <c r="HS78" s="152">
        <v>0</v>
      </c>
      <c r="HT78" s="152">
        <v>0</v>
      </c>
      <c r="HU78" s="216"/>
      <c r="HV78" s="152">
        <v>0</v>
      </c>
      <c r="HW78" s="216"/>
      <c r="HX78" s="216"/>
      <c r="HY78" s="216"/>
      <c r="HZ78" s="216"/>
      <c r="IA78" s="216"/>
      <c r="IB78" s="216"/>
      <c r="IC78" s="216"/>
      <c r="ID78" s="216"/>
      <c r="IE78" s="216"/>
      <c r="IF78" s="216"/>
      <c r="IG78" s="216"/>
      <c r="IH78" s="216"/>
      <c r="II78" s="216"/>
      <c r="IJ78" s="216"/>
      <c r="IK78" s="216"/>
      <c r="IL78" s="216"/>
      <c r="IM78" s="216"/>
      <c r="IN78" s="216"/>
      <c r="IO78" s="216"/>
      <c r="IP78" s="216"/>
      <c r="IQ78" s="216"/>
      <c r="IR78" s="216"/>
      <c r="IS78" s="216"/>
      <c r="IT78" s="216"/>
      <c r="IU78" s="216"/>
      <c r="IV78" s="216"/>
      <c r="IW78" s="216"/>
      <c r="IX78" s="216"/>
      <c r="IY78" s="216"/>
      <c r="IZ78" s="216"/>
      <c r="JA78" s="216"/>
      <c r="JB78" s="216"/>
      <c r="JC78" s="216"/>
      <c r="JD78" s="216"/>
      <c r="JE78" s="216"/>
      <c r="JF78" s="216"/>
      <c r="JG78" s="216"/>
      <c r="JH78" s="216"/>
      <c r="JI78" s="216"/>
      <c r="JJ78" s="216"/>
      <c r="JK78" s="216"/>
      <c r="JL78" s="216"/>
      <c r="JM78" s="216"/>
      <c r="JN78" s="216"/>
      <c r="JO78" s="216"/>
      <c r="JP78" s="216"/>
      <c r="JQ78" s="216"/>
      <c r="JR78" s="216"/>
      <c r="JS78" s="216"/>
      <c r="JT78" s="216"/>
      <c r="JU78" s="216"/>
      <c r="JV78" s="216"/>
      <c r="JW78" s="216"/>
      <c r="JX78" s="216"/>
      <c r="JY78" s="216"/>
      <c r="JZ78" s="216"/>
      <c r="KA78" s="216"/>
      <c r="KB78" s="216"/>
      <c r="KC78" s="216"/>
      <c r="KD78" s="216"/>
      <c r="KE78" s="216"/>
      <c r="KF78" s="216"/>
      <c r="KG78" s="216"/>
      <c r="KH78" s="216"/>
      <c r="KI78" s="216"/>
      <c r="KJ78" s="216"/>
      <c r="KK78" s="216"/>
      <c r="KL78" s="216"/>
      <c r="KM78" s="216"/>
      <c r="KN78" s="216"/>
      <c r="KO78" s="216"/>
      <c r="KP78" s="216"/>
      <c r="KQ78" s="216"/>
      <c r="KR78" s="216"/>
      <c r="KS78" s="216"/>
      <c r="KT78" s="216"/>
      <c r="KU78" s="216"/>
      <c r="KV78" s="216"/>
      <c r="KW78" s="216"/>
      <c r="KX78" s="216"/>
      <c r="KY78" s="216"/>
      <c r="KZ78" s="216"/>
      <c r="LA78" s="216"/>
      <c r="LB78" s="216"/>
      <c r="LC78" s="216"/>
      <c r="LD78" s="216"/>
      <c r="LE78" s="216"/>
    </row>
    <row r="79" spans="1:317" x14ac:dyDescent="0.2">
      <c r="A79" s="179" t="s">
        <v>849</v>
      </c>
      <c r="B79" s="180" t="s">
        <v>978</v>
      </c>
      <c r="C79" s="181"/>
      <c r="D79" s="182">
        <v>0</v>
      </c>
      <c r="E79" s="182">
        <v>0</v>
      </c>
      <c r="F79" s="183" t="s">
        <v>1262</v>
      </c>
      <c r="G79" s="183">
        <v>0</v>
      </c>
      <c r="H79" s="183">
        <v>0</v>
      </c>
      <c r="I79" s="183">
        <v>0</v>
      </c>
      <c r="J79" s="183">
        <v>0</v>
      </c>
      <c r="K79" s="183" t="s">
        <v>1377</v>
      </c>
      <c r="L79" s="183">
        <v>0</v>
      </c>
      <c r="M79" s="183">
        <v>0</v>
      </c>
      <c r="N79" s="183" t="s">
        <v>872</v>
      </c>
      <c r="O79" s="183">
        <v>0</v>
      </c>
      <c r="P79" s="183">
        <v>0</v>
      </c>
      <c r="Q79" s="183"/>
      <c r="R79" s="183"/>
      <c r="S79" s="183"/>
      <c r="T79" s="183"/>
      <c r="U79" s="183"/>
      <c r="V79" s="183">
        <v>0</v>
      </c>
      <c r="W79" s="183">
        <v>0</v>
      </c>
      <c r="X79" s="183">
        <v>0</v>
      </c>
      <c r="Y79" s="184">
        <v>0</v>
      </c>
      <c r="Z79" s="184">
        <v>13.18</v>
      </c>
      <c r="AA79" s="184">
        <v>0</v>
      </c>
      <c r="AB79" s="185" t="s">
        <v>615</v>
      </c>
      <c r="AC79" s="185" t="s">
        <v>615</v>
      </c>
      <c r="AD79" s="186" t="s">
        <v>872</v>
      </c>
      <c r="AE79" s="186" t="s">
        <v>852</v>
      </c>
      <c r="AF79" s="187">
        <v>7</v>
      </c>
      <c r="AG79" s="187">
        <v>3</v>
      </c>
      <c r="AH79" s="187">
        <v>4</v>
      </c>
      <c r="AI79" s="188">
        <v>1</v>
      </c>
      <c r="AJ79" s="188" t="s">
        <v>615</v>
      </c>
      <c r="AK79" s="187" t="s">
        <v>1736</v>
      </c>
      <c r="AL79" s="87" t="s">
        <v>615</v>
      </c>
      <c r="AM79" s="189"/>
      <c r="AN79" s="187" t="s">
        <v>615</v>
      </c>
      <c r="AO79" s="13" t="s">
        <v>615</v>
      </c>
      <c r="AP79" s="187">
        <v>0</v>
      </c>
      <c r="AQ79" s="187">
        <v>0</v>
      </c>
      <c r="AR79" s="190">
        <v>0</v>
      </c>
      <c r="AS79" s="190">
        <v>0</v>
      </c>
      <c r="AT79" s="190">
        <v>0</v>
      </c>
      <c r="AU79" s="187">
        <v>0</v>
      </c>
      <c r="AV79" s="187">
        <v>0</v>
      </c>
      <c r="AW79" s="191"/>
      <c r="AX79" s="192"/>
      <c r="AY79" s="193">
        <v>42666</v>
      </c>
      <c r="AZ79" s="193"/>
      <c r="BA79" s="193"/>
      <c r="BB79" s="194"/>
      <c r="BC79" s="194"/>
      <c r="BD79" s="195"/>
      <c r="BE79" s="195" t="s">
        <v>532</v>
      </c>
      <c r="BF79" s="195"/>
      <c r="BG79" s="195">
        <v>20</v>
      </c>
      <c r="BH79" s="196" t="s">
        <v>547</v>
      </c>
      <c r="BI79" s="197">
        <v>1</v>
      </c>
      <c r="BJ79" s="198"/>
      <c r="BK79" s="199">
        <v>0</v>
      </c>
      <c r="BL79" s="13">
        <v>0</v>
      </c>
      <c r="BM79" s="13">
        <v>0</v>
      </c>
      <c r="BN79" s="13" t="s">
        <v>616</v>
      </c>
      <c r="BO79" s="13" t="s">
        <v>616</v>
      </c>
      <c r="BP79" s="200">
        <v>20</v>
      </c>
      <c r="BQ79" s="201"/>
      <c r="BR79" s="202"/>
      <c r="BS79" s="187">
        <v>1000000000</v>
      </c>
      <c r="BT79" s="203">
        <v>0</v>
      </c>
      <c r="BU79" s="204">
        <v>0</v>
      </c>
      <c r="BV79" s="203">
        <v>0</v>
      </c>
      <c r="BW79" s="205">
        <v>0</v>
      </c>
      <c r="BX79" s="205">
        <v>0</v>
      </c>
      <c r="BY79" s="205">
        <v>0</v>
      </c>
      <c r="BZ79" s="203">
        <v>0</v>
      </c>
      <c r="CA79" s="203">
        <v>0</v>
      </c>
      <c r="CB79" s="203">
        <v>0</v>
      </c>
      <c r="CC79" s="204">
        <v>0</v>
      </c>
      <c r="CD79" s="203">
        <v>0</v>
      </c>
      <c r="CE79" s="203">
        <v>0</v>
      </c>
      <c r="CF79" s="13">
        <v>0</v>
      </c>
      <c r="CG79" s="206">
        <v>0</v>
      </c>
      <c r="CH79" s="207">
        <v>0</v>
      </c>
      <c r="CI79" s="201"/>
      <c r="CJ79" s="208"/>
      <c r="CK79" s="209" t="s">
        <v>615</v>
      </c>
      <c r="CL79" s="210" t="s">
        <v>615</v>
      </c>
      <c r="CM79" s="207">
        <v>0</v>
      </c>
      <c r="CN79" s="207">
        <v>0</v>
      </c>
      <c r="CO79" s="204">
        <v>0</v>
      </c>
      <c r="CP79" s="204">
        <v>0</v>
      </c>
      <c r="CQ79" s="211"/>
      <c r="CR79" s="204">
        <v>1</v>
      </c>
      <c r="CS79" s="212">
        <v>42531</v>
      </c>
      <c r="CT79" s="212">
        <v>42780</v>
      </c>
      <c r="CU79" s="213">
        <v>42780</v>
      </c>
      <c r="CV79" s="214">
        <v>42829</v>
      </c>
      <c r="CW79" s="214" t="s">
        <v>615</v>
      </c>
      <c r="CX79" s="214" t="s">
        <v>615</v>
      </c>
      <c r="CY79" s="204">
        <v>1</v>
      </c>
      <c r="CZ79" s="204">
        <v>0.97959183673469385</v>
      </c>
      <c r="DA79" s="203">
        <v>0</v>
      </c>
      <c r="DB79" s="204">
        <v>0.97959183673469385</v>
      </c>
      <c r="DC79" s="204">
        <v>0</v>
      </c>
      <c r="DD79" s="204">
        <v>0</v>
      </c>
      <c r="DE79" s="204">
        <v>0</v>
      </c>
      <c r="DF79" s="215">
        <v>0</v>
      </c>
      <c r="DG79" s="13" t="s">
        <v>615</v>
      </c>
      <c r="DH79" s="86">
        <v>77</v>
      </c>
      <c r="DI79" s="86"/>
      <c r="DJ79" s="86">
        <v>99</v>
      </c>
      <c r="DK79" s="86" t="s">
        <v>1577</v>
      </c>
      <c r="DL79" s="86" t="e">
        <v>#N/A</v>
      </c>
      <c r="DM79" s="86" t="e">
        <v>#N/A</v>
      </c>
      <c r="DN79" s="86" t="e">
        <v>#N/A</v>
      </c>
      <c r="DO79" s="86">
        <v>102</v>
      </c>
      <c r="DP79" s="86">
        <v>2</v>
      </c>
      <c r="DQ79" s="86">
        <v>49</v>
      </c>
      <c r="DR79" s="146">
        <v>0</v>
      </c>
      <c r="DS79" s="146">
        <v>0</v>
      </c>
      <c r="DT79" s="146">
        <v>0</v>
      </c>
      <c r="DU79" s="146">
        <v>0</v>
      </c>
      <c r="DV79" s="146">
        <v>0</v>
      </c>
      <c r="DW79" s="146">
        <v>0</v>
      </c>
      <c r="DX79" s="146">
        <v>0</v>
      </c>
      <c r="DY79" s="146">
        <v>0</v>
      </c>
      <c r="DZ79" s="146">
        <v>0</v>
      </c>
      <c r="EA79" s="146">
        <v>0</v>
      </c>
      <c r="EB79" s="146">
        <v>0</v>
      </c>
      <c r="EC79" s="146">
        <v>0</v>
      </c>
      <c r="ED79" s="146">
        <v>0</v>
      </c>
      <c r="EE79" s="146">
        <v>0</v>
      </c>
      <c r="EF79" s="146">
        <v>0</v>
      </c>
      <c r="EG79" s="146">
        <v>0</v>
      </c>
      <c r="EH79" s="146">
        <v>0</v>
      </c>
      <c r="EI79" s="146">
        <v>0</v>
      </c>
      <c r="EJ79" s="146">
        <v>0</v>
      </c>
      <c r="EK79" s="146">
        <v>0</v>
      </c>
      <c r="EL79" s="146">
        <v>0</v>
      </c>
      <c r="EM79" s="146">
        <v>0</v>
      </c>
      <c r="EN79" s="146">
        <v>0</v>
      </c>
      <c r="EO79" s="146">
        <v>0</v>
      </c>
      <c r="EP79" s="146">
        <v>0</v>
      </c>
      <c r="EQ79" s="146">
        <v>0</v>
      </c>
      <c r="ER79" s="146">
        <v>0</v>
      </c>
      <c r="ES79" s="146">
        <v>0</v>
      </c>
      <c r="ET79" s="146">
        <v>0</v>
      </c>
      <c r="EU79" s="146">
        <v>0</v>
      </c>
      <c r="EV79" s="146">
        <v>0</v>
      </c>
      <c r="EW79" s="146">
        <v>0</v>
      </c>
      <c r="EX79" s="146">
        <v>0</v>
      </c>
      <c r="EY79" s="146">
        <v>0</v>
      </c>
      <c r="EZ79" s="146">
        <v>0</v>
      </c>
      <c r="FA79" s="146">
        <v>0</v>
      </c>
      <c r="FB79" s="146">
        <v>0</v>
      </c>
      <c r="FC79" s="146">
        <v>0</v>
      </c>
      <c r="FD79" s="146">
        <v>0</v>
      </c>
      <c r="FE79" s="146">
        <v>0</v>
      </c>
      <c r="FF79" s="146">
        <v>0</v>
      </c>
      <c r="FG79" s="146">
        <v>0</v>
      </c>
      <c r="FH79" s="146">
        <v>0</v>
      </c>
      <c r="FI79" s="146">
        <v>0</v>
      </c>
      <c r="FJ79" s="146">
        <v>0</v>
      </c>
      <c r="FK79" s="146">
        <v>0</v>
      </c>
      <c r="FL79" s="146">
        <v>0</v>
      </c>
      <c r="FM79" s="146">
        <v>0</v>
      </c>
      <c r="FN79" s="146">
        <v>0</v>
      </c>
      <c r="FO79" s="146">
        <v>0</v>
      </c>
      <c r="FP79" s="146">
        <v>0</v>
      </c>
      <c r="FQ79" s="146">
        <v>0</v>
      </c>
      <c r="FR79" s="146">
        <v>0</v>
      </c>
      <c r="FS79" s="160">
        <v>0</v>
      </c>
      <c r="FT79" s="160">
        <v>0</v>
      </c>
      <c r="FU79" s="160">
        <v>0</v>
      </c>
      <c r="FV79" s="160">
        <v>0</v>
      </c>
      <c r="FW79" s="160">
        <v>0</v>
      </c>
      <c r="FX79" s="160">
        <v>0</v>
      </c>
      <c r="FY79" s="160">
        <v>0</v>
      </c>
      <c r="FZ79" s="160">
        <v>0</v>
      </c>
      <c r="GA79" s="160">
        <v>0</v>
      </c>
      <c r="GB79" s="160">
        <v>0</v>
      </c>
      <c r="GC79" s="160">
        <v>0</v>
      </c>
      <c r="GD79" s="160">
        <v>0</v>
      </c>
      <c r="GE79" s="160">
        <v>0</v>
      </c>
      <c r="GF79" s="160">
        <v>0</v>
      </c>
      <c r="GG79" s="160">
        <v>0</v>
      </c>
      <c r="GH79" s="160">
        <v>0</v>
      </c>
      <c r="GI79" s="160">
        <v>0</v>
      </c>
      <c r="GJ79" s="160">
        <v>0</v>
      </c>
      <c r="GK79" s="160">
        <v>0</v>
      </c>
      <c r="GL79" s="160">
        <v>0</v>
      </c>
      <c r="GM79" s="160">
        <v>0</v>
      </c>
      <c r="GN79" s="160">
        <v>0</v>
      </c>
      <c r="GO79" s="160">
        <v>0</v>
      </c>
      <c r="GP79" s="160">
        <v>0</v>
      </c>
      <c r="GQ79" s="160">
        <v>0</v>
      </c>
      <c r="GR79" s="160">
        <v>0</v>
      </c>
      <c r="GS79" s="160">
        <v>0</v>
      </c>
      <c r="GT79" s="160">
        <v>0</v>
      </c>
      <c r="GU79" s="160">
        <v>0</v>
      </c>
      <c r="GV79" s="160">
        <v>0</v>
      </c>
      <c r="GW79" s="160">
        <v>0</v>
      </c>
      <c r="GX79" s="160">
        <v>0</v>
      </c>
      <c r="GY79" s="160">
        <v>0</v>
      </c>
      <c r="GZ79" s="160">
        <v>0</v>
      </c>
      <c r="HA79" s="160">
        <v>0</v>
      </c>
      <c r="HB79" s="160">
        <v>0</v>
      </c>
      <c r="HC79" s="160">
        <v>0</v>
      </c>
      <c r="HD79" s="160">
        <v>0</v>
      </c>
      <c r="HE79" s="160">
        <v>0</v>
      </c>
      <c r="HF79" s="160">
        <v>0</v>
      </c>
      <c r="HG79" s="160">
        <v>0</v>
      </c>
      <c r="HH79" s="146">
        <v>0</v>
      </c>
      <c r="HI79" s="146">
        <v>0</v>
      </c>
      <c r="HJ79" s="146">
        <v>0</v>
      </c>
      <c r="HK79" s="146">
        <v>0</v>
      </c>
      <c r="HL79" s="146">
        <v>0</v>
      </c>
      <c r="HM79" s="146">
        <v>0</v>
      </c>
      <c r="HN79" s="146">
        <v>0</v>
      </c>
      <c r="HO79" s="146">
        <v>0</v>
      </c>
      <c r="HP79" s="146">
        <v>0</v>
      </c>
      <c r="HQ79" s="146">
        <v>0</v>
      </c>
      <c r="HR79" s="146">
        <v>0</v>
      </c>
      <c r="HS79" s="146">
        <v>0</v>
      </c>
      <c r="HT79" s="146">
        <v>0</v>
      </c>
      <c r="HU79" s="151"/>
      <c r="HV79" s="146">
        <v>0</v>
      </c>
      <c r="HW79" s="151"/>
      <c r="HX79" s="151"/>
      <c r="HY79" s="151"/>
      <c r="HZ79" s="151"/>
      <c r="IA79" s="151"/>
      <c r="IB79" s="151"/>
      <c r="IC79" s="151"/>
      <c r="ID79" s="151"/>
      <c r="IE79" s="151"/>
      <c r="IF79" s="151"/>
      <c r="IG79" s="151"/>
      <c r="IH79" s="151"/>
      <c r="II79" s="151"/>
      <c r="IJ79" s="151"/>
      <c r="IK79" s="151"/>
      <c r="IL79" s="151"/>
      <c r="IM79" s="151"/>
      <c r="IN79" s="151"/>
      <c r="IO79" s="151"/>
      <c r="IP79" s="151"/>
      <c r="IQ79" s="151"/>
      <c r="IR79" s="151"/>
      <c r="IS79" s="151"/>
      <c r="IT79" s="151"/>
      <c r="IU79" s="151"/>
      <c r="IV79" s="151"/>
      <c r="IW79" s="151"/>
      <c r="IX79" s="151"/>
      <c r="IY79" s="151"/>
      <c r="IZ79" s="151"/>
      <c r="JA79" s="151"/>
      <c r="JB79" s="151"/>
      <c r="JC79" s="151"/>
      <c r="JD79" s="151"/>
      <c r="JE79" s="151"/>
      <c r="JF79" s="151"/>
      <c r="JG79" s="151"/>
      <c r="JH79" s="151"/>
      <c r="JI79" s="151"/>
      <c r="JJ79" s="151"/>
      <c r="JK79" s="151"/>
      <c r="JL79" s="151"/>
      <c r="JM79" s="151"/>
      <c r="JN79" s="151"/>
      <c r="JO79" s="151"/>
      <c r="JP79" s="151"/>
      <c r="JQ79" s="151"/>
      <c r="JR79" s="151"/>
      <c r="JS79" s="151"/>
      <c r="JT79" s="151"/>
      <c r="JU79" s="151"/>
      <c r="JV79" s="151"/>
      <c r="JW79" s="151"/>
      <c r="JX79" s="151"/>
      <c r="JY79" s="151"/>
      <c r="JZ79" s="151"/>
      <c r="KA79" s="151"/>
      <c r="KB79" s="151"/>
      <c r="KC79" s="151"/>
      <c r="KD79" s="151"/>
      <c r="KE79" s="151"/>
      <c r="KF79" s="151"/>
      <c r="KG79" s="151"/>
      <c r="KH79" s="151"/>
      <c r="KI79" s="151"/>
      <c r="KJ79" s="151"/>
      <c r="KK79" s="151"/>
      <c r="KL79" s="151"/>
      <c r="KM79" s="151"/>
      <c r="KN79" s="151"/>
      <c r="KO79" s="151"/>
      <c r="KP79" s="151"/>
      <c r="KQ79" s="151"/>
      <c r="KR79" s="151"/>
      <c r="KS79" s="151"/>
      <c r="KT79" s="151"/>
      <c r="KU79" s="151"/>
      <c r="KV79" s="151"/>
      <c r="KW79" s="151"/>
      <c r="KX79" s="151"/>
      <c r="KY79" s="151"/>
      <c r="KZ79" s="151"/>
      <c r="LA79" s="151"/>
      <c r="LB79" s="151"/>
      <c r="LC79" s="151"/>
      <c r="LD79" s="151"/>
      <c r="LE79" s="151"/>
    </row>
    <row r="80" spans="1:317" x14ac:dyDescent="0.2">
      <c r="A80" s="179" t="s">
        <v>849</v>
      </c>
      <c r="B80" s="180" t="s">
        <v>979</v>
      </c>
      <c r="C80" s="181"/>
      <c r="D80" s="182">
        <v>0</v>
      </c>
      <c r="E80" s="182">
        <v>0</v>
      </c>
      <c r="F80" s="183" t="s">
        <v>1263</v>
      </c>
      <c r="G80" s="183">
        <v>0</v>
      </c>
      <c r="H80" s="183">
        <v>0</v>
      </c>
      <c r="I80" s="183">
        <v>0</v>
      </c>
      <c r="J80" s="183">
        <v>0</v>
      </c>
      <c r="K80" s="183" t="s">
        <v>1378</v>
      </c>
      <c r="L80" s="183">
        <v>0</v>
      </c>
      <c r="M80" s="183">
        <v>0</v>
      </c>
      <c r="N80" s="183" t="s">
        <v>872</v>
      </c>
      <c r="O80" s="183">
        <v>0</v>
      </c>
      <c r="P80" s="183">
        <v>0</v>
      </c>
      <c r="Q80" s="183"/>
      <c r="R80" s="183"/>
      <c r="S80" s="183"/>
      <c r="T80" s="183"/>
      <c r="U80" s="183"/>
      <c r="V80" s="183">
        <v>0</v>
      </c>
      <c r="W80" s="183">
        <v>0</v>
      </c>
      <c r="X80" s="183">
        <v>0</v>
      </c>
      <c r="Y80" s="184">
        <v>5.58</v>
      </c>
      <c r="Z80" s="184">
        <v>15.46</v>
      </c>
      <c r="AA80" s="184">
        <v>0</v>
      </c>
      <c r="AB80" s="185" t="s">
        <v>615</v>
      </c>
      <c r="AC80" s="185" t="s">
        <v>615</v>
      </c>
      <c r="AD80" s="186" t="s">
        <v>872</v>
      </c>
      <c r="AE80" s="186" t="s">
        <v>852</v>
      </c>
      <c r="AF80" s="187">
        <v>7</v>
      </c>
      <c r="AG80" s="187">
        <v>3</v>
      </c>
      <c r="AH80" s="187">
        <v>4</v>
      </c>
      <c r="AI80" s="188">
        <v>1</v>
      </c>
      <c r="AJ80" s="188" t="s">
        <v>617</v>
      </c>
      <c r="AK80" s="187" t="s">
        <v>1737</v>
      </c>
      <c r="AL80" s="87">
        <v>80</v>
      </c>
      <c r="AM80" s="189"/>
      <c r="AN80" s="187">
        <v>80</v>
      </c>
      <c r="AO80" s="13" t="s">
        <v>615</v>
      </c>
      <c r="AP80" s="187">
        <v>3.86</v>
      </c>
      <c r="AQ80" s="187">
        <v>41</v>
      </c>
      <c r="AR80" s="190">
        <v>3.8860103626943006</v>
      </c>
      <c r="AS80" s="190">
        <v>1.2953367875647668</v>
      </c>
      <c r="AT80" s="190">
        <v>0</v>
      </c>
      <c r="AU80" s="187">
        <v>26</v>
      </c>
      <c r="AV80" s="187">
        <v>0</v>
      </c>
      <c r="AW80" s="191"/>
      <c r="AX80" s="192"/>
      <c r="AY80" s="193">
        <v>42666</v>
      </c>
      <c r="AZ80" s="193"/>
      <c r="BA80" s="193">
        <v>42796</v>
      </c>
      <c r="BB80" s="194"/>
      <c r="BC80" s="194"/>
      <c r="BD80" s="195"/>
      <c r="BE80" s="195" t="s">
        <v>532</v>
      </c>
      <c r="BF80" s="195"/>
      <c r="BG80" s="195">
        <v>20</v>
      </c>
      <c r="BH80" s="196" t="s">
        <v>547</v>
      </c>
      <c r="BI80" s="197">
        <v>1</v>
      </c>
      <c r="BJ80" s="198"/>
      <c r="BK80" s="199">
        <v>60</v>
      </c>
      <c r="BL80" s="13">
        <v>40</v>
      </c>
      <c r="BM80" s="13">
        <v>20</v>
      </c>
      <c r="BN80" s="13" t="s">
        <v>621</v>
      </c>
      <c r="BO80" s="13" t="s">
        <v>622</v>
      </c>
      <c r="BP80" s="200">
        <v>40</v>
      </c>
      <c r="BQ80" s="201"/>
      <c r="BR80" s="202"/>
      <c r="BS80" s="187">
        <v>1000000000</v>
      </c>
      <c r="BT80" s="203">
        <v>0</v>
      </c>
      <c r="BU80" s="204">
        <v>1</v>
      </c>
      <c r="BV80" s="203">
        <v>20</v>
      </c>
      <c r="BW80" s="205">
        <v>0</v>
      </c>
      <c r="BX80" s="205">
        <v>0</v>
      </c>
      <c r="BY80" s="205">
        <v>0</v>
      </c>
      <c r="BZ80" s="203">
        <v>0</v>
      </c>
      <c r="CA80" s="203">
        <v>0</v>
      </c>
      <c r="CB80" s="203">
        <v>20</v>
      </c>
      <c r="CC80" s="204">
        <v>0.67</v>
      </c>
      <c r="CD80" s="203">
        <v>0</v>
      </c>
      <c r="CE80" s="203">
        <v>0</v>
      </c>
      <c r="CF80" s="13">
        <v>40</v>
      </c>
      <c r="CG80" s="206">
        <v>40</v>
      </c>
      <c r="CH80" s="207">
        <v>34</v>
      </c>
      <c r="CI80" s="201"/>
      <c r="CJ80" s="208"/>
      <c r="CK80" s="209" t="s">
        <v>615</v>
      </c>
      <c r="CL80" s="210" t="s">
        <v>615</v>
      </c>
      <c r="CM80" s="207">
        <v>197.60000000000002</v>
      </c>
      <c r="CN80" s="207">
        <v>0</v>
      </c>
      <c r="CO80" s="204">
        <v>0</v>
      </c>
      <c r="CP80" s="204">
        <v>12.141321044546849</v>
      </c>
      <c r="CQ80" s="211"/>
      <c r="CR80" s="204">
        <v>1</v>
      </c>
      <c r="CS80" s="212">
        <v>42709</v>
      </c>
      <c r="CT80" s="212">
        <v>42780</v>
      </c>
      <c r="CU80" s="213">
        <v>42780</v>
      </c>
      <c r="CV80" s="214">
        <v>42829</v>
      </c>
      <c r="CW80" s="214" t="s">
        <v>615</v>
      </c>
      <c r="CX80" s="214" t="s">
        <v>615</v>
      </c>
      <c r="CY80" s="204">
        <v>5.6844693234603438</v>
      </c>
      <c r="CZ80" s="204">
        <v>0.97959183673469397</v>
      </c>
      <c r="DA80" s="203">
        <v>925</v>
      </c>
      <c r="DB80" s="204">
        <v>0.93877551020408168</v>
      </c>
      <c r="DC80" s="204">
        <v>2.0408163265306121E-2</v>
      </c>
      <c r="DD80" s="204">
        <v>0</v>
      </c>
      <c r="DE80" s="204">
        <v>2.0408163265306121E-2</v>
      </c>
      <c r="DF80" s="215">
        <v>0</v>
      </c>
      <c r="DG80" s="13" t="s">
        <v>615</v>
      </c>
      <c r="DH80" s="86">
        <v>78</v>
      </c>
      <c r="DI80" s="86"/>
      <c r="DJ80" s="86">
        <v>98</v>
      </c>
      <c r="DK80" s="86" t="s">
        <v>1458</v>
      </c>
      <c r="DL80" s="86">
        <v>20</v>
      </c>
      <c r="DM80" s="86" t="e">
        <v>#N/A</v>
      </c>
      <c r="DN80" s="86" t="e">
        <v>#N/A</v>
      </c>
      <c r="DO80" s="86">
        <v>101</v>
      </c>
      <c r="DP80" s="86">
        <v>2</v>
      </c>
      <c r="DQ80" s="86">
        <v>49</v>
      </c>
      <c r="DR80" s="168">
        <v>26</v>
      </c>
      <c r="DS80" s="168">
        <v>26</v>
      </c>
      <c r="DT80" s="168">
        <v>26</v>
      </c>
      <c r="DU80" s="168">
        <v>26</v>
      </c>
      <c r="DV80" s="165">
        <v>6</v>
      </c>
      <c r="DW80" s="165">
        <v>6</v>
      </c>
      <c r="DX80" s="165">
        <v>6</v>
      </c>
      <c r="DY80" s="165">
        <v>6</v>
      </c>
      <c r="DZ80" s="165">
        <v>6</v>
      </c>
      <c r="EA80" s="165">
        <v>6</v>
      </c>
      <c r="EB80" s="165">
        <v>5</v>
      </c>
      <c r="EC80" s="165">
        <v>5</v>
      </c>
      <c r="ED80" s="165">
        <v>5</v>
      </c>
      <c r="EE80" s="165">
        <v>5</v>
      </c>
      <c r="EF80" s="165">
        <v>5</v>
      </c>
      <c r="EG80" s="165">
        <v>5</v>
      </c>
      <c r="EH80" s="165">
        <v>5</v>
      </c>
      <c r="EI80" s="165">
        <v>5</v>
      </c>
      <c r="EJ80" s="165">
        <v>5</v>
      </c>
      <c r="EK80" s="165">
        <v>5</v>
      </c>
      <c r="EL80" s="165">
        <v>5</v>
      </c>
      <c r="EM80" s="165">
        <v>5</v>
      </c>
      <c r="EN80" s="165">
        <v>5</v>
      </c>
      <c r="EO80" s="165">
        <v>5</v>
      </c>
      <c r="EP80" s="166">
        <v>0</v>
      </c>
      <c r="EQ80" s="166">
        <v>0</v>
      </c>
      <c r="ER80" s="166">
        <v>0</v>
      </c>
      <c r="ES80" s="166">
        <v>0</v>
      </c>
      <c r="ET80" s="166">
        <v>0</v>
      </c>
      <c r="EU80" s="166">
        <v>0</v>
      </c>
      <c r="EV80" s="166">
        <v>0</v>
      </c>
      <c r="EW80" s="166">
        <v>0</v>
      </c>
      <c r="EX80" s="166">
        <v>0</v>
      </c>
      <c r="EY80" s="166">
        <v>0</v>
      </c>
      <c r="EZ80" s="166">
        <v>0</v>
      </c>
      <c r="FA80" s="166">
        <v>0</v>
      </c>
      <c r="FB80" s="166">
        <v>0</v>
      </c>
      <c r="FC80" s="166">
        <v>0</v>
      </c>
      <c r="FD80" s="166">
        <v>0</v>
      </c>
      <c r="FE80" s="166">
        <v>0</v>
      </c>
      <c r="FF80" s="166">
        <v>0</v>
      </c>
      <c r="FG80" s="166">
        <v>0</v>
      </c>
      <c r="FH80" s="166">
        <v>0</v>
      </c>
      <c r="FI80" s="166">
        <v>0</v>
      </c>
      <c r="FJ80" s="166">
        <v>0</v>
      </c>
      <c r="FK80" s="166">
        <v>0</v>
      </c>
      <c r="FL80" s="166">
        <v>0</v>
      </c>
      <c r="FM80" s="166">
        <v>0</v>
      </c>
      <c r="FN80" s="166">
        <v>0</v>
      </c>
      <c r="FO80" s="166">
        <v>0</v>
      </c>
      <c r="FP80" s="166">
        <v>0</v>
      </c>
      <c r="FQ80" s="166">
        <v>0</v>
      </c>
      <c r="FR80" s="166">
        <v>0</v>
      </c>
      <c r="FS80" s="166">
        <v>0</v>
      </c>
      <c r="FT80" s="166">
        <v>0</v>
      </c>
      <c r="FU80" s="166">
        <v>0</v>
      </c>
      <c r="FV80" s="166">
        <v>0</v>
      </c>
      <c r="FW80" s="166">
        <v>0</v>
      </c>
      <c r="FX80" s="166">
        <v>0</v>
      </c>
      <c r="FY80" s="166">
        <v>0</v>
      </c>
      <c r="FZ80" s="166">
        <v>0</v>
      </c>
      <c r="GA80" s="166">
        <v>0</v>
      </c>
      <c r="GB80" s="166">
        <v>0</v>
      </c>
      <c r="GC80" s="166">
        <v>0</v>
      </c>
      <c r="GD80" s="166">
        <v>0</v>
      </c>
      <c r="GE80" s="166">
        <v>0</v>
      </c>
      <c r="GF80" s="166">
        <v>0</v>
      </c>
      <c r="GG80" s="166">
        <v>0</v>
      </c>
      <c r="GH80" s="166">
        <v>0</v>
      </c>
      <c r="GI80" s="166">
        <v>0</v>
      </c>
      <c r="GJ80" s="166">
        <v>0</v>
      </c>
      <c r="GK80" s="166">
        <v>0</v>
      </c>
      <c r="GL80" s="166">
        <v>0</v>
      </c>
      <c r="GM80" s="166">
        <v>0</v>
      </c>
      <c r="GN80" s="166">
        <v>0</v>
      </c>
      <c r="GO80" s="166">
        <v>0</v>
      </c>
      <c r="GP80" s="166">
        <v>0</v>
      </c>
      <c r="GQ80" s="166">
        <v>0</v>
      </c>
      <c r="GR80" s="166">
        <v>0</v>
      </c>
      <c r="GS80" s="166">
        <v>0</v>
      </c>
      <c r="GT80" s="166">
        <v>0</v>
      </c>
      <c r="GU80" s="166">
        <v>0</v>
      </c>
      <c r="GV80" s="166">
        <v>0</v>
      </c>
      <c r="GW80" s="166">
        <v>0</v>
      </c>
      <c r="GX80" s="166">
        <v>0</v>
      </c>
      <c r="GY80" s="166">
        <v>0</v>
      </c>
      <c r="GZ80" s="166">
        <v>0</v>
      </c>
      <c r="HA80" s="166">
        <v>0</v>
      </c>
      <c r="HB80" s="166">
        <v>0</v>
      </c>
      <c r="HC80" s="166">
        <v>0</v>
      </c>
      <c r="HD80" s="166">
        <v>0</v>
      </c>
      <c r="HE80" s="166">
        <v>0</v>
      </c>
      <c r="HF80" s="166">
        <v>0</v>
      </c>
      <c r="HG80" s="166">
        <v>0</v>
      </c>
      <c r="HH80" s="166">
        <v>0</v>
      </c>
      <c r="HI80" s="166">
        <v>0</v>
      </c>
      <c r="HJ80" s="166">
        <v>0</v>
      </c>
      <c r="HK80" s="166">
        <v>0</v>
      </c>
      <c r="HL80" s="166">
        <v>0</v>
      </c>
      <c r="HM80" s="166">
        <v>0</v>
      </c>
      <c r="HN80" s="166">
        <v>0</v>
      </c>
      <c r="HO80" s="166">
        <v>0</v>
      </c>
      <c r="HP80" s="166">
        <v>0</v>
      </c>
      <c r="HQ80" s="166">
        <v>0</v>
      </c>
      <c r="HR80" s="164">
        <v>60</v>
      </c>
      <c r="HS80" s="165">
        <v>15</v>
      </c>
      <c r="HT80" s="166">
        <v>0</v>
      </c>
      <c r="HU80" s="216"/>
      <c r="HV80" s="166">
        <v>0</v>
      </c>
      <c r="HW80" s="216"/>
      <c r="HX80" s="216"/>
      <c r="HY80" s="216"/>
      <c r="HZ80" s="216"/>
      <c r="IA80" s="216"/>
      <c r="IB80" s="216"/>
      <c r="IC80" s="216"/>
      <c r="ID80" s="216"/>
      <c r="IE80" s="216"/>
      <c r="IF80" s="216"/>
      <c r="IG80" s="216"/>
      <c r="IH80" s="216"/>
      <c r="II80" s="216"/>
      <c r="IJ80" s="216"/>
      <c r="IK80" s="216"/>
      <c r="IL80" s="216"/>
      <c r="IM80" s="216"/>
      <c r="IN80" s="216"/>
      <c r="IO80" s="216"/>
      <c r="IP80" s="216"/>
      <c r="IQ80" s="216"/>
      <c r="IR80" s="216"/>
      <c r="IS80" s="216"/>
      <c r="IT80" s="216"/>
      <c r="IU80" s="216"/>
      <c r="IV80" s="216"/>
      <c r="IW80" s="216"/>
      <c r="IX80" s="216"/>
      <c r="IY80" s="216"/>
      <c r="IZ80" s="216"/>
      <c r="JA80" s="216"/>
      <c r="JB80" s="216"/>
      <c r="JC80" s="216"/>
      <c r="JD80" s="216"/>
      <c r="JE80" s="216"/>
      <c r="JF80" s="216"/>
      <c r="JG80" s="216"/>
      <c r="JH80" s="216"/>
      <c r="JI80" s="216"/>
      <c r="JJ80" s="216"/>
      <c r="JK80" s="216"/>
      <c r="JL80" s="216"/>
      <c r="JM80" s="216"/>
      <c r="JN80" s="216"/>
      <c r="JO80" s="216"/>
      <c r="JP80" s="216"/>
      <c r="JQ80" s="216"/>
      <c r="JR80" s="216"/>
      <c r="JS80" s="216"/>
      <c r="JT80" s="216"/>
      <c r="JU80" s="216"/>
      <c r="JV80" s="216"/>
      <c r="JW80" s="216"/>
      <c r="JX80" s="216"/>
      <c r="JY80" s="216"/>
      <c r="JZ80" s="216"/>
      <c r="KA80" s="216"/>
      <c r="KB80" s="216"/>
      <c r="KC80" s="216"/>
      <c r="KD80" s="216"/>
      <c r="KE80" s="216"/>
      <c r="KF80" s="216"/>
      <c r="KG80" s="216"/>
      <c r="KH80" s="216"/>
      <c r="KI80" s="216"/>
      <c r="KJ80" s="216"/>
      <c r="KK80" s="216"/>
      <c r="KL80" s="216"/>
      <c r="KM80" s="216"/>
      <c r="KN80" s="216"/>
      <c r="KO80" s="216"/>
      <c r="KP80" s="216"/>
      <c r="KQ80" s="216"/>
      <c r="KR80" s="216"/>
      <c r="KS80" s="216"/>
      <c r="KT80" s="216"/>
      <c r="KU80" s="216"/>
      <c r="KV80" s="216"/>
      <c r="KW80" s="216"/>
      <c r="KX80" s="216"/>
      <c r="KY80" s="216"/>
      <c r="KZ80" s="216"/>
      <c r="LA80" s="216"/>
      <c r="LB80" s="216"/>
      <c r="LC80" s="216"/>
      <c r="LD80" s="216"/>
      <c r="LE80" s="216"/>
    </row>
    <row r="81" spans="1:317" x14ac:dyDescent="0.2">
      <c r="A81" s="179" t="s">
        <v>849</v>
      </c>
      <c r="B81" s="180" t="s">
        <v>980</v>
      </c>
      <c r="C81" s="181"/>
      <c r="D81" s="182">
        <v>0</v>
      </c>
      <c r="E81" s="182">
        <v>0</v>
      </c>
      <c r="F81" s="183" t="s">
        <v>1264</v>
      </c>
      <c r="G81" s="183">
        <v>0</v>
      </c>
      <c r="H81" s="183">
        <v>0</v>
      </c>
      <c r="I81" s="183">
        <v>0</v>
      </c>
      <c r="J81" s="183">
        <v>0</v>
      </c>
      <c r="K81" s="183" t="s">
        <v>1378</v>
      </c>
      <c r="L81" s="183">
        <v>0</v>
      </c>
      <c r="M81" s="183">
        <v>0</v>
      </c>
      <c r="N81" s="183" t="s">
        <v>872</v>
      </c>
      <c r="O81" s="183">
        <v>0</v>
      </c>
      <c r="P81" s="183">
        <v>0</v>
      </c>
      <c r="Q81" s="183"/>
      <c r="R81" s="183"/>
      <c r="S81" s="183"/>
      <c r="T81" s="183"/>
      <c r="U81" s="183"/>
      <c r="V81" s="183">
        <v>0</v>
      </c>
      <c r="W81" s="183">
        <v>0</v>
      </c>
      <c r="X81" s="183">
        <v>0</v>
      </c>
      <c r="Y81" s="184">
        <v>5.35</v>
      </c>
      <c r="Z81" s="184">
        <v>15.46</v>
      </c>
      <c r="AA81" s="184">
        <v>0</v>
      </c>
      <c r="AB81" s="185" t="s">
        <v>615</v>
      </c>
      <c r="AC81" s="185" t="s">
        <v>615</v>
      </c>
      <c r="AD81" s="186" t="s">
        <v>872</v>
      </c>
      <c r="AE81" s="186" t="s">
        <v>852</v>
      </c>
      <c r="AF81" s="187">
        <v>7</v>
      </c>
      <c r="AG81" s="187">
        <v>3</v>
      </c>
      <c r="AH81" s="187">
        <v>4</v>
      </c>
      <c r="AI81" s="188">
        <v>1</v>
      </c>
      <c r="AJ81" s="188" t="s">
        <v>617</v>
      </c>
      <c r="AK81" s="187" t="s">
        <v>1737</v>
      </c>
      <c r="AL81" s="87">
        <v>80</v>
      </c>
      <c r="AM81" s="189"/>
      <c r="AN81" s="187">
        <v>80</v>
      </c>
      <c r="AO81" s="13" t="s">
        <v>615</v>
      </c>
      <c r="AP81" s="187">
        <v>1.82</v>
      </c>
      <c r="AQ81" s="187">
        <v>20</v>
      </c>
      <c r="AR81" s="190">
        <v>8.2417582417582409</v>
      </c>
      <c r="AS81" s="190">
        <v>4.6703296703296706</v>
      </c>
      <c r="AT81" s="190">
        <v>0</v>
      </c>
      <c r="AU81" s="187">
        <v>20</v>
      </c>
      <c r="AV81" s="187">
        <v>0</v>
      </c>
      <c r="AW81" s="191"/>
      <c r="AX81" s="192"/>
      <c r="AY81" s="193">
        <v>42666</v>
      </c>
      <c r="AZ81" s="193"/>
      <c r="BA81" s="193"/>
      <c r="BB81" s="194"/>
      <c r="BC81" s="194"/>
      <c r="BD81" s="195"/>
      <c r="BE81" s="195" t="s">
        <v>532</v>
      </c>
      <c r="BF81" s="195"/>
      <c r="BG81" s="195">
        <v>20</v>
      </c>
      <c r="BH81" s="196" t="s">
        <v>547</v>
      </c>
      <c r="BI81" s="197">
        <v>1</v>
      </c>
      <c r="BJ81" s="198"/>
      <c r="BK81" s="199">
        <v>60</v>
      </c>
      <c r="BL81" s="13">
        <v>40</v>
      </c>
      <c r="BM81" s="13">
        <v>20</v>
      </c>
      <c r="BN81" s="13" t="s">
        <v>622</v>
      </c>
      <c r="BO81" s="13" t="s">
        <v>619</v>
      </c>
      <c r="BP81" s="200">
        <v>50</v>
      </c>
      <c r="BQ81" s="201"/>
      <c r="BR81" s="202"/>
      <c r="BS81" s="187">
        <v>1000000000</v>
      </c>
      <c r="BT81" s="203">
        <v>14</v>
      </c>
      <c r="BU81" s="204">
        <v>0.77</v>
      </c>
      <c r="BV81" s="203">
        <v>20</v>
      </c>
      <c r="BW81" s="205">
        <v>0</v>
      </c>
      <c r="BX81" s="205">
        <v>0</v>
      </c>
      <c r="BY81" s="205">
        <v>0</v>
      </c>
      <c r="BZ81" s="203">
        <v>0</v>
      </c>
      <c r="CA81" s="203">
        <v>0</v>
      </c>
      <c r="CB81" s="203">
        <v>34</v>
      </c>
      <c r="CC81" s="204">
        <v>0.43</v>
      </c>
      <c r="CD81" s="203">
        <v>0</v>
      </c>
      <c r="CE81" s="203">
        <v>0</v>
      </c>
      <c r="CF81" s="13">
        <v>26</v>
      </c>
      <c r="CG81" s="206">
        <v>20</v>
      </c>
      <c r="CH81" s="207">
        <v>34</v>
      </c>
      <c r="CI81" s="201"/>
      <c r="CJ81" s="208"/>
      <c r="CK81" s="209" t="s">
        <v>615</v>
      </c>
      <c r="CL81" s="210" t="s">
        <v>615</v>
      </c>
      <c r="CM81" s="207">
        <v>60.660000000000011</v>
      </c>
      <c r="CN81" s="207">
        <v>0</v>
      </c>
      <c r="CO81" s="204">
        <v>0</v>
      </c>
      <c r="CP81" s="204">
        <v>12.95807743658211</v>
      </c>
      <c r="CQ81" s="211"/>
      <c r="CR81" s="204">
        <v>1</v>
      </c>
      <c r="CS81" s="212">
        <v>42709</v>
      </c>
      <c r="CT81" s="212">
        <v>42780</v>
      </c>
      <c r="CU81" s="213">
        <v>42780</v>
      </c>
      <c r="CV81" s="214">
        <v>42829</v>
      </c>
      <c r="CW81" s="214" t="s">
        <v>615</v>
      </c>
      <c r="CX81" s="214" t="s">
        <v>615</v>
      </c>
      <c r="CY81" s="204">
        <v>2.0007660464917554</v>
      </c>
      <c r="CZ81" s="204">
        <v>0.97959183673469385</v>
      </c>
      <c r="DA81" s="203">
        <v>808</v>
      </c>
      <c r="DB81" s="204">
        <v>0.77551020408163263</v>
      </c>
      <c r="DC81" s="204">
        <v>0.20408163265306123</v>
      </c>
      <c r="DD81" s="204">
        <v>0</v>
      </c>
      <c r="DE81" s="204">
        <v>0</v>
      </c>
      <c r="DF81" s="215">
        <v>0</v>
      </c>
      <c r="DG81" s="13" t="s">
        <v>615</v>
      </c>
      <c r="DH81" s="86">
        <v>79</v>
      </c>
      <c r="DI81" s="86"/>
      <c r="DJ81" s="86">
        <v>97</v>
      </c>
      <c r="DK81" s="86" t="s">
        <v>1457</v>
      </c>
      <c r="DL81" s="86">
        <v>19</v>
      </c>
      <c r="DM81" s="86">
        <v>47</v>
      </c>
      <c r="DN81" s="86" t="e">
        <v>#N/A</v>
      </c>
      <c r="DO81" s="86">
        <v>100</v>
      </c>
      <c r="DP81" s="86">
        <v>2</v>
      </c>
      <c r="DQ81" s="86">
        <v>49</v>
      </c>
      <c r="DR81" s="146">
        <v>54</v>
      </c>
      <c r="DS81" s="146">
        <v>54</v>
      </c>
      <c r="DT81" s="146">
        <v>54</v>
      </c>
      <c r="DU81" s="146">
        <v>54</v>
      </c>
      <c r="DV81" s="146">
        <v>54</v>
      </c>
      <c r="DW81" s="146">
        <v>54</v>
      </c>
      <c r="DX81" s="146">
        <v>54</v>
      </c>
      <c r="DY81" s="146">
        <v>54</v>
      </c>
      <c r="DZ81" s="146">
        <v>54</v>
      </c>
      <c r="EA81" s="161">
        <v>54</v>
      </c>
      <c r="EB81" s="161">
        <v>54</v>
      </c>
      <c r="EC81" s="161">
        <v>54</v>
      </c>
      <c r="ED81" s="161">
        <v>54</v>
      </c>
      <c r="EE81" s="161">
        <v>54</v>
      </c>
      <c r="EF81" s="161">
        <v>54</v>
      </c>
      <c r="EG81" s="161">
        <v>54</v>
      </c>
      <c r="EH81" s="161">
        <v>54</v>
      </c>
      <c r="EI81" s="161">
        <v>54</v>
      </c>
      <c r="EJ81" s="161">
        <v>54</v>
      </c>
      <c r="EK81" s="161">
        <v>54</v>
      </c>
      <c r="EL81" s="161">
        <v>54</v>
      </c>
      <c r="EM81" s="161">
        <v>54</v>
      </c>
      <c r="EN81" s="161">
        <v>54</v>
      </c>
      <c r="EO81" s="161">
        <v>54</v>
      </c>
      <c r="EP81" s="161">
        <v>54</v>
      </c>
      <c r="EQ81" s="161">
        <v>54</v>
      </c>
      <c r="ER81" s="161">
        <v>54</v>
      </c>
      <c r="ES81" s="161">
        <v>54</v>
      </c>
      <c r="ET81" s="161">
        <v>54</v>
      </c>
      <c r="EU81" s="161">
        <v>54</v>
      </c>
      <c r="EV81" s="161">
        <v>54</v>
      </c>
      <c r="EW81" s="161">
        <v>54</v>
      </c>
      <c r="EX81" s="161">
        <v>54</v>
      </c>
      <c r="EY81" s="161">
        <v>54</v>
      </c>
      <c r="EZ81" s="161">
        <v>54</v>
      </c>
      <c r="FA81" s="161">
        <v>54</v>
      </c>
      <c r="FB81" s="161">
        <v>54</v>
      </c>
      <c r="FC81" s="161">
        <v>44</v>
      </c>
      <c r="FD81" s="161">
        <v>44</v>
      </c>
      <c r="FE81" s="161">
        <v>44</v>
      </c>
      <c r="FF81" s="161">
        <v>44</v>
      </c>
      <c r="FG81" s="161">
        <v>44</v>
      </c>
      <c r="FH81" s="161">
        <v>44</v>
      </c>
      <c r="FI81" s="161">
        <v>44</v>
      </c>
      <c r="FJ81" s="161">
        <v>44</v>
      </c>
      <c r="FK81" s="161">
        <v>44</v>
      </c>
      <c r="FL81" s="163">
        <v>14</v>
      </c>
      <c r="FM81" s="163">
        <v>14</v>
      </c>
      <c r="FN81" s="163">
        <v>14</v>
      </c>
      <c r="FO81" s="163">
        <v>14</v>
      </c>
      <c r="FP81" s="163">
        <v>14</v>
      </c>
      <c r="FQ81" s="163">
        <v>14</v>
      </c>
      <c r="FR81" s="163">
        <v>14</v>
      </c>
      <c r="FS81" s="163">
        <v>14</v>
      </c>
      <c r="FT81" s="163">
        <v>14</v>
      </c>
      <c r="FU81" s="163">
        <v>14</v>
      </c>
      <c r="FV81" s="163">
        <v>14</v>
      </c>
      <c r="FW81" s="163">
        <v>14</v>
      </c>
      <c r="FX81" s="163">
        <v>14</v>
      </c>
      <c r="FY81" s="163">
        <v>14</v>
      </c>
      <c r="FZ81" s="163">
        <v>14</v>
      </c>
      <c r="GA81" s="163">
        <v>14</v>
      </c>
      <c r="GB81" s="160">
        <v>0</v>
      </c>
      <c r="GC81" s="160">
        <v>0</v>
      </c>
      <c r="GD81" s="160">
        <v>0</v>
      </c>
      <c r="GE81" s="160">
        <v>0</v>
      </c>
      <c r="GF81" s="160">
        <v>0</v>
      </c>
      <c r="GG81" s="160">
        <v>0</v>
      </c>
      <c r="GH81" s="160">
        <v>0</v>
      </c>
      <c r="GI81" s="160">
        <v>0</v>
      </c>
      <c r="GJ81" s="160">
        <v>0</v>
      </c>
      <c r="GK81" s="160">
        <v>0</v>
      </c>
      <c r="GL81" s="160">
        <v>0</v>
      </c>
      <c r="GM81" s="160">
        <v>0</v>
      </c>
      <c r="GN81" s="160">
        <v>0</v>
      </c>
      <c r="GO81" s="160">
        <v>0</v>
      </c>
      <c r="GP81" s="160">
        <v>0</v>
      </c>
      <c r="GQ81" s="160">
        <v>0</v>
      </c>
      <c r="GR81" s="160">
        <v>0</v>
      </c>
      <c r="GS81" s="160">
        <v>0</v>
      </c>
      <c r="GT81" s="160">
        <v>0</v>
      </c>
      <c r="GU81" s="160">
        <v>0</v>
      </c>
      <c r="GV81" s="160">
        <v>0</v>
      </c>
      <c r="GW81" s="163">
        <v>14</v>
      </c>
      <c r="GX81" s="163">
        <v>14</v>
      </c>
      <c r="GY81" s="163">
        <v>14</v>
      </c>
      <c r="GZ81" s="163">
        <v>14</v>
      </c>
      <c r="HA81" s="160">
        <v>0</v>
      </c>
      <c r="HB81" s="160">
        <v>0</v>
      </c>
      <c r="HC81" s="160">
        <v>0</v>
      </c>
      <c r="HD81" s="160">
        <v>0</v>
      </c>
      <c r="HE81" s="160">
        <v>0</v>
      </c>
      <c r="HF81" s="160">
        <v>0</v>
      </c>
      <c r="HG81" s="160">
        <v>0</v>
      </c>
      <c r="HH81" s="160">
        <v>0</v>
      </c>
      <c r="HI81" s="160">
        <v>0</v>
      </c>
      <c r="HJ81" s="160">
        <v>0</v>
      </c>
      <c r="HK81" s="160">
        <v>0</v>
      </c>
      <c r="HL81" s="160">
        <v>0</v>
      </c>
      <c r="HM81" s="160">
        <v>0</v>
      </c>
      <c r="HN81" s="160">
        <v>0</v>
      </c>
      <c r="HO81" s="160">
        <v>0</v>
      </c>
      <c r="HP81" s="160">
        <v>0</v>
      </c>
      <c r="HQ81" s="160">
        <v>0</v>
      </c>
      <c r="HR81" s="140">
        <v>20</v>
      </c>
      <c r="HS81" s="140">
        <v>20</v>
      </c>
      <c r="HT81" s="140">
        <v>14</v>
      </c>
      <c r="HU81" s="151"/>
      <c r="HV81" s="140">
        <v>14</v>
      </c>
      <c r="HW81" s="151"/>
      <c r="HX81" s="151"/>
      <c r="HY81" s="151"/>
      <c r="HZ81" s="151"/>
      <c r="IA81" s="151"/>
      <c r="IB81" s="151"/>
      <c r="IC81" s="151"/>
      <c r="ID81" s="151"/>
      <c r="IE81" s="151"/>
      <c r="IF81" s="151"/>
      <c r="IG81" s="151"/>
      <c r="IH81" s="151"/>
      <c r="II81" s="151"/>
      <c r="IJ81" s="151"/>
      <c r="IK81" s="151"/>
      <c r="IL81" s="151"/>
      <c r="IM81" s="151"/>
      <c r="IN81" s="151"/>
      <c r="IO81" s="151"/>
      <c r="IP81" s="151"/>
      <c r="IQ81" s="151"/>
      <c r="IR81" s="151"/>
      <c r="IS81" s="151"/>
      <c r="IT81" s="151"/>
      <c r="IU81" s="151"/>
      <c r="IV81" s="151"/>
      <c r="IW81" s="151"/>
      <c r="IX81" s="151"/>
      <c r="IY81" s="151"/>
      <c r="IZ81" s="151"/>
      <c r="JA81" s="151"/>
      <c r="JB81" s="151"/>
      <c r="JC81" s="151"/>
      <c r="JD81" s="151"/>
      <c r="JE81" s="151"/>
      <c r="JF81" s="151"/>
      <c r="JG81" s="151"/>
      <c r="JH81" s="151"/>
      <c r="JI81" s="151"/>
      <c r="JJ81" s="151"/>
      <c r="JK81" s="151"/>
      <c r="JL81" s="151"/>
      <c r="JM81" s="151"/>
      <c r="JN81" s="151"/>
      <c r="JO81" s="151"/>
      <c r="JP81" s="151"/>
      <c r="JQ81" s="151"/>
      <c r="JR81" s="151"/>
      <c r="JS81" s="151"/>
      <c r="JT81" s="151"/>
      <c r="JU81" s="151"/>
      <c r="JV81" s="151"/>
      <c r="JW81" s="151"/>
      <c r="JX81" s="151"/>
      <c r="JY81" s="151"/>
      <c r="JZ81" s="151"/>
      <c r="KA81" s="151"/>
      <c r="KB81" s="151"/>
      <c r="KC81" s="151"/>
      <c r="KD81" s="151"/>
      <c r="KE81" s="151"/>
      <c r="KF81" s="151"/>
      <c r="KG81" s="151"/>
      <c r="KH81" s="151"/>
      <c r="KI81" s="151"/>
      <c r="KJ81" s="151"/>
      <c r="KK81" s="151"/>
      <c r="KL81" s="151"/>
      <c r="KM81" s="151"/>
      <c r="KN81" s="151"/>
      <c r="KO81" s="151"/>
      <c r="KP81" s="151"/>
      <c r="KQ81" s="151"/>
      <c r="KR81" s="151"/>
      <c r="KS81" s="151"/>
      <c r="KT81" s="151"/>
      <c r="KU81" s="151"/>
      <c r="KV81" s="151"/>
      <c r="KW81" s="151"/>
      <c r="KX81" s="151"/>
      <c r="KY81" s="151"/>
      <c r="KZ81" s="151"/>
      <c r="LA81" s="151"/>
      <c r="LB81" s="151"/>
      <c r="LC81" s="151"/>
      <c r="LD81" s="151"/>
      <c r="LE81" s="151"/>
    </row>
    <row r="82" spans="1:317" x14ac:dyDescent="0.2">
      <c r="A82" s="179" t="s">
        <v>849</v>
      </c>
      <c r="B82" s="180" t="s">
        <v>981</v>
      </c>
      <c r="C82" s="181"/>
      <c r="D82" s="182">
        <v>0</v>
      </c>
      <c r="E82" s="182">
        <v>0</v>
      </c>
      <c r="F82" s="183" t="s">
        <v>1265</v>
      </c>
      <c r="G82" s="183">
        <v>0</v>
      </c>
      <c r="H82" s="183">
        <v>0</v>
      </c>
      <c r="I82" s="183">
        <v>0</v>
      </c>
      <c r="J82" s="183">
        <v>0</v>
      </c>
      <c r="K82" s="183" t="s">
        <v>1378</v>
      </c>
      <c r="L82" s="183">
        <v>0</v>
      </c>
      <c r="M82" s="183">
        <v>0</v>
      </c>
      <c r="N82" s="183" t="s">
        <v>872</v>
      </c>
      <c r="O82" s="183">
        <v>0</v>
      </c>
      <c r="P82" s="183">
        <v>0</v>
      </c>
      <c r="Q82" s="183"/>
      <c r="R82" s="183"/>
      <c r="S82" s="183"/>
      <c r="T82" s="183"/>
      <c r="U82" s="183"/>
      <c r="V82" s="183">
        <v>0</v>
      </c>
      <c r="W82" s="183">
        <v>0</v>
      </c>
      <c r="X82" s="183">
        <v>0</v>
      </c>
      <c r="Y82" s="184">
        <v>5.58</v>
      </c>
      <c r="Z82" s="184">
        <v>18.440000000000001</v>
      </c>
      <c r="AA82" s="184">
        <v>0</v>
      </c>
      <c r="AB82" s="185" t="s">
        <v>615</v>
      </c>
      <c r="AC82" s="185" t="s">
        <v>615</v>
      </c>
      <c r="AD82" s="186" t="s">
        <v>872</v>
      </c>
      <c r="AE82" s="186" t="s">
        <v>852</v>
      </c>
      <c r="AF82" s="187">
        <v>7</v>
      </c>
      <c r="AG82" s="187">
        <v>3</v>
      </c>
      <c r="AH82" s="187">
        <v>4</v>
      </c>
      <c r="AI82" s="188">
        <v>1</v>
      </c>
      <c r="AJ82" s="188" t="s">
        <v>615</v>
      </c>
      <c r="AK82" s="187" t="s">
        <v>1736</v>
      </c>
      <c r="AL82" s="87" t="s">
        <v>615</v>
      </c>
      <c r="AM82" s="189"/>
      <c r="AN82" s="187" t="s">
        <v>615</v>
      </c>
      <c r="AO82" s="13" t="s">
        <v>615</v>
      </c>
      <c r="AP82" s="187">
        <v>0</v>
      </c>
      <c r="AQ82" s="187">
        <v>0</v>
      </c>
      <c r="AR82" s="190">
        <v>0</v>
      </c>
      <c r="AS82" s="190">
        <v>0</v>
      </c>
      <c r="AT82" s="190">
        <v>0</v>
      </c>
      <c r="AU82" s="187">
        <v>0</v>
      </c>
      <c r="AV82" s="187">
        <v>0</v>
      </c>
      <c r="AW82" s="191"/>
      <c r="AX82" s="192"/>
      <c r="AY82" s="193">
        <v>42666</v>
      </c>
      <c r="AZ82" s="193"/>
      <c r="BA82" s="193"/>
      <c r="BB82" s="194"/>
      <c r="BC82" s="194"/>
      <c r="BD82" s="195"/>
      <c r="BE82" s="195" t="s">
        <v>532</v>
      </c>
      <c r="BF82" s="195"/>
      <c r="BG82" s="195">
        <v>20</v>
      </c>
      <c r="BH82" s="196" t="s">
        <v>547</v>
      </c>
      <c r="BI82" s="197">
        <v>1</v>
      </c>
      <c r="BJ82" s="198"/>
      <c r="BK82" s="199">
        <v>0</v>
      </c>
      <c r="BL82" s="13">
        <v>0</v>
      </c>
      <c r="BM82" s="13">
        <v>0</v>
      </c>
      <c r="BN82" s="13" t="s">
        <v>616</v>
      </c>
      <c r="BO82" s="13" t="s">
        <v>616</v>
      </c>
      <c r="BP82" s="200">
        <v>20</v>
      </c>
      <c r="BQ82" s="201"/>
      <c r="BR82" s="202"/>
      <c r="BS82" s="187">
        <v>1000000000</v>
      </c>
      <c r="BT82" s="203">
        <v>25</v>
      </c>
      <c r="BU82" s="204">
        <v>0</v>
      </c>
      <c r="BV82" s="203">
        <v>0</v>
      </c>
      <c r="BW82" s="205">
        <v>0</v>
      </c>
      <c r="BX82" s="205">
        <v>0</v>
      </c>
      <c r="BY82" s="205">
        <v>0</v>
      </c>
      <c r="BZ82" s="203">
        <v>0</v>
      </c>
      <c r="CA82" s="203">
        <v>0</v>
      </c>
      <c r="CB82" s="203">
        <v>25</v>
      </c>
      <c r="CC82" s="204">
        <v>0</v>
      </c>
      <c r="CD82" s="203">
        <v>0</v>
      </c>
      <c r="CE82" s="203">
        <v>0</v>
      </c>
      <c r="CF82" s="13">
        <v>0</v>
      </c>
      <c r="CG82" s="206">
        <v>0</v>
      </c>
      <c r="CH82" s="207">
        <v>0</v>
      </c>
      <c r="CI82" s="201"/>
      <c r="CJ82" s="208"/>
      <c r="CK82" s="209" t="s">
        <v>615</v>
      </c>
      <c r="CL82" s="210" t="s">
        <v>615</v>
      </c>
      <c r="CM82" s="207">
        <v>0</v>
      </c>
      <c r="CN82" s="207">
        <v>0</v>
      </c>
      <c r="CO82" s="204">
        <v>0</v>
      </c>
      <c r="CP82" s="204">
        <v>0</v>
      </c>
      <c r="CQ82" s="211"/>
      <c r="CR82" s="204">
        <v>1</v>
      </c>
      <c r="CS82" s="212">
        <v>42531</v>
      </c>
      <c r="CT82" s="212">
        <v>42780</v>
      </c>
      <c r="CU82" s="213">
        <v>42780</v>
      </c>
      <c r="CV82" s="214">
        <v>42829</v>
      </c>
      <c r="CW82" s="214" t="s">
        <v>615</v>
      </c>
      <c r="CX82" s="214" t="s">
        <v>615</v>
      </c>
      <c r="CY82" s="204">
        <v>0</v>
      </c>
      <c r="CZ82" s="204">
        <v>0.97959183673469385</v>
      </c>
      <c r="DA82" s="203">
        <v>0</v>
      </c>
      <c r="DB82" s="204">
        <v>0</v>
      </c>
      <c r="DC82" s="204">
        <v>0</v>
      </c>
      <c r="DD82" s="204">
        <v>0</v>
      </c>
      <c r="DE82" s="204">
        <v>0</v>
      </c>
      <c r="DF82" s="215">
        <v>0.97959183673469385</v>
      </c>
      <c r="DG82" s="13" t="s">
        <v>615</v>
      </c>
      <c r="DH82" s="86">
        <v>80</v>
      </c>
      <c r="DI82" s="86"/>
      <c r="DJ82" s="86">
        <v>96</v>
      </c>
      <c r="DK82" s="86" t="s">
        <v>1490</v>
      </c>
      <c r="DL82" s="86" t="e">
        <v>#N/A</v>
      </c>
      <c r="DM82" s="86">
        <v>46</v>
      </c>
      <c r="DN82" s="86" t="e">
        <v>#N/A</v>
      </c>
      <c r="DO82" s="86">
        <v>99</v>
      </c>
      <c r="DP82" s="86">
        <v>2</v>
      </c>
      <c r="DQ82" s="86">
        <v>49</v>
      </c>
      <c r="DR82" s="152">
        <v>25</v>
      </c>
      <c r="DS82" s="152">
        <v>25</v>
      </c>
      <c r="DT82" s="152">
        <v>25</v>
      </c>
      <c r="DU82" s="152">
        <v>25</v>
      </c>
      <c r="DV82" s="152">
        <v>25</v>
      </c>
      <c r="DW82" s="152">
        <v>25</v>
      </c>
      <c r="DX82" s="152">
        <v>25</v>
      </c>
      <c r="DY82" s="152">
        <v>25</v>
      </c>
      <c r="DZ82" s="152">
        <v>25</v>
      </c>
      <c r="EA82" s="152">
        <v>25</v>
      </c>
      <c r="EB82" s="152">
        <v>25</v>
      </c>
      <c r="EC82" s="152">
        <v>25</v>
      </c>
      <c r="ED82" s="152">
        <v>25</v>
      </c>
      <c r="EE82" s="152">
        <v>25</v>
      </c>
      <c r="EF82" s="152">
        <v>25</v>
      </c>
      <c r="EG82" s="152">
        <v>25</v>
      </c>
      <c r="EH82" s="152">
        <v>25</v>
      </c>
      <c r="EI82" s="152">
        <v>25</v>
      </c>
      <c r="EJ82" s="152">
        <v>25</v>
      </c>
      <c r="EK82" s="152">
        <v>25</v>
      </c>
      <c r="EL82" s="152">
        <v>25</v>
      </c>
      <c r="EM82" s="152">
        <v>25</v>
      </c>
      <c r="EN82" s="152">
        <v>25</v>
      </c>
      <c r="EO82" s="152">
        <v>25</v>
      </c>
      <c r="EP82" s="152">
        <v>25</v>
      </c>
      <c r="EQ82" s="152">
        <v>25</v>
      </c>
      <c r="ER82" s="152">
        <v>25</v>
      </c>
      <c r="ES82" s="152">
        <v>25</v>
      </c>
      <c r="ET82" s="152">
        <v>25</v>
      </c>
      <c r="EU82" s="152">
        <v>25</v>
      </c>
      <c r="EV82" s="152">
        <v>25</v>
      </c>
      <c r="EW82" s="152">
        <v>25</v>
      </c>
      <c r="EX82" s="152">
        <v>25</v>
      </c>
      <c r="EY82" s="152">
        <v>25</v>
      </c>
      <c r="EZ82" s="152">
        <v>25</v>
      </c>
      <c r="FA82" s="152">
        <v>25</v>
      </c>
      <c r="FB82" s="152">
        <v>25</v>
      </c>
      <c r="FC82" s="152">
        <v>25</v>
      </c>
      <c r="FD82" s="152">
        <v>25</v>
      </c>
      <c r="FE82" s="152">
        <v>25</v>
      </c>
      <c r="FF82" s="152">
        <v>25</v>
      </c>
      <c r="FG82" s="152">
        <v>25</v>
      </c>
      <c r="FH82" s="152">
        <v>25</v>
      </c>
      <c r="FI82" s="152">
        <v>25</v>
      </c>
      <c r="FJ82" s="152">
        <v>25</v>
      </c>
      <c r="FK82" s="152">
        <v>25</v>
      </c>
      <c r="FL82" s="152">
        <v>25</v>
      </c>
      <c r="FM82" s="152">
        <v>25</v>
      </c>
      <c r="FN82" s="152">
        <v>25</v>
      </c>
      <c r="FO82" s="152">
        <v>25</v>
      </c>
      <c r="FP82" s="152">
        <v>25</v>
      </c>
      <c r="FQ82" s="152">
        <v>25</v>
      </c>
      <c r="FR82" s="152">
        <v>25</v>
      </c>
      <c r="FS82" s="167">
        <v>25</v>
      </c>
      <c r="FT82" s="167">
        <v>25</v>
      </c>
      <c r="FU82" s="167">
        <v>25</v>
      </c>
      <c r="FV82" s="167">
        <v>25</v>
      </c>
      <c r="FW82" s="167">
        <v>25</v>
      </c>
      <c r="FX82" s="167">
        <v>25</v>
      </c>
      <c r="FY82" s="167">
        <v>25</v>
      </c>
      <c r="FZ82" s="167">
        <v>25</v>
      </c>
      <c r="GA82" s="167">
        <v>25</v>
      </c>
      <c r="GB82" s="167">
        <v>25</v>
      </c>
      <c r="GC82" s="167">
        <v>25</v>
      </c>
      <c r="GD82" s="167">
        <v>25</v>
      </c>
      <c r="GE82" s="167">
        <v>25</v>
      </c>
      <c r="GF82" s="167">
        <v>25</v>
      </c>
      <c r="GG82" s="167">
        <v>25</v>
      </c>
      <c r="GH82" s="167">
        <v>25</v>
      </c>
      <c r="GI82" s="167">
        <v>25</v>
      </c>
      <c r="GJ82" s="167">
        <v>25</v>
      </c>
      <c r="GK82" s="167">
        <v>25</v>
      </c>
      <c r="GL82" s="167">
        <v>25</v>
      </c>
      <c r="GM82" s="167">
        <v>25</v>
      </c>
      <c r="GN82" s="167">
        <v>25</v>
      </c>
      <c r="GO82" s="167">
        <v>25</v>
      </c>
      <c r="GP82" s="167">
        <v>25</v>
      </c>
      <c r="GQ82" s="167">
        <v>25</v>
      </c>
      <c r="GR82" s="167">
        <v>25</v>
      </c>
      <c r="GS82" s="167">
        <v>25</v>
      </c>
      <c r="GT82" s="167">
        <v>25</v>
      </c>
      <c r="GU82" s="167">
        <v>25</v>
      </c>
      <c r="GV82" s="167">
        <v>25</v>
      </c>
      <c r="GW82" s="167">
        <v>25</v>
      </c>
      <c r="GX82" s="167">
        <v>25</v>
      </c>
      <c r="GY82" s="167">
        <v>25</v>
      </c>
      <c r="GZ82" s="167">
        <v>25</v>
      </c>
      <c r="HA82" s="167">
        <v>25</v>
      </c>
      <c r="HB82" s="167">
        <v>25</v>
      </c>
      <c r="HC82" s="167">
        <v>25</v>
      </c>
      <c r="HD82" s="167">
        <v>25</v>
      </c>
      <c r="HE82" s="167">
        <v>25</v>
      </c>
      <c r="HF82" s="167">
        <v>25</v>
      </c>
      <c r="HG82" s="167">
        <v>25</v>
      </c>
      <c r="HH82" s="167">
        <v>25</v>
      </c>
      <c r="HI82" s="152">
        <v>25</v>
      </c>
      <c r="HJ82" s="152">
        <v>25</v>
      </c>
      <c r="HK82" s="152">
        <v>25</v>
      </c>
      <c r="HL82" s="152">
        <v>25</v>
      </c>
      <c r="HM82" s="152">
        <v>25</v>
      </c>
      <c r="HN82" s="152">
        <v>25</v>
      </c>
      <c r="HO82" s="152">
        <v>25</v>
      </c>
      <c r="HP82" s="152">
        <v>25</v>
      </c>
      <c r="HQ82" s="152">
        <v>25</v>
      </c>
      <c r="HR82" s="152">
        <v>25</v>
      </c>
      <c r="HS82" s="152">
        <v>25</v>
      </c>
      <c r="HT82" s="152">
        <v>25</v>
      </c>
      <c r="HU82" s="216"/>
      <c r="HV82" s="152">
        <v>25</v>
      </c>
      <c r="HW82" s="216"/>
      <c r="HX82" s="216"/>
      <c r="HY82" s="216"/>
      <c r="HZ82" s="216"/>
      <c r="IA82" s="216"/>
      <c r="IB82" s="216"/>
      <c r="IC82" s="216"/>
      <c r="ID82" s="216"/>
      <c r="IE82" s="216"/>
      <c r="IF82" s="216"/>
      <c r="IG82" s="216"/>
      <c r="IH82" s="216"/>
      <c r="II82" s="216"/>
      <c r="IJ82" s="216"/>
      <c r="IK82" s="216"/>
      <c r="IL82" s="216"/>
      <c r="IM82" s="216"/>
      <c r="IN82" s="216"/>
      <c r="IO82" s="216"/>
      <c r="IP82" s="216"/>
      <c r="IQ82" s="216"/>
      <c r="IR82" s="216"/>
      <c r="IS82" s="216"/>
      <c r="IT82" s="216"/>
      <c r="IU82" s="216"/>
      <c r="IV82" s="216"/>
      <c r="IW82" s="216"/>
      <c r="IX82" s="216"/>
      <c r="IY82" s="216"/>
      <c r="IZ82" s="216"/>
      <c r="JA82" s="216"/>
      <c r="JB82" s="216"/>
      <c r="JC82" s="216"/>
      <c r="JD82" s="216"/>
      <c r="JE82" s="216"/>
      <c r="JF82" s="216"/>
      <c r="JG82" s="216"/>
      <c r="JH82" s="216"/>
      <c r="JI82" s="216"/>
      <c r="JJ82" s="216"/>
      <c r="JK82" s="216"/>
      <c r="JL82" s="216"/>
      <c r="JM82" s="216"/>
      <c r="JN82" s="216"/>
      <c r="JO82" s="216"/>
      <c r="JP82" s="216"/>
      <c r="JQ82" s="216"/>
      <c r="JR82" s="216"/>
      <c r="JS82" s="216"/>
      <c r="JT82" s="216"/>
      <c r="JU82" s="216"/>
      <c r="JV82" s="216"/>
      <c r="JW82" s="216"/>
      <c r="JX82" s="216"/>
      <c r="JY82" s="216"/>
      <c r="JZ82" s="216"/>
      <c r="KA82" s="216"/>
      <c r="KB82" s="216"/>
      <c r="KC82" s="216"/>
      <c r="KD82" s="216"/>
      <c r="KE82" s="216"/>
      <c r="KF82" s="216"/>
      <c r="KG82" s="216"/>
      <c r="KH82" s="216"/>
      <c r="KI82" s="216"/>
      <c r="KJ82" s="216"/>
      <c r="KK82" s="216"/>
      <c r="KL82" s="216"/>
      <c r="KM82" s="216"/>
      <c r="KN82" s="216"/>
      <c r="KO82" s="216"/>
      <c r="KP82" s="216"/>
      <c r="KQ82" s="216"/>
      <c r="KR82" s="216"/>
      <c r="KS82" s="216"/>
      <c r="KT82" s="216"/>
      <c r="KU82" s="216"/>
      <c r="KV82" s="216"/>
      <c r="KW82" s="216"/>
      <c r="KX82" s="216"/>
      <c r="KY82" s="216"/>
      <c r="KZ82" s="216"/>
      <c r="LA82" s="216"/>
      <c r="LB82" s="216"/>
      <c r="LC82" s="216"/>
      <c r="LD82" s="216"/>
      <c r="LE82" s="216"/>
    </row>
    <row r="83" spans="1:317" x14ac:dyDescent="0.2">
      <c r="A83" s="179" t="s">
        <v>849</v>
      </c>
      <c r="B83" s="180" t="s">
        <v>982</v>
      </c>
      <c r="C83" s="181"/>
      <c r="D83" s="182">
        <v>0</v>
      </c>
      <c r="E83" s="182">
        <v>0</v>
      </c>
      <c r="F83" s="183" t="s">
        <v>1266</v>
      </c>
      <c r="G83" s="183">
        <v>0</v>
      </c>
      <c r="H83" s="183">
        <v>0</v>
      </c>
      <c r="I83" s="183">
        <v>0</v>
      </c>
      <c r="J83" s="183">
        <v>0</v>
      </c>
      <c r="K83" s="183" t="s">
        <v>1378</v>
      </c>
      <c r="L83" s="183">
        <v>0</v>
      </c>
      <c r="M83" s="183">
        <v>0</v>
      </c>
      <c r="N83" s="183" t="s">
        <v>872</v>
      </c>
      <c r="O83" s="183">
        <v>0</v>
      </c>
      <c r="P83" s="183">
        <v>0</v>
      </c>
      <c r="Q83" s="183"/>
      <c r="R83" s="183"/>
      <c r="S83" s="183"/>
      <c r="T83" s="183"/>
      <c r="U83" s="183"/>
      <c r="V83" s="183">
        <v>0</v>
      </c>
      <c r="W83" s="183">
        <v>0</v>
      </c>
      <c r="X83" s="183">
        <v>0</v>
      </c>
      <c r="Y83" s="184">
        <v>6.39</v>
      </c>
      <c r="Z83" s="184">
        <v>15.46</v>
      </c>
      <c r="AA83" s="184">
        <v>0</v>
      </c>
      <c r="AB83" s="185" t="s">
        <v>615</v>
      </c>
      <c r="AC83" s="185" t="s">
        <v>615</v>
      </c>
      <c r="AD83" s="186" t="s">
        <v>872</v>
      </c>
      <c r="AE83" s="186" t="s">
        <v>852</v>
      </c>
      <c r="AF83" s="187">
        <v>7</v>
      </c>
      <c r="AG83" s="187">
        <v>3</v>
      </c>
      <c r="AH83" s="187">
        <v>4</v>
      </c>
      <c r="AI83" s="188">
        <v>1</v>
      </c>
      <c r="AJ83" s="188" t="s">
        <v>615</v>
      </c>
      <c r="AK83" s="187" t="s">
        <v>1737</v>
      </c>
      <c r="AL83" s="87" t="s">
        <v>615</v>
      </c>
      <c r="AM83" s="189"/>
      <c r="AN83" s="187" t="s">
        <v>615</v>
      </c>
      <c r="AO83" s="13" t="s">
        <v>615</v>
      </c>
      <c r="AP83" s="187">
        <v>0</v>
      </c>
      <c r="AQ83" s="187">
        <v>0</v>
      </c>
      <c r="AR83" s="190">
        <v>0</v>
      </c>
      <c r="AS83" s="190">
        <v>0</v>
      </c>
      <c r="AT83" s="190">
        <v>0</v>
      </c>
      <c r="AU83" s="187">
        <v>0</v>
      </c>
      <c r="AV83" s="187">
        <v>0</v>
      </c>
      <c r="AW83" s="191"/>
      <c r="AX83" s="192"/>
      <c r="AY83" s="193">
        <v>42840</v>
      </c>
      <c r="AZ83" s="193"/>
      <c r="BA83" s="193"/>
      <c r="BB83" s="194"/>
      <c r="BC83" s="194"/>
      <c r="BD83" s="195"/>
      <c r="BE83" s="195" t="s">
        <v>532</v>
      </c>
      <c r="BF83" s="195"/>
      <c r="BG83" s="195">
        <v>20</v>
      </c>
      <c r="BH83" s="196" t="s">
        <v>547</v>
      </c>
      <c r="BI83" s="197">
        <v>1</v>
      </c>
      <c r="BJ83" s="198"/>
      <c r="BK83" s="199">
        <v>20</v>
      </c>
      <c r="BL83" s="13">
        <v>13</v>
      </c>
      <c r="BM83" s="13">
        <v>7</v>
      </c>
      <c r="BN83" s="13" t="s">
        <v>620</v>
      </c>
      <c r="BO83" s="13" t="s">
        <v>620</v>
      </c>
      <c r="BP83" s="200">
        <v>0</v>
      </c>
      <c r="BQ83" s="201"/>
      <c r="BR83" s="202"/>
      <c r="BS83" s="187">
        <v>1000000000</v>
      </c>
      <c r="BT83" s="203">
        <v>23</v>
      </c>
      <c r="BU83" s="204">
        <v>-0.15</v>
      </c>
      <c r="BV83" s="203">
        <v>0</v>
      </c>
      <c r="BW83" s="205">
        <v>0</v>
      </c>
      <c r="BX83" s="205">
        <v>0</v>
      </c>
      <c r="BY83" s="205">
        <v>0</v>
      </c>
      <c r="BZ83" s="203">
        <v>0</v>
      </c>
      <c r="CA83" s="203">
        <v>0</v>
      </c>
      <c r="CB83" s="203">
        <v>23</v>
      </c>
      <c r="CC83" s="204">
        <v>-0.15</v>
      </c>
      <c r="CD83" s="203">
        <v>0</v>
      </c>
      <c r="CE83" s="203">
        <v>0</v>
      </c>
      <c r="CF83" s="13">
        <v>0</v>
      </c>
      <c r="CG83" s="206">
        <v>0</v>
      </c>
      <c r="CH83" s="207">
        <v>11</v>
      </c>
      <c r="CI83" s="201"/>
      <c r="CJ83" s="208"/>
      <c r="CK83" s="209" t="s">
        <v>615</v>
      </c>
      <c r="CL83" s="210" t="s">
        <v>615</v>
      </c>
      <c r="CM83" s="207">
        <v>0</v>
      </c>
      <c r="CN83" s="207">
        <v>19.169999999999998</v>
      </c>
      <c r="CO83" s="204">
        <v>0</v>
      </c>
      <c r="CP83" s="204">
        <v>9.7330650570087194</v>
      </c>
      <c r="CQ83" s="211"/>
      <c r="CR83" s="204">
        <v>1</v>
      </c>
      <c r="CS83" s="212">
        <v>42709</v>
      </c>
      <c r="CT83" s="212">
        <v>42780</v>
      </c>
      <c r="CU83" s="213">
        <v>42780</v>
      </c>
      <c r="CV83" s="214">
        <v>42829</v>
      </c>
      <c r="CW83" s="214" t="s">
        <v>615</v>
      </c>
      <c r="CX83" s="214" t="s">
        <v>615</v>
      </c>
      <c r="CY83" s="204">
        <v>9.1617816192117417E-3</v>
      </c>
      <c r="CZ83" s="204">
        <v>0.97959183673469385</v>
      </c>
      <c r="DA83" s="203">
        <v>0</v>
      </c>
      <c r="DB83" s="204">
        <v>0</v>
      </c>
      <c r="DC83" s="204">
        <v>0</v>
      </c>
      <c r="DD83" s="204">
        <v>0</v>
      </c>
      <c r="DE83" s="204">
        <v>0</v>
      </c>
      <c r="DF83" s="215">
        <v>0.97959183673469385</v>
      </c>
      <c r="DG83" s="13" t="s">
        <v>615</v>
      </c>
      <c r="DH83" s="86">
        <v>81</v>
      </c>
      <c r="DI83" s="86"/>
      <c r="DJ83" s="86">
        <v>95</v>
      </c>
      <c r="DK83" s="86" t="s">
        <v>1489</v>
      </c>
      <c r="DL83" s="86" t="e">
        <v>#N/A</v>
      </c>
      <c r="DM83" s="86">
        <v>45</v>
      </c>
      <c r="DN83" s="86" t="e">
        <v>#N/A</v>
      </c>
      <c r="DO83" s="86">
        <v>98</v>
      </c>
      <c r="DP83" s="86">
        <v>2</v>
      </c>
      <c r="DQ83" s="86">
        <v>49</v>
      </c>
      <c r="DR83" s="146">
        <v>23</v>
      </c>
      <c r="DS83" s="146">
        <v>23</v>
      </c>
      <c r="DT83" s="146">
        <v>23</v>
      </c>
      <c r="DU83" s="146">
        <v>23</v>
      </c>
      <c r="DV83" s="146">
        <v>23</v>
      </c>
      <c r="DW83" s="146">
        <v>23</v>
      </c>
      <c r="DX83" s="146">
        <v>23</v>
      </c>
      <c r="DY83" s="146">
        <v>23</v>
      </c>
      <c r="DZ83" s="146">
        <v>23</v>
      </c>
      <c r="EA83" s="161">
        <v>23</v>
      </c>
      <c r="EB83" s="161">
        <v>23</v>
      </c>
      <c r="EC83" s="161">
        <v>23</v>
      </c>
      <c r="ED83" s="161">
        <v>23</v>
      </c>
      <c r="EE83" s="161">
        <v>23</v>
      </c>
      <c r="EF83" s="161">
        <v>23</v>
      </c>
      <c r="EG83" s="161">
        <v>23</v>
      </c>
      <c r="EH83" s="161">
        <v>23</v>
      </c>
      <c r="EI83" s="161">
        <v>23</v>
      </c>
      <c r="EJ83" s="161">
        <v>23</v>
      </c>
      <c r="EK83" s="161">
        <v>23</v>
      </c>
      <c r="EL83" s="161">
        <v>23</v>
      </c>
      <c r="EM83" s="161">
        <v>23</v>
      </c>
      <c r="EN83" s="161">
        <v>23</v>
      </c>
      <c r="EO83" s="161">
        <v>23</v>
      </c>
      <c r="EP83" s="161">
        <v>23</v>
      </c>
      <c r="EQ83" s="161">
        <v>23</v>
      </c>
      <c r="ER83" s="161">
        <v>23</v>
      </c>
      <c r="ES83" s="161">
        <v>23</v>
      </c>
      <c r="ET83" s="161">
        <v>23</v>
      </c>
      <c r="EU83" s="161">
        <v>23</v>
      </c>
      <c r="EV83" s="161">
        <v>23</v>
      </c>
      <c r="EW83" s="161">
        <v>23</v>
      </c>
      <c r="EX83" s="161">
        <v>23</v>
      </c>
      <c r="EY83" s="161">
        <v>23</v>
      </c>
      <c r="EZ83" s="161">
        <v>23</v>
      </c>
      <c r="FA83" s="161">
        <v>23</v>
      </c>
      <c r="FB83" s="161">
        <v>23</v>
      </c>
      <c r="FC83" s="161">
        <v>23</v>
      </c>
      <c r="FD83" s="161">
        <v>23</v>
      </c>
      <c r="FE83" s="161">
        <v>23</v>
      </c>
      <c r="FF83" s="161">
        <v>23</v>
      </c>
      <c r="FG83" s="161">
        <v>23</v>
      </c>
      <c r="FH83" s="161">
        <v>23</v>
      </c>
      <c r="FI83" s="161">
        <v>23</v>
      </c>
      <c r="FJ83" s="161">
        <v>23</v>
      </c>
      <c r="FK83" s="161">
        <v>23</v>
      </c>
      <c r="FL83" s="161">
        <v>23</v>
      </c>
      <c r="FM83" s="161">
        <v>23</v>
      </c>
      <c r="FN83" s="161">
        <v>23</v>
      </c>
      <c r="FO83" s="161">
        <v>22</v>
      </c>
      <c r="FP83" s="161">
        <v>22</v>
      </c>
      <c r="FQ83" s="161">
        <v>22</v>
      </c>
      <c r="FR83" s="161">
        <v>22</v>
      </c>
      <c r="FS83" s="161">
        <v>22</v>
      </c>
      <c r="FT83" s="161">
        <v>22</v>
      </c>
      <c r="FU83" s="161">
        <v>22</v>
      </c>
      <c r="FV83" s="161">
        <v>22</v>
      </c>
      <c r="FW83" s="161">
        <v>22</v>
      </c>
      <c r="FX83" s="161">
        <v>22</v>
      </c>
      <c r="FY83" s="161">
        <v>22</v>
      </c>
      <c r="FZ83" s="161">
        <v>22</v>
      </c>
      <c r="GA83" s="161">
        <v>22</v>
      </c>
      <c r="GB83" s="161">
        <v>22</v>
      </c>
      <c r="GC83" s="161">
        <v>22</v>
      </c>
      <c r="GD83" s="161">
        <v>22</v>
      </c>
      <c r="GE83" s="161">
        <v>22</v>
      </c>
      <c r="GF83" s="161">
        <v>22</v>
      </c>
      <c r="GG83" s="161">
        <v>22</v>
      </c>
      <c r="GH83" s="161">
        <v>22</v>
      </c>
      <c r="GI83" s="161">
        <v>22</v>
      </c>
      <c r="GJ83" s="161">
        <v>22</v>
      </c>
      <c r="GK83" s="161">
        <v>22</v>
      </c>
      <c r="GL83" s="161">
        <v>22</v>
      </c>
      <c r="GM83" s="161">
        <v>22</v>
      </c>
      <c r="GN83" s="161">
        <v>22</v>
      </c>
      <c r="GO83" s="161">
        <v>22</v>
      </c>
      <c r="GP83" s="161">
        <v>22</v>
      </c>
      <c r="GQ83" s="161">
        <v>22</v>
      </c>
      <c r="GR83" s="161">
        <v>22</v>
      </c>
      <c r="GS83" s="161">
        <v>22</v>
      </c>
      <c r="GT83" s="161">
        <v>22</v>
      </c>
      <c r="GU83" s="161">
        <v>22</v>
      </c>
      <c r="GV83" s="161">
        <v>22</v>
      </c>
      <c r="GW83" s="161">
        <v>22</v>
      </c>
      <c r="GX83" s="161">
        <v>22</v>
      </c>
      <c r="GY83" s="161">
        <v>22</v>
      </c>
      <c r="GZ83" s="161">
        <v>22</v>
      </c>
      <c r="HA83" s="161">
        <v>22</v>
      </c>
      <c r="HB83" s="161">
        <v>22</v>
      </c>
      <c r="HC83" s="161">
        <v>22</v>
      </c>
      <c r="HD83" s="161">
        <v>22</v>
      </c>
      <c r="HE83" s="161">
        <v>22</v>
      </c>
      <c r="HF83" s="161">
        <v>22</v>
      </c>
      <c r="HG83" s="161">
        <v>22</v>
      </c>
      <c r="HH83" s="161">
        <v>22</v>
      </c>
      <c r="HI83" s="161">
        <v>22</v>
      </c>
      <c r="HJ83" s="161">
        <v>22</v>
      </c>
      <c r="HK83" s="161">
        <v>22</v>
      </c>
      <c r="HL83" s="161">
        <v>22</v>
      </c>
      <c r="HM83" s="161">
        <v>22</v>
      </c>
      <c r="HN83" s="161">
        <v>22</v>
      </c>
      <c r="HO83" s="161">
        <v>22</v>
      </c>
      <c r="HP83" s="161">
        <v>22</v>
      </c>
      <c r="HQ83" s="161">
        <v>22</v>
      </c>
      <c r="HR83" s="161">
        <v>22</v>
      </c>
      <c r="HS83" s="161">
        <v>22</v>
      </c>
      <c r="HT83" s="161">
        <v>23</v>
      </c>
      <c r="HU83" s="151"/>
      <c r="HV83" s="161">
        <v>23</v>
      </c>
      <c r="HW83" s="151"/>
      <c r="HX83" s="151"/>
      <c r="HY83" s="151"/>
      <c r="HZ83" s="151"/>
      <c r="IA83" s="151"/>
      <c r="IB83" s="151"/>
      <c r="IC83" s="151"/>
      <c r="ID83" s="151"/>
      <c r="IE83" s="151"/>
      <c r="IF83" s="151"/>
      <c r="IG83" s="151"/>
      <c r="IH83" s="151"/>
      <c r="II83" s="151"/>
      <c r="IJ83" s="151"/>
      <c r="IK83" s="151"/>
      <c r="IL83" s="151"/>
      <c r="IM83" s="151"/>
      <c r="IN83" s="151"/>
      <c r="IO83" s="151"/>
      <c r="IP83" s="151"/>
      <c r="IQ83" s="151"/>
      <c r="IR83" s="151"/>
      <c r="IS83" s="151"/>
      <c r="IT83" s="151"/>
      <c r="IU83" s="151"/>
      <c r="IV83" s="151"/>
      <c r="IW83" s="151"/>
      <c r="IX83" s="151"/>
      <c r="IY83" s="151"/>
      <c r="IZ83" s="151"/>
      <c r="JA83" s="151"/>
      <c r="JB83" s="151"/>
      <c r="JC83" s="151"/>
      <c r="JD83" s="151"/>
      <c r="JE83" s="151"/>
      <c r="JF83" s="151"/>
      <c r="JG83" s="151"/>
      <c r="JH83" s="151"/>
      <c r="JI83" s="151"/>
      <c r="JJ83" s="151"/>
      <c r="JK83" s="151"/>
      <c r="JL83" s="151"/>
      <c r="JM83" s="151"/>
      <c r="JN83" s="151"/>
      <c r="JO83" s="151"/>
      <c r="JP83" s="151"/>
      <c r="JQ83" s="151"/>
      <c r="JR83" s="151"/>
      <c r="JS83" s="151"/>
      <c r="JT83" s="151"/>
      <c r="JU83" s="151"/>
      <c r="JV83" s="151"/>
      <c r="JW83" s="151"/>
      <c r="JX83" s="151"/>
      <c r="JY83" s="151"/>
      <c r="JZ83" s="151"/>
      <c r="KA83" s="151"/>
      <c r="KB83" s="151"/>
      <c r="KC83" s="151"/>
      <c r="KD83" s="151"/>
      <c r="KE83" s="151"/>
      <c r="KF83" s="151"/>
      <c r="KG83" s="151"/>
      <c r="KH83" s="151"/>
      <c r="KI83" s="151"/>
      <c r="KJ83" s="151"/>
      <c r="KK83" s="151"/>
      <c r="KL83" s="151"/>
      <c r="KM83" s="151"/>
      <c r="KN83" s="151"/>
      <c r="KO83" s="151"/>
      <c r="KP83" s="151"/>
      <c r="KQ83" s="151"/>
      <c r="KR83" s="151"/>
      <c r="KS83" s="151"/>
      <c r="KT83" s="151"/>
      <c r="KU83" s="151"/>
      <c r="KV83" s="151"/>
      <c r="KW83" s="151"/>
      <c r="KX83" s="151"/>
      <c r="KY83" s="151"/>
      <c r="KZ83" s="151"/>
      <c r="LA83" s="151"/>
      <c r="LB83" s="151"/>
      <c r="LC83" s="151"/>
      <c r="LD83" s="151"/>
      <c r="LE83" s="151"/>
    </row>
    <row r="84" spans="1:317" x14ac:dyDescent="0.2">
      <c r="A84" s="179" t="s">
        <v>849</v>
      </c>
      <c r="B84" s="180" t="s">
        <v>983</v>
      </c>
      <c r="C84" s="181"/>
      <c r="D84" s="182">
        <v>0</v>
      </c>
      <c r="E84" s="182">
        <v>0</v>
      </c>
      <c r="F84" s="183" t="s">
        <v>1267</v>
      </c>
      <c r="G84" s="183">
        <v>0</v>
      </c>
      <c r="H84" s="183">
        <v>0</v>
      </c>
      <c r="I84" s="183">
        <v>0</v>
      </c>
      <c r="J84" s="183">
        <v>0</v>
      </c>
      <c r="K84" s="183" t="s">
        <v>1378</v>
      </c>
      <c r="L84" s="183">
        <v>0</v>
      </c>
      <c r="M84" s="183">
        <v>0</v>
      </c>
      <c r="N84" s="183" t="s">
        <v>872</v>
      </c>
      <c r="O84" s="183">
        <v>0</v>
      </c>
      <c r="P84" s="183">
        <v>0</v>
      </c>
      <c r="Q84" s="183"/>
      <c r="R84" s="183"/>
      <c r="S84" s="183"/>
      <c r="T84" s="183"/>
      <c r="U84" s="183"/>
      <c r="V84" s="183">
        <v>0</v>
      </c>
      <c r="W84" s="183">
        <v>0</v>
      </c>
      <c r="X84" s="183">
        <v>0</v>
      </c>
      <c r="Y84" s="184">
        <v>0</v>
      </c>
      <c r="Z84" s="184">
        <v>18.440000000000001</v>
      </c>
      <c r="AA84" s="184">
        <v>0</v>
      </c>
      <c r="AB84" s="185" t="s">
        <v>615</v>
      </c>
      <c r="AC84" s="185" t="s">
        <v>615</v>
      </c>
      <c r="AD84" s="186" t="s">
        <v>872</v>
      </c>
      <c r="AE84" s="186" t="s">
        <v>852</v>
      </c>
      <c r="AF84" s="187">
        <v>7</v>
      </c>
      <c r="AG84" s="187">
        <v>3</v>
      </c>
      <c r="AH84" s="187">
        <v>4</v>
      </c>
      <c r="AI84" s="188">
        <v>1</v>
      </c>
      <c r="AJ84" s="188" t="s">
        <v>615</v>
      </c>
      <c r="AK84" s="187" t="s">
        <v>1737</v>
      </c>
      <c r="AL84" s="87" t="s">
        <v>615</v>
      </c>
      <c r="AM84" s="189"/>
      <c r="AN84" s="187" t="s">
        <v>615</v>
      </c>
      <c r="AO84" s="13" t="s">
        <v>615</v>
      </c>
      <c r="AP84" s="187">
        <v>0</v>
      </c>
      <c r="AQ84" s="187">
        <v>0</v>
      </c>
      <c r="AR84" s="190">
        <v>0</v>
      </c>
      <c r="AS84" s="190">
        <v>0</v>
      </c>
      <c r="AT84" s="190">
        <v>0</v>
      </c>
      <c r="AU84" s="187">
        <v>0</v>
      </c>
      <c r="AV84" s="187">
        <v>0</v>
      </c>
      <c r="AW84" s="191"/>
      <c r="AX84" s="192"/>
      <c r="AY84" s="193">
        <v>42666</v>
      </c>
      <c r="AZ84" s="193"/>
      <c r="BA84" s="193">
        <v>42796</v>
      </c>
      <c r="BB84" s="194"/>
      <c r="BC84" s="194"/>
      <c r="BD84" s="195"/>
      <c r="BE84" s="195" t="s">
        <v>532</v>
      </c>
      <c r="BF84" s="195"/>
      <c r="BG84" s="195">
        <v>20</v>
      </c>
      <c r="BH84" s="196" t="s">
        <v>547</v>
      </c>
      <c r="BI84" s="197">
        <v>1</v>
      </c>
      <c r="BJ84" s="198"/>
      <c r="BK84" s="199">
        <v>0</v>
      </c>
      <c r="BL84" s="13">
        <v>0</v>
      </c>
      <c r="BM84" s="13">
        <v>0</v>
      </c>
      <c r="BN84" s="13" t="s">
        <v>616</v>
      </c>
      <c r="BO84" s="13" t="s">
        <v>616</v>
      </c>
      <c r="BP84" s="200">
        <v>30</v>
      </c>
      <c r="BQ84" s="201"/>
      <c r="BR84" s="202"/>
      <c r="BS84" s="187">
        <v>1000000000</v>
      </c>
      <c r="BT84" s="203">
        <v>0</v>
      </c>
      <c r="BU84" s="204">
        <v>0</v>
      </c>
      <c r="BV84" s="203">
        <v>20</v>
      </c>
      <c r="BW84" s="205">
        <v>0</v>
      </c>
      <c r="BX84" s="205">
        <v>0</v>
      </c>
      <c r="BY84" s="205">
        <v>0</v>
      </c>
      <c r="BZ84" s="203">
        <v>0</v>
      </c>
      <c r="CA84" s="203">
        <v>0</v>
      </c>
      <c r="CB84" s="203">
        <v>20</v>
      </c>
      <c r="CC84" s="204">
        <v>0</v>
      </c>
      <c r="CD84" s="203">
        <v>0</v>
      </c>
      <c r="CE84" s="203">
        <v>0</v>
      </c>
      <c r="CF84" s="13">
        <v>0</v>
      </c>
      <c r="CG84" s="206">
        <v>0</v>
      </c>
      <c r="CH84" s="207">
        <v>0</v>
      </c>
      <c r="CI84" s="201"/>
      <c r="CJ84" s="208"/>
      <c r="CK84" s="209" t="s">
        <v>615</v>
      </c>
      <c r="CL84" s="210" t="s">
        <v>615</v>
      </c>
      <c r="CM84" s="207">
        <v>0</v>
      </c>
      <c r="CN84" s="207">
        <v>0</v>
      </c>
      <c r="CO84" s="204">
        <v>0</v>
      </c>
      <c r="CP84" s="204">
        <v>0</v>
      </c>
      <c r="CQ84" s="211"/>
      <c r="CR84" s="204">
        <v>1</v>
      </c>
      <c r="CS84" s="212">
        <v>42709</v>
      </c>
      <c r="CT84" s="212">
        <v>42780</v>
      </c>
      <c r="CU84" s="213">
        <v>42780</v>
      </c>
      <c r="CV84" s="214">
        <v>42829</v>
      </c>
      <c r="CW84" s="214" t="s">
        <v>615</v>
      </c>
      <c r="CX84" s="214" t="s">
        <v>615</v>
      </c>
      <c r="CY84" s="204">
        <v>1</v>
      </c>
      <c r="CZ84" s="204">
        <v>0.97959183673469385</v>
      </c>
      <c r="DA84" s="203">
        <v>0</v>
      </c>
      <c r="DB84" s="204">
        <v>0.97959183673469385</v>
      </c>
      <c r="DC84" s="204">
        <v>0</v>
      </c>
      <c r="DD84" s="204">
        <v>0</v>
      </c>
      <c r="DE84" s="204">
        <v>0</v>
      </c>
      <c r="DF84" s="215">
        <v>0</v>
      </c>
      <c r="DG84" s="13" t="s">
        <v>615</v>
      </c>
      <c r="DH84" s="86">
        <v>82</v>
      </c>
      <c r="DI84" s="86"/>
      <c r="DJ84" s="86">
        <v>94</v>
      </c>
      <c r="DK84" s="86" t="s">
        <v>1576</v>
      </c>
      <c r="DL84" s="86" t="e">
        <v>#N/A</v>
      </c>
      <c r="DM84" s="86" t="e">
        <v>#N/A</v>
      </c>
      <c r="DN84" s="86" t="e">
        <v>#N/A</v>
      </c>
      <c r="DO84" s="86">
        <v>97</v>
      </c>
      <c r="DP84" s="86">
        <v>2</v>
      </c>
      <c r="DQ84" s="86">
        <v>49</v>
      </c>
      <c r="DR84" s="152">
        <v>0</v>
      </c>
      <c r="DS84" s="152">
        <v>0</v>
      </c>
      <c r="DT84" s="152">
        <v>0</v>
      </c>
      <c r="DU84" s="152">
        <v>0</v>
      </c>
      <c r="DV84" s="152">
        <v>0</v>
      </c>
      <c r="DW84" s="152">
        <v>0</v>
      </c>
      <c r="DX84" s="152">
        <v>0</v>
      </c>
      <c r="DY84" s="152">
        <v>0</v>
      </c>
      <c r="DZ84" s="152">
        <v>0</v>
      </c>
      <c r="EA84" s="166">
        <v>0</v>
      </c>
      <c r="EB84" s="166">
        <v>0</v>
      </c>
      <c r="EC84" s="166">
        <v>0</v>
      </c>
      <c r="ED84" s="166">
        <v>0</v>
      </c>
      <c r="EE84" s="166">
        <v>0</v>
      </c>
      <c r="EF84" s="166">
        <v>0</v>
      </c>
      <c r="EG84" s="166">
        <v>0</v>
      </c>
      <c r="EH84" s="166">
        <v>0</v>
      </c>
      <c r="EI84" s="166">
        <v>0</v>
      </c>
      <c r="EJ84" s="166">
        <v>0</v>
      </c>
      <c r="EK84" s="166">
        <v>0</v>
      </c>
      <c r="EL84" s="166">
        <v>0</v>
      </c>
      <c r="EM84" s="166">
        <v>0</v>
      </c>
      <c r="EN84" s="166">
        <v>0</v>
      </c>
      <c r="EO84" s="166">
        <v>0</v>
      </c>
      <c r="EP84" s="166">
        <v>0</v>
      </c>
      <c r="EQ84" s="166">
        <v>0</v>
      </c>
      <c r="ER84" s="166">
        <v>0</v>
      </c>
      <c r="ES84" s="166">
        <v>0</v>
      </c>
      <c r="ET84" s="166">
        <v>0</v>
      </c>
      <c r="EU84" s="166">
        <v>0</v>
      </c>
      <c r="EV84" s="166">
        <v>0</v>
      </c>
      <c r="EW84" s="166">
        <v>0</v>
      </c>
      <c r="EX84" s="166">
        <v>0</v>
      </c>
      <c r="EY84" s="166">
        <v>0</v>
      </c>
      <c r="EZ84" s="166">
        <v>0</v>
      </c>
      <c r="FA84" s="166">
        <v>0</v>
      </c>
      <c r="FB84" s="166">
        <v>0</v>
      </c>
      <c r="FC84" s="166">
        <v>0</v>
      </c>
      <c r="FD84" s="166">
        <v>0</v>
      </c>
      <c r="FE84" s="166">
        <v>0</v>
      </c>
      <c r="FF84" s="166">
        <v>0</v>
      </c>
      <c r="FG84" s="166">
        <v>0</v>
      </c>
      <c r="FH84" s="166">
        <v>0</v>
      </c>
      <c r="FI84" s="166">
        <v>0</v>
      </c>
      <c r="FJ84" s="166">
        <v>0</v>
      </c>
      <c r="FK84" s="166">
        <v>0</v>
      </c>
      <c r="FL84" s="166">
        <v>0</v>
      </c>
      <c r="FM84" s="166">
        <v>0</v>
      </c>
      <c r="FN84" s="166">
        <v>0</v>
      </c>
      <c r="FO84" s="166">
        <v>0</v>
      </c>
      <c r="FP84" s="166">
        <v>0</v>
      </c>
      <c r="FQ84" s="166">
        <v>0</v>
      </c>
      <c r="FR84" s="166">
        <v>0</v>
      </c>
      <c r="FS84" s="166">
        <v>0</v>
      </c>
      <c r="FT84" s="166">
        <v>0</v>
      </c>
      <c r="FU84" s="166">
        <v>0</v>
      </c>
      <c r="FV84" s="166">
        <v>0</v>
      </c>
      <c r="FW84" s="166">
        <v>0</v>
      </c>
      <c r="FX84" s="166">
        <v>0</v>
      </c>
      <c r="FY84" s="166">
        <v>0</v>
      </c>
      <c r="FZ84" s="166">
        <v>0</v>
      </c>
      <c r="GA84" s="166">
        <v>0</v>
      </c>
      <c r="GB84" s="166">
        <v>0</v>
      </c>
      <c r="GC84" s="166">
        <v>0</v>
      </c>
      <c r="GD84" s="166">
        <v>0</v>
      </c>
      <c r="GE84" s="166">
        <v>0</v>
      </c>
      <c r="GF84" s="166">
        <v>0</v>
      </c>
      <c r="GG84" s="166">
        <v>0</v>
      </c>
      <c r="GH84" s="166">
        <v>0</v>
      </c>
      <c r="GI84" s="166">
        <v>0</v>
      </c>
      <c r="GJ84" s="166">
        <v>0</v>
      </c>
      <c r="GK84" s="166">
        <v>0</v>
      </c>
      <c r="GL84" s="166">
        <v>0</v>
      </c>
      <c r="GM84" s="166">
        <v>0</v>
      </c>
      <c r="GN84" s="166">
        <v>0</v>
      </c>
      <c r="GO84" s="166">
        <v>0</v>
      </c>
      <c r="GP84" s="166">
        <v>0</v>
      </c>
      <c r="GQ84" s="166">
        <v>0</v>
      </c>
      <c r="GR84" s="166">
        <v>0</v>
      </c>
      <c r="GS84" s="166">
        <v>0</v>
      </c>
      <c r="GT84" s="166">
        <v>0</v>
      </c>
      <c r="GU84" s="166">
        <v>0</v>
      </c>
      <c r="GV84" s="166">
        <v>0</v>
      </c>
      <c r="GW84" s="166">
        <v>0</v>
      </c>
      <c r="GX84" s="166">
        <v>0</v>
      </c>
      <c r="GY84" s="166">
        <v>0</v>
      </c>
      <c r="GZ84" s="166">
        <v>0</v>
      </c>
      <c r="HA84" s="166">
        <v>0</v>
      </c>
      <c r="HB84" s="166">
        <v>0</v>
      </c>
      <c r="HC84" s="166">
        <v>0</v>
      </c>
      <c r="HD84" s="166">
        <v>0</v>
      </c>
      <c r="HE84" s="166">
        <v>0</v>
      </c>
      <c r="HF84" s="166">
        <v>0</v>
      </c>
      <c r="HG84" s="166">
        <v>0</v>
      </c>
      <c r="HH84" s="152">
        <v>0</v>
      </c>
      <c r="HI84" s="152">
        <v>0</v>
      </c>
      <c r="HJ84" s="152">
        <v>0</v>
      </c>
      <c r="HK84" s="152">
        <v>0</v>
      </c>
      <c r="HL84" s="152">
        <v>0</v>
      </c>
      <c r="HM84" s="152">
        <v>0</v>
      </c>
      <c r="HN84" s="152">
        <v>0</v>
      </c>
      <c r="HO84" s="152">
        <v>0</v>
      </c>
      <c r="HP84" s="152">
        <v>0</v>
      </c>
      <c r="HQ84" s="152">
        <v>0</v>
      </c>
      <c r="HR84" s="152">
        <v>0</v>
      </c>
      <c r="HS84" s="152">
        <v>0</v>
      </c>
      <c r="HT84" s="152">
        <v>0</v>
      </c>
      <c r="HU84" s="216"/>
      <c r="HV84" s="152">
        <v>0</v>
      </c>
      <c r="HW84" s="216"/>
      <c r="HX84" s="216"/>
      <c r="HY84" s="216"/>
      <c r="HZ84" s="216"/>
      <c r="IA84" s="216"/>
      <c r="IB84" s="216"/>
      <c r="IC84" s="216"/>
      <c r="ID84" s="216"/>
      <c r="IE84" s="216"/>
      <c r="IF84" s="216"/>
      <c r="IG84" s="216"/>
      <c r="IH84" s="216"/>
      <c r="II84" s="216"/>
      <c r="IJ84" s="216"/>
      <c r="IK84" s="216"/>
      <c r="IL84" s="216"/>
      <c r="IM84" s="216"/>
      <c r="IN84" s="216"/>
      <c r="IO84" s="216"/>
      <c r="IP84" s="216"/>
      <c r="IQ84" s="216"/>
      <c r="IR84" s="216"/>
      <c r="IS84" s="216"/>
      <c r="IT84" s="216"/>
      <c r="IU84" s="216"/>
      <c r="IV84" s="216"/>
      <c r="IW84" s="216"/>
      <c r="IX84" s="216"/>
      <c r="IY84" s="216"/>
      <c r="IZ84" s="216"/>
      <c r="JA84" s="216"/>
      <c r="JB84" s="216"/>
      <c r="JC84" s="216"/>
      <c r="JD84" s="216"/>
      <c r="JE84" s="216"/>
      <c r="JF84" s="216"/>
      <c r="JG84" s="216"/>
      <c r="JH84" s="216"/>
      <c r="JI84" s="216"/>
      <c r="JJ84" s="216"/>
      <c r="JK84" s="216"/>
      <c r="JL84" s="216"/>
      <c r="JM84" s="216"/>
      <c r="JN84" s="216"/>
      <c r="JO84" s="216"/>
      <c r="JP84" s="216"/>
      <c r="JQ84" s="216"/>
      <c r="JR84" s="216"/>
      <c r="JS84" s="216"/>
      <c r="JT84" s="216"/>
      <c r="JU84" s="216"/>
      <c r="JV84" s="216"/>
      <c r="JW84" s="216"/>
      <c r="JX84" s="216"/>
      <c r="JY84" s="216"/>
      <c r="JZ84" s="216"/>
      <c r="KA84" s="216"/>
      <c r="KB84" s="216"/>
      <c r="KC84" s="216"/>
      <c r="KD84" s="216"/>
      <c r="KE84" s="216"/>
      <c r="KF84" s="216"/>
      <c r="KG84" s="216"/>
      <c r="KH84" s="216"/>
      <c r="KI84" s="216"/>
      <c r="KJ84" s="216"/>
      <c r="KK84" s="216"/>
      <c r="KL84" s="216"/>
      <c r="KM84" s="216"/>
      <c r="KN84" s="216"/>
      <c r="KO84" s="216"/>
      <c r="KP84" s="216"/>
      <c r="KQ84" s="216"/>
      <c r="KR84" s="216"/>
      <c r="KS84" s="216"/>
      <c r="KT84" s="216"/>
      <c r="KU84" s="216"/>
      <c r="KV84" s="216"/>
      <c r="KW84" s="216"/>
      <c r="KX84" s="216"/>
      <c r="KY84" s="216"/>
      <c r="KZ84" s="216"/>
      <c r="LA84" s="216"/>
      <c r="LB84" s="216"/>
      <c r="LC84" s="216"/>
      <c r="LD84" s="216"/>
      <c r="LE84" s="216"/>
    </row>
    <row r="85" spans="1:317" x14ac:dyDescent="0.2">
      <c r="A85" s="179" t="s">
        <v>849</v>
      </c>
      <c r="B85" s="180" t="s">
        <v>984</v>
      </c>
      <c r="C85" s="181"/>
      <c r="D85" s="182">
        <v>0</v>
      </c>
      <c r="E85" s="182">
        <v>0</v>
      </c>
      <c r="F85" s="183" t="s">
        <v>1268</v>
      </c>
      <c r="G85" s="183">
        <v>0</v>
      </c>
      <c r="H85" s="183">
        <v>0</v>
      </c>
      <c r="I85" s="183">
        <v>0</v>
      </c>
      <c r="J85" s="183">
        <v>0</v>
      </c>
      <c r="K85" s="183" t="s">
        <v>1378</v>
      </c>
      <c r="L85" s="183">
        <v>0</v>
      </c>
      <c r="M85" s="183">
        <v>0</v>
      </c>
      <c r="N85" s="183" t="s">
        <v>872</v>
      </c>
      <c r="O85" s="183">
        <v>0</v>
      </c>
      <c r="P85" s="183">
        <v>0</v>
      </c>
      <c r="Q85" s="183"/>
      <c r="R85" s="183"/>
      <c r="S85" s="183"/>
      <c r="T85" s="183"/>
      <c r="U85" s="183"/>
      <c r="V85" s="183">
        <v>0</v>
      </c>
      <c r="W85" s="183">
        <v>0</v>
      </c>
      <c r="X85" s="183">
        <v>0</v>
      </c>
      <c r="Y85" s="184">
        <v>0</v>
      </c>
      <c r="Z85" s="184">
        <v>18.440000000000001</v>
      </c>
      <c r="AA85" s="184">
        <v>0</v>
      </c>
      <c r="AB85" s="185" t="s">
        <v>615</v>
      </c>
      <c r="AC85" s="185" t="s">
        <v>615</v>
      </c>
      <c r="AD85" s="186" t="s">
        <v>872</v>
      </c>
      <c r="AE85" s="186" t="s">
        <v>852</v>
      </c>
      <c r="AF85" s="187">
        <v>7</v>
      </c>
      <c r="AG85" s="187">
        <v>3</v>
      </c>
      <c r="AH85" s="187">
        <v>4</v>
      </c>
      <c r="AI85" s="188">
        <v>1</v>
      </c>
      <c r="AJ85" s="188" t="s">
        <v>615</v>
      </c>
      <c r="AK85" s="187" t="s">
        <v>1736</v>
      </c>
      <c r="AL85" s="87" t="s">
        <v>615</v>
      </c>
      <c r="AM85" s="189"/>
      <c r="AN85" s="187" t="s">
        <v>615</v>
      </c>
      <c r="AO85" s="13" t="s">
        <v>615</v>
      </c>
      <c r="AP85" s="187">
        <v>0</v>
      </c>
      <c r="AQ85" s="187">
        <v>0</v>
      </c>
      <c r="AR85" s="190">
        <v>0</v>
      </c>
      <c r="AS85" s="190">
        <v>0</v>
      </c>
      <c r="AT85" s="190">
        <v>0</v>
      </c>
      <c r="AU85" s="187">
        <v>0</v>
      </c>
      <c r="AV85" s="187">
        <v>0</v>
      </c>
      <c r="AW85" s="191"/>
      <c r="AX85" s="192"/>
      <c r="AY85" s="193">
        <v>42666</v>
      </c>
      <c r="AZ85" s="193"/>
      <c r="BA85" s="193"/>
      <c r="BB85" s="194"/>
      <c r="BC85" s="194"/>
      <c r="BD85" s="195"/>
      <c r="BE85" s="195" t="s">
        <v>532</v>
      </c>
      <c r="BF85" s="195"/>
      <c r="BG85" s="195">
        <v>20</v>
      </c>
      <c r="BH85" s="196" t="s">
        <v>547</v>
      </c>
      <c r="BI85" s="197">
        <v>1</v>
      </c>
      <c r="BJ85" s="198"/>
      <c r="BK85" s="199">
        <v>0</v>
      </c>
      <c r="BL85" s="13">
        <v>0</v>
      </c>
      <c r="BM85" s="13">
        <v>0</v>
      </c>
      <c r="BN85" s="13" t="s">
        <v>616</v>
      </c>
      <c r="BO85" s="13" t="s">
        <v>616</v>
      </c>
      <c r="BP85" s="200">
        <v>20</v>
      </c>
      <c r="BQ85" s="201"/>
      <c r="BR85" s="202"/>
      <c r="BS85" s="187">
        <v>1000000000</v>
      </c>
      <c r="BT85" s="203">
        <v>0</v>
      </c>
      <c r="BU85" s="204">
        <v>0</v>
      </c>
      <c r="BV85" s="203">
        <v>0</v>
      </c>
      <c r="BW85" s="205">
        <v>0</v>
      </c>
      <c r="BX85" s="205">
        <v>0</v>
      </c>
      <c r="BY85" s="205">
        <v>0</v>
      </c>
      <c r="BZ85" s="203">
        <v>0</v>
      </c>
      <c r="CA85" s="203">
        <v>0</v>
      </c>
      <c r="CB85" s="203">
        <v>0</v>
      </c>
      <c r="CC85" s="204">
        <v>0</v>
      </c>
      <c r="CD85" s="203">
        <v>0</v>
      </c>
      <c r="CE85" s="203">
        <v>0</v>
      </c>
      <c r="CF85" s="13">
        <v>0</v>
      </c>
      <c r="CG85" s="206">
        <v>0</v>
      </c>
      <c r="CH85" s="207">
        <v>0</v>
      </c>
      <c r="CI85" s="201"/>
      <c r="CJ85" s="208"/>
      <c r="CK85" s="209" t="s">
        <v>615</v>
      </c>
      <c r="CL85" s="210" t="s">
        <v>615</v>
      </c>
      <c r="CM85" s="207">
        <v>0</v>
      </c>
      <c r="CN85" s="207">
        <v>0</v>
      </c>
      <c r="CO85" s="204">
        <v>0</v>
      </c>
      <c r="CP85" s="204">
        <v>0</v>
      </c>
      <c r="CQ85" s="211"/>
      <c r="CR85" s="204">
        <v>1</v>
      </c>
      <c r="CS85" s="212">
        <v>42531</v>
      </c>
      <c r="CT85" s="212">
        <v>42780</v>
      </c>
      <c r="CU85" s="213">
        <v>42780</v>
      </c>
      <c r="CV85" s="214">
        <v>42829</v>
      </c>
      <c r="CW85" s="214" t="s">
        <v>615</v>
      </c>
      <c r="CX85" s="214" t="s">
        <v>615</v>
      </c>
      <c r="CY85" s="204">
        <v>1</v>
      </c>
      <c r="CZ85" s="204">
        <v>0.97959183673469385</v>
      </c>
      <c r="DA85" s="203">
        <v>0</v>
      </c>
      <c r="DB85" s="204">
        <v>0.97959183673469385</v>
      </c>
      <c r="DC85" s="204">
        <v>0</v>
      </c>
      <c r="DD85" s="204">
        <v>0</v>
      </c>
      <c r="DE85" s="204">
        <v>0</v>
      </c>
      <c r="DF85" s="215">
        <v>0</v>
      </c>
      <c r="DG85" s="13" t="s">
        <v>615</v>
      </c>
      <c r="DH85" s="86">
        <v>83</v>
      </c>
      <c r="DI85" s="86"/>
      <c r="DJ85" s="86">
        <v>93</v>
      </c>
      <c r="DK85" s="86" t="s">
        <v>1575</v>
      </c>
      <c r="DL85" s="86" t="e">
        <v>#N/A</v>
      </c>
      <c r="DM85" s="86" t="e">
        <v>#N/A</v>
      </c>
      <c r="DN85" s="86" t="e">
        <v>#N/A</v>
      </c>
      <c r="DO85" s="86">
        <v>96</v>
      </c>
      <c r="DP85" s="86">
        <v>2</v>
      </c>
      <c r="DQ85" s="86">
        <v>49</v>
      </c>
      <c r="DR85" s="146">
        <v>0</v>
      </c>
      <c r="DS85" s="146">
        <v>0</v>
      </c>
      <c r="DT85" s="146">
        <v>0</v>
      </c>
      <c r="DU85" s="146">
        <v>0</v>
      </c>
      <c r="DV85" s="146">
        <v>0</v>
      </c>
      <c r="DW85" s="146">
        <v>0</v>
      </c>
      <c r="DX85" s="146">
        <v>0</v>
      </c>
      <c r="DY85" s="146">
        <v>0</v>
      </c>
      <c r="DZ85" s="146">
        <v>0</v>
      </c>
      <c r="EA85" s="146">
        <v>0</v>
      </c>
      <c r="EB85" s="146">
        <v>0</v>
      </c>
      <c r="EC85" s="146">
        <v>0</v>
      </c>
      <c r="ED85" s="146">
        <v>0</v>
      </c>
      <c r="EE85" s="146">
        <v>0</v>
      </c>
      <c r="EF85" s="146">
        <v>0</v>
      </c>
      <c r="EG85" s="146">
        <v>0</v>
      </c>
      <c r="EH85" s="146">
        <v>0</v>
      </c>
      <c r="EI85" s="146">
        <v>0</v>
      </c>
      <c r="EJ85" s="146">
        <v>0</v>
      </c>
      <c r="EK85" s="146">
        <v>0</v>
      </c>
      <c r="EL85" s="146">
        <v>0</v>
      </c>
      <c r="EM85" s="146">
        <v>0</v>
      </c>
      <c r="EN85" s="146">
        <v>0</v>
      </c>
      <c r="EO85" s="146">
        <v>0</v>
      </c>
      <c r="EP85" s="146">
        <v>0</v>
      </c>
      <c r="EQ85" s="146">
        <v>0</v>
      </c>
      <c r="ER85" s="146">
        <v>0</v>
      </c>
      <c r="ES85" s="146">
        <v>0</v>
      </c>
      <c r="ET85" s="146">
        <v>0</v>
      </c>
      <c r="EU85" s="146">
        <v>0</v>
      </c>
      <c r="EV85" s="146">
        <v>0</v>
      </c>
      <c r="EW85" s="146">
        <v>0</v>
      </c>
      <c r="EX85" s="146">
        <v>0</v>
      </c>
      <c r="EY85" s="146">
        <v>0</v>
      </c>
      <c r="EZ85" s="146">
        <v>0</v>
      </c>
      <c r="FA85" s="146">
        <v>0</v>
      </c>
      <c r="FB85" s="146">
        <v>0</v>
      </c>
      <c r="FC85" s="146">
        <v>0</v>
      </c>
      <c r="FD85" s="146">
        <v>0</v>
      </c>
      <c r="FE85" s="146">
        <v>0</v>
      </c>
      <c r="FF85" s="146">
        <v>0</v>
      </c>
      <c r="FG85" s="146">
        <v>0</v>
      </c>
      <c r="FH85" s="146">
        <v>0</v>
      </c>
      <c r="FI85" s="146">
        <v>0</v>
      </c>
      <c r="FJ85" s="146">
        <v>0</v>
      </c>
      <c r="FK85" s="146">
        <v>0</v>
      </c>
      <c r="FL85" s="146">
        <v>0</v>
      </c>
      <c r="FM85" s="146">
        <v>0</v>
      </c>
      <c r="FN85" s="146">
        <v>0</v>
      </c>
      <c r="FO85" s="146">
        <v>0</v>
      </c>
      <c r="FP85" s="146">
        <v>0</v>
      </c>
      <c r="FQ85" s="146">
        <v>0</v>
      </c>
      <c r="FR85" s="146">
        <v>0</v>
      </c>
      <c r="FS85" s="160">
        <v>0</v>
      </c>
      <c r="FT85" s="160">
        <v>0</v>
      </c>
      <c r="FU85" s="160">
        <v>0</v>
      </c>
      <c r="FV85" s="160">
        <v>0</v>
      </c>
      <c r="FW85" s="160">
        <v>0</v>
      </c>
      <c r="FX85" s="160">
        <v>0</v>
      </c>
      <c r="FY85" s="160">
        <v>0</v>
      </c>
      <c r="FZ85" s="160">
        <v>0</v>
      </c>
      <c r="GA85" s="160">
        <v>0</v>
      </c>
      <c r="GB85" s="160">
        <v>0</v>
      </c>
      <c r="GC85" s="160">
        <v>0</v>
      </c>
      <c r="GD85" s="160">
        <v>0</v>
      </c>
      <c r="GE85" s="160">
        <v>0</v>
      </c>
      <c r="GF85" s="160">
        <v>0</v>
      </c>
      <c r="GG85" s="160">
        <v>0</v>
      </c>
      <c r="GH85" s="160">
        <v>0</v>
      </c>
      <c r="GI85" s="160">
        <v>0</v>
      </c>
      <c r="GJ85" s="160">
        <v>0</v>
      </c>
      <c r="GK85" s="160">
        <v>0</v>
      </c>
      <c r="GL85" s="160">
        <v>0</v>
      </c>
      <c r="GM85" s="160">
        <v>0</v>
      </c>
      <c r="GN85" s="160">
        <v>0</v>
      </c>
      <c r="GO85" s="160">
        <v>0</v>
      </c>
      <c r="GP85" s="160">
        <v>0</v>
      </c>
      <c r="GQ85" s="160">
        <v>0</v>
      </c>
      <c r="GR85" s="160">
        <v>0</v>
      </c>
      <c r="GS85" s="160">
        <v>0</v>
      </c>
      <c r="GT85" s="160">
        <v>0</v>
      </c>
      <c r="GU85" s="160">
        <v>0</v>
      </c>
      <c r="GV85" s="160">
        <v>0</v>
      </c>
      <c r="GW85" s="160">
        <v>0</v>
      </c>
      <c r="GX85" s="160">
        <v>0</v>
      </c>
      <c r="GY85" s="160">
        <v>0</v>
      </c>
      <c r="GZ85" s="160">
        <v>0</v>
      </c>
      <c r="HA85" s="160">
        <v>0</v>
      </c>
      <c r="HB85" s="160">
        <v>0</v>
      </c>
      <c r="HC85" s="160">
        <v>0</v>
      </c>
      <c r="HD85" s="160">
        <v>0</v>
      </c>
      <c r="HE85" s="160">
        <v>0</v>
      </c>
      <c r="HF85" s="160">
        <v>0</v>
      </c>
      <c r="HG85" s="160">
        <v>0</v>
      </c>
      <c r="HH85" s="146">
        <v>0</v>
      </c>
      <c r="HI85" s="146">
        <v>0</v>
      </c>
      <c r="HJ85" s="146">
        <v>0</v>
      </c>
      <c r="HK85" s="146">
        <v>0</v>
      </c>
      <c r="HL85" s="146">
        <v>0</v>
      </c>
      <c r="HM85" s="146">
        <v>0</v>
      </c>
      <c r="HN85" s="146">
        <v>0</v>
      </c>
      <c r="HO85" s="146">
        <v>0</v>
      </c>
      <c r="HP85" s="146">
        <v>0</v>
      </c>
      <c r="HQ85" s="146">
        <v>0</v>
      </c>
      <c r="HR85" s="146">
        <v>0</v>
      </c>
      <c r="HS85" s="146">
        <v>0</v>
      </c>
      <c r="HT85" s="146">
        <v>0</v>
      </c>
      <c r="HU85" s="151"/>
      <c r="HV85" s="146">
        <v>0</v>
      </c>
      <c r="HW85" s="151"/>
      <c r="HX85" s="151"/>
      <c r="HY85" s="151"/>
      <c r="HZ85" s="151"/>
      <c r="IA85" s="151"/>
      <c r="IB85" s="151"/>
      <c r="IC85" s="151"/>
      <c r="ID85" s="151"/>
      <c r="IE85" s="151"/>
      <c r="IF85" s="151"/>
      <c r="IG85" s="151"/>
      <c r="IH85" s="151"/>
      <c r="II85" s="151"/>
      <c r="IJ85" s="151"/>
      <c r="IK85" s="151"/>
      <c r="IL85" s="151"/>
      <c r="IM85" s="151"/>
      <c r="IN85" s="151"/>
      <c r="IO85" s="151"/>
      <c r="IP85" s="151"/>
      <c r="IQ85" s="151"/>
      <c r="IR85" s="151"/>
      <c r="IS85" s="151"/>
      <c r="IT85" s="151"/>
      <c r="IU85" s="151"/>
      <c r="IV85" s="151"/>
      <c r="IW85" s="151"/>
      <c r="IX85" s="151"/>
      <c r="IY85" s="151"/>
      <c r="IZ85" s="151"/>
      <c r="JA85" s="151"/>
      <c r="JB85" s="151"/>
      <c r="JC85" s="151"/>
      <c r="JD85" s="151"/>
      <c r="JE85" s="151"/>
      <c r="JF85" s="151"/>
      <c r="JG85" s="151"/>
      <c r="JH85" s="151"/>
      <c r="JI85" s="151"/>
      <c r="JJ85" s="151"/>
      <c r="JK85" s="151"/>
      <c r="JL85" s="151"/>
      <c r="JM85" s="151"/>
      <c r="JN85" s="151"/>
      <c r="JO85" s="151"/>
      <c r="JP85" s="151"/>
      <c r="JQ85" s="151"/>
      <c r="JR85" s="151"/>
      <c r="JS85" s="151"/>
      <c r="JT85" s="151"/>
      <c r="JU85" s="151"/>
      <c r="JV85" s="151"/>
      <c r="JW85" s="151"/>
      <c r="JX85" s="151"/>
      <c r="JY85" s="151"/>
      <c r="JZ85" s="151"/>
      <c r="KA85" s="151"/>
      <c r="KB85" s="151"/>
      <c r="KC85" s="151"/>
      <c r="KD85" s="151"/>
      <c r="KE85" s="151"/>
      <c r="KF85" s="151"/>
      <c r="KG85" s="151"/>
      <c r="KH85" s="151"/>
      <c r="KI85" s="151"/>
      <c r="KJ85" s="151"/>
      <c r="KK85" s="151"/>
      <c r="KL85" s="151"/>
      <c r="KM85" s="151"/>
      <c r="KN85" s="151"/>
      <c r="KO85" s="151"/>
      <c r="KP85" s="151"/>
      <c r="KQ85" s="151"/>
      <c r="KR85" s="151"/>
      <c r="KS85" s="151"/>
      <c r="KT85" s="151"/>
      <c r="KU85" s="151"/>
      <c r="KV85" s="151"/>
      <c r="KW85" s="151"/>
      <c r="KX85" s="151"/>
      <c r="KY85" s="151"/>
      <c r="KZ85" s="151"/>
      <c r="LA85" s="151"/>
      <c r="LB85" s="151"/>
      <c r="LC85" s="151"/>
      <c r="LD85" s="151"/>
      <c r="LE85" s="151"/>
    </row>
    <row r="86" spans="1:317" x14ac:dyDescent="0.2">
      <c r="A86" s="179" t="s">
        <v>849</v>
      </c>
      <c r="B86" s="180" t="s">
        <v>985</v>
      </c>
      <c r="C86" s="181"/>
      <c r="D86" s="182">
        <v>0</v>
      </c>
      <c r="E86" s="182">
        <v>0</v>
      </c>
      <c r="F86" s="183" t="s">
        <v>1269</v>
      </c>
      <c r="G86" s="183">
        <v>0</v>
      </c>
      <c r="H86" s="183">
        <v>0</v>
      </c>
      <c r="I86" s="183">
        <v>0</v>
      </c>
      <c r="J86" s="183">
        <v>0</v>
      </c>
      <c r="K86" s="183" t="s">
        <v>1378</v>
      </c>
      <c r="L86" s="183">
        <v>0</v>
      </c>
      <c r="M86" s="183">
        <v>0</v>
      </c>
      <c r="N86" s="183" t="s">
        <v>872</v>
      </c>
      <c r="O86" s="183">
        <v>0</v>
      </c>
      <c r="P86" s="183">
        <v>0</v>
      </c>
      <c r="Q86" s="183"/>
      <c r="R86" s="183"/>
      <c r="S86" s="183"/>
      <c r="T86" s="183"/>
      <c r="U86" s="183"/>
      <c r="V86" s="183">
        <v>0</v>
      </c>
      <c r="W86" s="183">
        <v>0</v>
      </c>
      <c r="X86" s="183">
        <v>0</v>
      </c>
      <c r="Y86" s="184">
        <v>0</v>
      </c>
      <c r="Z86" s="184">
        <v>18.440000000000001</v>
      </c>
      <c r="AA86" s="184">
        <v>0</v>
      </c>
      <c r="AB86" s="185" t="s">
        <v>615</v>
      </c>
      <c r="AC86" s="185" t="s">
        <v>615</v>
      </c>
      <c r="AD86" s="186" t="s">
        <v>872</v>
      </c>
      <c r="AE86" s="186" t="s">
        <v>852</v>
      </c>
      <c r="AF86" s="187">
        <v>7</v>
      </c>
      <c r="AG86" s="187">
        <v>3</v>
      </c>
      <c r="AH86" s="187">
        <v>4</v>
      </c>
      <c r="AI86" s="188">
        <v>1</v>
      </c>
      <c r="AJ86" s="188" t="s">
        <v>615</v>
      </c>
      <c r="AK86" s="187" t="s">
        <v>1736</v>
      </c>
      <c r="AL86" s="87" t="s">
        <v>615</v>
      </c>
      <c r="AM86" s="189"/>
      <c r="AN86" s="187" t="s">
        <v>615</v>
      </c>
      <c r="AO86" s="13" t="s">
        <v>615</v>
      </c>
      <c r="AP86" s="187">
        <v>0</v>
      </c>
      <c r="AQ86" s="187">
        <v>0</v>
      </c>
      <c r="AR86" s="190">
        <v>0</v>
      </c>
      <c r="AS86" s="190">
        <v>0</v>
      </c>
      <c r="AT86" s="190">
        <v>0</v>
      </c>
      <c r="AU86" s="187">
        <v>0</v>
      </c>
      <c r="AV86" s="187">
        <v>0</v>
      </c>
      <c r="AW86" s="191"/>
      <c r="AX86" s="192"/>
      <c r="AY86" s="193">
        <v>42666</v>
      </c>
      <c r="AZ86" s="193"/>
      <c r="BA86" s="193"/>
      <c r="BB86" s="194"/>
      <c r="BC86" s="194"/>
      <c r="BD86" s="195"/>
      <c r="BE86" s="195" t="s">
        <v>532</v>
      </c>
      <c r="BF86" s="195"/>
      <c r="BG86" s="195">
        <v>20</v>
      </c>
      <c r="BH86" s="196" t="s">
        <v>547</v>
      </c>
      <c r="BI86" s="197">
        <v>1</v>
      </c>
      <c r="BJ86" s="198"/>
      <c r="BK86" s="199">
        <v>0</v>
      </c>
      <c r="BL86" s="13">
        <v>0</v>
      </c>
      <c r="BM86" s="13">
        <v>0</v>
      </c>
      <c r="BN86" s="13" t="s">
        <v>616</v>
      </c>
      <c r="BO86" s="13" t="s">
        <v>616</v>
      </c>
      <c r="BP86" s="200">
        <v>20</v>
      </c>
      <c r="BQ86" s="201"/>
      <c r="BR86" s="202"/>
      <c r="BS86" s="187">
        <v>1000000000</v>
      </c>
      <c r="BT86" s="203">
        <v>0</v>
      </c>
      <c r="BU86" s="204">
        <v>0</v>
      </c>
      <c r="BV86" s="203">
        <v>0</v>
      </c>
      <c r="BW86" s="205">
        <v>0</v>
      </c>
      <c r="BX86" s="205">
        <v>0</v>
      </c>
      <c r="BY86" s="205">
        <v>0</v>
      </c>
      <c r="BZ86" s="203">
        <v>0</v>
      </c>
      <c r="CA86" s="203">
        <v>0</v>
      </c>
      <c r="CB86" s="203">
        <v>0</v>
      </c>
      <c r="CC86" s="204">
        <v>0</v>
      </c>
      <c r="CD86" s="203">
        <v>0</v>
      </c>
      <c r="CE86" s="203">
        <v>0</v>
      </c>
      <c r="CF86" s="13">
        <v>0</v>
      </c>
      <c r="CG86" s="206">
        <v>0</v>
      </c>
      <c r="CH86" s="207">
        <v>0</v>
      </c>
      <c r="CI86" s="201"/>
      <c r="CJ86" s="208"/>
      <c r="CK86" s="209" t="s">
        <v>615</v>
      </c>
      <c r="CL86" s="210" t="s">
        <v>615</v>
      </c>
      <c r="CM86" s="207">
        <v>0</v>
      </c>
      <c r="CN86" s="207">
        <v>0</v>
      </c>
      <c r="CO86" s="204">
        <v>0</v>
      </c>
      <c r="CP86" s="204">
        <v>0</v>
      </c>
      <c r="CQ86" s="211"/>
      <c r="CR86" s="204">
        <v>1</v>
      </c>
      <c r="CS86" s="212">
        <v>42531</v>
      </c>
      <c r="CT86" s="212">
        <v>42780</v>
      </c>
      <c r="CU86" s="213">
        <v>42780</v>
      </c>
      <c r="CV86" s="214">
        <v>42829</v>
      </c>
      <c r="CW86" s="214" t="s">
        <v>615</v>
      </c>
      <c r="CX86" s="214" t="s">
        <v>615</v>
      </c>
      <c r="CY86" s="204">
        <v>1</v>
      </c>
      <c r="CZ86" s="204">
        <v>0.97959183673469385</v>
      </c>
      <c r="DA86" s="203">
        <v>0</v>
      </c>
      <c r="DB86" s="204">
        <v>0.97959183673469385</v>
      </c>
      <c r="DC86" s="204">
        <v>0</v>
      </c>
      <c r="DD86" s="204">
        <v>0</v>
      </c>
      <c r="DE86" s="204">
        <v>0</v>
      </c>
      <c r="DF86" s="215">
        <v>0</v>
      </c>
      <c r="DG86" s="13" t="s">
        <v>615</v>
      </c>
      <c r="DH86" s="86">
        <v>84</v>
      </c>
      <c r="DI86" s="86"/>
      <c r="DJ86" s="86">
        <v>92</v>
      </c>
      <c r="DK86" s="86" t="s">
        <v>1574</v>
      </c>
      <c r="DL86" s="86" t="e">
        <v>#N/A</v>
      </c>
      <c r="DM86" s="86" t="e">
        <v>#N/A</v>
      </c>
      <c r="DN86" s="86" t="e">
        <v>#N/A</v>
      </c>
      <c r="DO86" s="86">
        <v>95</v>
      </c>
      <c r="DP86" s="86">
        <v>2</v>
      </c>
      <c r="DQ86" s="86">
        <v>49</v>
      </c>
      <c r="DR86" s="152">
        <v>0</v>
      </c>
      <c r="DS86" s="152">
        <v>0</v>
      </c>
      <c r="DT86" s="152">
        <v>0</v>
      </c>
      <c r="DU86" s="152">
        <v>0</v>
      </c>
      <c r="DV86" s="152">
        <v>0</v>
      </c>
      <c r="DW86" s="152">
        <v>0</v>
      </c>
      <c r="DX86" s="152">
        <v>0</v>
      </c>
      <c r="DY86" s="152">
        <v>0</v>
      </c>
      <c r="DZ86" s="152">
        <v>0</v>
      </c>
      <c r="EA86" s="152">
        <v>0</v>
      </c>
      <c r="EB86" s="152">
        <v>0</v>
      </c>
      <c r="EC86" s="152">
        <v>0</v>
      </c>
      <c r="ED86" s="152">
        <v>0</v>
      </c>
      <c r="EE86" s="152">
        <v>0</v>
      </c>
      <c r="EF86" s="152">
        <v>0</v>
      </c>
      <c r="EG86" s="152">
        <v>0</v>
      </c>
      <c r="EH86" s="152">
        <v>0</v>
      </c>
      <c r="EI86" s="152">
        <v>0</v>
      </c>
      <c r="EJ86" s="152">
        <v>0</v>
      </c>
      <c r="EK86" s="152">
        <v>0</v>
      </c>
      <c r="EL86" s="152">
        <v>0</v>
      </c>
      <c r="EM86" s="152">
        <v>0</v>
      </c>
      <c r="EN86" s="152">
        <v>0</v>
      </c>
      <c r="EO86" s="152">
        <v>0</v>
      </c>
      <c r="EP86" s="152">
        <v>0</v>
      </c>
      <c r="EQ86" s="152">
        <v>0</v>
      </c>
      <c r="ER86" s="152">
        <v>0</v>
      </c>
      <c r="ES86" s="152">
        <v>0</v>
      </c>
      <c r="ET86" s="152">
        <v>0</v>
      </c>
      <c r="EU86" s="152">
        <v>0</v>
      </c>
      <c r="EV86" s="152">
        <v>0</v>
      </c>
      <c r="EW86" s="152">
        <v>0</v>
      </c>
      <c r="EX86" s="152">
        <v>0</v>
      </c>
      <c r="EY86" s="152">
        <v>0</v>
      </c>
      <c r="EZ86" s="152">
        <v>0</v>
      </c>
      <c r="FA86" s="152">
        <v>0</v>
      </c>
      <c r="FB86" s="152">
        <v>0</v>
      </c>
      <c r="FC86" s="152">
        <v>0</v>
      </c>
      <c r="FD86" s="152">
        <v>0</v>
      </c>
      <c r="FE86" s="152">
        <v>0</v>
      </c>
      <c r="FF86" s="152">
        <v>0</v>
      </c>
      <c r="FG86" s="152">
        <v>0</v>
      </c>
      <c r="FH86" s="152">
        <v>0</v>
      </c>
      <c r="FI86" s="152">
        <v>0</v>
      </c>
      <c r="FJ86" s="152">
        <v>0</v>
      </c>
      <c r="FK86" s="152">
        <v>0</v>
      </c>
      <c r="FL86" s="152">
        <v>0</v>
      </c>
      <c r="FM86" s="152">
        <v>0</v>
      </c>
      <c r="FN86" s="152">
        <v>0</v>
      </c>
      <c r="FO86" s="152">
        <v>0</v>
      </c>
      <c r="FP86" s="152">
        <v>0</v>
      </c>
      <c r="FQ86" s="152">
        <v>0</v>
      </c>
      <c r="FR86" s="152">
        <v>0</v>
      </c>
      <c r="FS86" s="166">
        <v>0</v>
      </c>
      <c r="FT86" s="166">
        <v>0</v>
      </c>
      <c r="FU86" s="166">
        <v>0</v>
      </c>
      <c r="FV86" s="166">
        <v>0</v>
      </c>
      <c r="FW86" s="166">
        <v>0</v>
      </c>
      <c r="FX86" s="166">
        <v>0</v>
      </c>
      <c r="FY86" s="166">
        <v>0</v>
      </c>
      <c r="FZ86" s="166">
        <v>0</v>
      </c>
      <c r="GA86" s="166">
        <v>0</v>
      </c>
      <c r="GB86" s="166">
        <v>0</v>
      </c>
      <c r="GC86" s="166">
        <v>0</v>
      </c>
      <c r="GD86" s="166">
        <v>0</v>
      </c>
      <c r="GE86" s="166">
        <v>0</v>
      </c>
      <c r="GF86" s="166">
        <v>0</v>
      </c>
      <c r="GG86" s="166">
        <v>0</v>
      </c>
      <c r="GH86" s="166">
        <v>0</v>
      </c>
      <c r="GI86" s="166">
        <v>0</v>
      </c>
      <c r="GJ86" s="166">
        <v>0</v>
      </c>
      <c r="GK86" s="166">
        <v>0</v>
      </c>
      <c r="GL86" s="166">
        <v>0</v>
      </c>
      <c r="GM86" s="166">
        <v>0</v>
      </c>
      <c r="GN86" s="166">
        <v>0</v>
      </c>
      <c r="GO86" s="166">
        <v>0</v>
      </c>
      <c r="GP86" s="166">
        <v>0</v>
      </c>
      <c r="GQ86" s="166">
        <v>0</v>
      </c>
      <c r="GR86" s="166">
        <v>0</v>
      </c>
      <c r="GS86" s="166">
        <v>0</v>
      </c>
      <c r="GT86" s="166">
        <v>0</v>
      </c>
      <c r="GU86" s="166">
        <v>0</v>
      </c>
      <c r="GV86" s="166">
        <v>0</v>
      </c>
      <c r="GW86" s="166">
        <v>0</v>
      </c>
      <c r="GX86" s="166">
        <v>0</v>
      </c>
      <c r="GY86" s="166">
        <v>0</v>
      </c>
      <c r="GZ86" s="166">
        <v>0</v>
      </c>
      <c r="HA86" s="166">
        <v>0</v>
      </c>
      <c r="HB86" s="166">
        <v>0</v>
      </c>
      <c r="HC86" s="166">
        <v>0</v>
      </c>
      <c r="HD86" s="166">
        <v>0</v>
      </c>
      <c r="HE86" s="166">
        <v>0</v>
      </c>
      <c r="HF86" s="166">
        <v>0</v>
      </c>
      <c r="HG86" s="166">
        <v>0</v>
      </c>
      <c r="HH86" s="152">
        <v>0</v>
      </c>
      <c r="HI86" s="152">
        <v>0</v>
      </c>
      <c r="HJ86" s="152">
        <v>0</v>
      </c>
      <c r="HK86" s="152">
        <v>0</v>
      </c>
      <c r="HL86" s="152">
        <v>0</v>
      </c>
      <c r="HM86" s="152">
        <v>0</v>
      </c>
      <c r="HN86" s="152">
        <v>0</v>
      </c>
      <c r="HO86" s="152">
        <v>0</v>
      </c>
      <c r="HP86" s="152">
        <v>0</v>
      </c>
      <c r="HQ86" s="152">
        <v>0</v>
      </c>
      <c r="HR86" s="152">
        <v>0</v>
      </c>
      <c r="HS86" s="152">
        <v>0</v>
      </c>
      <c r="HT86" s="152">
        <v>0</v>
      </c>
      <c r="HU86" s="216"/>
      <c r="HV86" s="152">
        <v>0</v>
      </c>
      <c r="HW86" s="216"/>
      <c r="HX86" s="216"/>
      <c r="HY86" s="216"/>
      <c r="HZ86" s="216"/>
      <c r="IA86" s="216"/>
      <c r="IB86" s="216"/>
      <c r="IC86" s="216"/>
      <c r="ID86" s="216"/>
      <c r="IE86" s="216"/>
      <c r="IF86" s="216"/>
      <c r="IG86" s="216"/>
      <c r="IH86" s="216"/>
      <c r="II86" s="216"/>
      <c r="IJ86" s="216"/>
      <c r="IK86" s="216"/>
      <c r="IL86" s="216"/>
      <c r="IM86" s="216"/>
      <c r="IN86" s="216"/>
      <c r="IO86" s="216"/>
      <c r="IP86" s="216"/>
      <c r="IQ86" s="216"/>
      <c r="IR86" s="216"/>
      <c r="IS86" s="216"/>
      <c r="IT86" s="216"/>
      <c r="IU86" s="216"/>
      <c r="IV86" s="216"/>
      <c r="IW86" s="216"/>
      <c r="IX86" s="216"/>
      <c r="IY86" s="216"/>
      <c r="IZ86" s="216"/>
      <c r="JA86" s="216"/>
      <c r="JB86" s="216"/>
      <c r="JC86" s="216"/>
      <c r="JD86" s="216"/>
      <c r="JE86" s="216"/>
      <c r="JF86" s="216"/>
      <c r="JG86" s="216"/>
      <c r="JH86" s="216"/>
      <c r="JI86" s="216"/>
      <c r="JJ86" s="216"/>
      <c r="JK86" s="216"/>
      <c r="JL86" s="216"/>
      <c r="JM86" s="216"/>
      <c r="JN86" s="216"/>
      <c r="JO86" s="216"/>
      <c r="JP86" s="216"/>
      <c r="JQ86" s="216"/>
      <c r="JR86" s="216"/>
      <c r="JS86" s="216"/>
      <c r="JT86" s="216"/>
      <c r="JU86" s="216"/>
      <c r="JV86" s="216"/>
      <c r="JW86" s="216"/>
      <c r="JX86" s="216"/>
      <c r="JY86" s="216"/>
      <c r="JZ86" s="216"/>
      <c r="KA86" s="216"/>
      <c r="KB86" s="216"/>
      <c r="KC86" s="216"/>
      <c r="KD86" s="216"/>
      <c r="KE86" s="216"/>
      <c r="KF86" s="216"/>
      <c r="KG86" s="216"/>
      <c r="KH86" s="216"/>
      <c r="KI86" s="216"/>
      <c r="KJ86" s="216"/>
      <c r="KK86" s="216"/>
      <c r="KL86" s="216"/>
      <c r="KM86" s="216"/>
      <c r="KN86" s="216"/>
      <c r="KO86" s="216"/>
      <c r="KP86" s="216"/>
      <c r="KQ86" s="216"/>
      <c r="KR86" s="216"/>
      <c r="KS86" s="216"/>
      <c r="KT86" s="216"/>
      <c r="KU86" s="216"/>
      <c r="KV86" s="216"/>
      <c r="KW86" s="216"/>
      <c r="KX86" s="216"/>
      <c r="KY86" s="216"/>
      <c r="KZ86" s="216"/>
      <c r="LA86" s="216"/>
      <c r="LB86" s="216"/>
      <c r="LC86" s="216"/>
      <c r="LD86" s="216"/>
      <c r="LE86" s="216"/>
    </row>
    <row r="87" spans="1:317" x14ac:dyDescent="0.2">
      <c r="A87" s="179" t="s">
        <v>849</v>
      </c>
      <c r="B87" s="180" t="s">
        <v>986</v>
      </c>
      <c r="C87" s="181"/>
      <c r="D87" s="182">
        <v>0</v>
      </c>
      <c r="E87" s="182">
        <v>0</v>
      </c>
      <c r="F87" s="183" t="s">
        <v>1270</v>
      </c>
      <c r="G87" s="183">
        <v>0</v>
      </c>
      <c r="H87" s="183">
        <v>0</v>
      </c>
      <c r="I87" s="183">
        <v>0</v>
      </c>
      <c r="J87" s="183">
        <v>0</v>
      </c>
      <c r="K87" s="183" t="s">
        <v>1378</v>
      </c>
      <c r="L87" s="183">
        <v>0</v>
      </c>
      <c r="M87" s="183">
        <v>0</v>
      </c>
      <c r="N87" s="183" t="s">
        <v>872</v>
      </c>
      <c r="O87" s="183">
        <v>0</v>
      </c>
      <c r="P87" s="183">
        <v>0</v>
      </c>
      <c r="Q87" s="183"/>
      <c r="R87" s="183"/>
      <c r="S87" s="183"/>
      <c r="T87" s="183"/>
      <c r="U87" s="183"/>
      <c r="V87" s="183">
        <v>0</v>
      </c>
      <c r="W87" s="183">
        <v>0</v>
      </c>
      <c r="X87" s="183">
        <v>0</v>
      </c>
      <c r="Y87" s="184">
        <v>0</v>
      </c>
      <c r="Z87" s="184">
        <v>18.440000000000001</v>
      </c>
      <c r="AA87" s="184">
        <v>0</v>
      </c>
      <c r="AB87" s="185" t="s">
        <v>615</v>
      </c>
      <c r="AC87" s="185" t="s">
        <v>615</v>
      </c>
      <c r="AD87" s="186" t="s">
        <v>872</v>
      </c>
      <c r="AE87" s="186" t="s">
        <v>852</v>
      </c>
      <c r="AF87" s="187">
        <v>7</v>
      </c>
      <c r="AG87" s="187">
        <v>3</v>
      </c>
      <c r="AH87" s="187">
        <v>4</v>
      </c>
      <c r="AI87" s="188">
        <v>1</v>
      </c>
      <c r="AJ87" s="188" t="s">
        <v>615</v>
      </c>
      <c r="AK87" s="187" t="s">
        <v>1736</v>
      </c>
      <c r="AL87" s="87" t="s">
        <v>615</v>
      </c>
      <c r="AM87" s="189"/>
      <c r="AN87" s="187" t="s">
        <v>615</v>
      </c>
      <c r="AO87" s="13" t="s">
        <v>615</v>
      </c>
      <c r="AP87" s="187">
        <v>0</v>
      </c>
      <c r="AQ87" s="187">
        <v>0</v>
      </c>
      <c r="AR87" s="190">
        <v>0</v>
      </c>
      <c r="AS87" s="190">
        <v>0</v>
      </c>
      <c r="AT87" s="190">
        <v>0</v>
      </c>
      <c r="AU87" s="187">
        <v>0</v>
      </c>
      <c r="AV87" s="187">
        <v>0</v>
      </c>
      <c r="AW87" s="191"/>
      <c r="AX87" s="192"/>
      <c r="AY87" s="193">
        <v>42666</v>
      </c>
      <c r="AZ87" s="193"/>
      <c r="BA87" s="193"/>
      <c r="BB87" s="194"/>
      <c r="BC87" s="194"/>
      <c r="BD87" s="195"/>
      <c r="BE87" s="195" t="s">
        <v>532</v>
      </c>
      <c r="BF87" s="195"/>
      <c r="BG87" s="195">
        <v>20</v>
      </c>
      <c r="BH87" s="196" t="s">
        <v>547</v>
      </c>
      <c r="BI87" s="197">
        <v>1</v>
      </c>
      <c r="BJ87" s="198"/>
      <c r="BK87" s="199">
        <v>0</v>
      </c>
      <c r="BL87" s="13">
        <v>0</v>
      </c>
      <c r="BM87" s="13">
        <v>0</v>
      </c>
      <c r="BN87" s="13" t="s">
        <v>616</v>
      </c>
      <c r="BO87" s="13" t="s">
        <v>616</v>
      </c>
      <c r="BP87" s="200">
        <v>20</v>
      </c>
      <c r="BQ87" s="201"/>
      <c r="BR87" s="202"/>
      <c r="BS87" s="187">
        <v>1000000000</v>
      </c>
      <c r="BT87" s="203">
        <v>0</v>
      </c>
      <c r="BU87" s="204">
        <v>0</v>
      </c>
      <c r="BV87" s="203">
        <v>0</v>
      </c>
      <c r="BW87" s="205">
        <v>0</v>
      </c>
      <c r="BX87" s="205">
        <v>0</v>
      </c>
      <c r="BY87" s="205">
        <v>0</v>
      </c>
      <c r="BZ87" s="203">
        <v>0</v>
      </c>
      <c r="CA87" s="203">
        <v>0</v>
      </c>
      <c r="CB87" s="203">
        <v>0</v>
      </c>
      <c r="CC87" s="204">
        <v>0</v>
      </c>
      <c r="CD87" s="203">
        <v>0</v>
      </c>
      <c r="CE87" s="203">
        <v>0</v>
      </c>
      <c r="CF87" s="13">
        <v>0</v>
      </c>
      <c r="CG87" s="206">
        <v>0</v>
      </c>
      <c r="CH87" s="207">
        <v>0</v>
      </c>
      <c r="CI87" s="201"/>
      <c r="CJ87" s="208"/>
      <c r="CK87" s="209" t="s">
        <v>615</v>
      </c>
      <c r="CL87" s="210" t="s">
        <v>615</v>
      </c>
      <c r="CM87" s="207">
        <v>0</v>
      </c>
      <c r="CN87" s="207">
        <v>0</v>
      </c>
      <c r="CO87" s="204">
        <v>0</v>
      </c>
      <c r="CP87" s="204">
        <v>0</v>
      </c>
      <c r="CQ87" s="211"/>
      <c r="CR87" s="204">
        <v>1</v>
      </c>
      <c r="CS87" s="212">
        <v>42531</v>
      </c>
      <c r="CT87" s="212">
        <v>42780</v>
      </c>
      <c r="CU87" s="213">
        <v>42780</v>
      </c>
      <c r="CV87" s="214">
        <v>42829</v>
      </c>
      <c r="CW87" s="214" t="s">
        <v>615</v>
      </c>
      <c r="CX87" s="214" t="s">
        <v>615</v>
      </c>
      <c r="CY87" s="204">
        <v>1</v>
      </c>
      <c r="CZ87" s="204">
        <v>0.97959183673469385</v>
      </c>
      <c r="DA87" s="203">
        <v>0</v>
      </c>
      <c r="DB87" s="204">
        <v>0.97959183673469385</v>
      </c>
      <c r="DC87" s="204">
        <v>0</v>
      </c>
      <c r="DD87" s="204">
        <v>0</v>
      </c>
      <c r="DE87" s="204">
        <v>0</v>
      </c>
      <c r="DF87" s="215">
        <v>0</v>
      </c>
      <c r="DG87" s="13" t="s">
        <v>615</v>
      </c>
      <c r="DH87" s="86">
        <v>85</v>
      </c>
      <c r="DI87" s="86"/>
      <c r="DJ87" s="86">
        <v>91</v>
      </c>
      <c r="DK87" s="86" t="s">
        <v>1573</v>
      </c>
      <c r="DL87" s="86" t="e">
        <v>#N/A</v>
      </c>
      <c r="DM87" s="86" t="e">
        <v>#N/A</v>
      </c>
      <c r="DN87" s="86" t="e">
        <v>#N/A</v>
      </c>
      <c r="DO87" s="86">
        <v>94</v>
      </c>
      <c r="DP87" s="86">
        <v>2</v>
      </c>
      <c r="DQ87" s="86">
        <v>49</v>
      </c>
      <c r="DR87" s="146">
        <v>0</v>
      </c>
      <c r="DS87" s="146">
        <v>0</v>
      </c>
      <c r="DT87" s="146">
        <v>0</v>
      </c>
      <c r="DU87" s="146">
        <v>0</v>
      </c>
      <c r="DV87" s="146">
        <v>0</v>
      </c>
      <c r="DW87" s="146">
        <v>0</v>
      </c>
      <c r="DX87" s="146">
        <v>0</v>
      </c>
      <c r="DY87" s="146">
        <v>0</v>
      </c>
      <c r="DZ87" s="146">
        <v>0</v>
      </c>
      <c r="EA87" s="146">
        <v>0</v>
      </c>
      <c r="EB87" s="146">
        <v>0</v>
      </c>
      <c r="EC87" s="146">
        <v>0</v>
      </c>
      <c r="ED87" s="146">
        <v>0</v>
      </c>
      <c r="EE87" s="146">
        <v>0</v>
      </c>
      <c r="EF87" s="146">
        <v>0</v>
      </c>
      <c r="EG87" s="146">
        <v>0</v>
      </c>
      <c r="EH87" s="146">
        <v>0</v>
      </c>
      <c r="EI87" s="146">
        <v>0</v>
      </c>
      <c r="EJ87" s="146">
        <v>0</v>
      </c>
      <c r="EK87" s="146">
        <v>0</v>
      </c>
      <c r="EL87" s="146">
        <v>0</v>
      </c>
      <c r="EM87" s="146">
        <v>0</v>
      </c>
      <c r="EN87" s="146">
        <v>0</v>
      </c>
      <c r="EO87" s="146">
        <v>0</v>
      </c>
      <c r="EP87" s="146">
        <v>0</v>
      </c>
      <c r="EQ87" s="146">
        <v>0</v>
      </c>
      <c r="ER87" s="146">
        <v>0</v>
      </c>
      <c r="ES87" s="146">
        <v>0</v>
      </c>
      <c r="ET87" s="146">
        <v>0</v>
      </c>
      <c r="EU87" s="146">
        <v>0</v>
      </c>
      <c r="EV87" s="146">
        <v>0</v>
      </c>
      <c r="EW87" s="146">
        <v>0</v>
      </c>
      <c r="EX87" s="146">
        <v>0</v>
      </c>
      <c r="EY87" s="146">
        <v>0</v>
      </c>
      <c r="EZ87" s="146">
        <v>0</v>
      </c>
      <c r="FA87" s="146">
        <v>0</v>
      </c>
      <c r="FB87" s="146">
        <v>0</v>
      </c>
      <c r="FC87" s="146">
        <v>0</v>
      </c>
      <c r="FD87" s="146">
        <v>0</v>
      </c>
      <c r="FE87" s="146">
        <v>0</v>
      </c>
      <c r="FF87" s="146">
        <v>0</v>
      </c>
      <c r="FG87" s="146">
        <v>0</v>
      </c>
      <c r="FH87" s="146">
        <v>0</v>
      </c>
      <c r="FI87" s="146">
        <v>0</v>
      </c>
      <c r="FJ87" s="146">
        <v>0</v>
      </c>
      <c r="FK87" s="146">
        <v>0</v>
      </c>
      <c r="FL87" s="146">
        <v>0</v>
      </c>
      <c r="FM87" s="146">
        <v>0</v>
      </c>
      <c r="FN87" s="146">
        <v>0</v>
      </c>
      <c r="FO87" s="146">
        <v>0</v>
      </c>
      <c r="FP87" s="146">
        <v>0</v>
      </c>
      <c r="FQ87" s="146">
        <v>0</v>
      </c>
      <c r="FR87" s="146">
        <v>0</v>
      </c>
      <c r="FS87" s="160">
        <v>0</v>
      </c>
      <c r="FT87" s="160">
        <v>0</v>
      </c>
      <c r="FU87" s="160">
        <v>0</v>
      </c>
      <c r="FV87" s="160">
        <v>0</v>
      </c>
      <c r="FW87" s="160">
        <v>0</v>
      </c>
      <c r="FX87" s="160">
        <v>0</v>
      </c>
      <c r="FY87" s="160">
        <v>0</v>
      </c>
      <c r="FZ87" s="160">
        <v>0</v>
      </c>
      <c r="GA87" s="160">
        <v>0</v>
      </c>
      <c r="GB87" s="160">
        <v>0</v>
      </c>
      <c r="GC87" s="160">
        <v>0</v>
      </c>
      <c r="GD87" s="160">
        <v>0</v>
      </c>
      <c r="GE87" s="160">
        <v>0</v>
      </c>
      <c r="GF87" s="160">
        <v>0</v>
      </c>
      <c r="GG87" s="160">
        <v>0</v>
      </c>
      <c r="GH87" s="160">
        <v>0</v>
      </c>
      <c r="GI87" s="160">
        <v>0</v>
      </c>
      <c r="GJ87" s="160">
        <v>0</v>
      </c>
      <c r="GK87" s="160">
        <v>0</v>
      </c>
      <c r="GL87" s="160">
        <v>0</v>
      </c>
      <c r="GM87" s="160">
        <v>0</v>
      </c>
      <c r="GN87" s="160">
        <v>0</v>
      </c>
      <c r="GO87" s="160">
        <v>0</v>
      </c>
      <c r="GP87" s="160">
        <v>0</v>
      </c>
      <c r="GQ87" s="160">
        <v>0</v>
      </c>
      <c r="GR87" s="160">
        <v>0</v>
      </c>
      <c r="GS87" s="160">
        <v>0</v>
      </c>
      <c r="GT87" s="160">
        <v>0</v>
      </c>
      <c r="GU87" s="160">
        <v>0</v>
      </c>
      <c r="GV87" s="160">
        <v>0</v>
      </c>
      <c r="GW87" s="160">
        <v>0</v>
      </c>
      <c r="GX87" s="160">
        <v>0</v>
      </c>
      <c r="GY87" s="160">
        <v>0</v>
      </c>
      <c r="GZ87" s="160">
        <v>0</v>
      </c>
      <c r="HA87" s="160">
        <v>0</v>
      </c>
      <c r="HB87" s="160">
        <v>0</v>
      </c>
      <c r="HC87" s="160">
        <v>0</v>
      </c>
      <c r="HD87" s="160">
        <v>0</v>
      </c>
      <c r="HE87" s="160">
        <v>0</v>
      </c>
      <c r="HF87" s="160">
        <v>0</v>
      </c>
      <c r="HG87" s="160">
        <v>0</v>
      </c>
      <c r="HH87" s="146">
        <v>0</v>
      </c>
      <c r="HI87" s="146">
        <v>0</v>
      </c>
      <c r="HJ87" s="146">
        <v>0</v>
      </c>
      <c r="HK87" s="146">
        <v>0</v>
      </c>
      <c r="HL87" s="146">
        <v>0</v>
      </c>
      <c r="HM87" s="146">
        <v>0</v>
      </c>
      <c r="HN87" s="146">
        <v>0</v>
      </c>
      <c r="HO87" s="146">
        <v>0</v>
      </c>
      <c r="HP87" s="146">
        <v>0</v>
      </c>
      <c r="HQ87" s="146">
        <v>0</v>
      </c>
      <c r="HR87" s="146">
        <v>0</v>
      </c>
      <c r="HS87" s="146">
        <v>0</v>
      </c>
      <c r="HT87" s="146">
        <v>0</v>
      </c>
      <c r="HU87" s="151"/>
      <c r="HV87" s="146">
        <v>0</v>
      </c>
      <c r="HW87" s="151"/>
      <c r="HX87" s="151"/>
      <c r="HY87" s="151"/>
      <c r="HZ87" s="151"/>
      <c r="IA87" s="151"/>
      <c r="IB87" s="151"/>
      <c r="IC87" s="151"/>
      <c r="ID87" s="151"/>
      <c r="IE87" s="151"/>
      <c r="IF87" s="151"/>
      <c r="IG87" s="151"/>
      <c r="IH87" s="151"/>
      <c r="II87" s="151"/>
      <c r="IJ87" s="151"/>
      <c r="IK87" s="151"/>
      <c r="IL87" s="151"/>
      <c r="IM87" s="151"/>
      <c r="IN87" s="151"/>
      <c r="IO87" s="151"/>
      <c r="IP87" s="151"/>
      <c r="IQ87" s="151"/>
      <c r="IR87" s="151"/>
      <c r="IS87" s="151"/>
      <c r="IT87" s="151"/>
      <c r="IU87" s="151"/>
      <c r="IV87" s="151"/>
      <c r="IW87" s="151"/>
      <c r="IX87" s="151"/>
      <c r="IY87" s="151"/>
      <c r="IZ87" s="151"/>
      <c r="JA87" s="151"/>
      <c r="JB87" s="151"/>
      <c r="JC87" s="151"/>
      <c r="JD87" s="151"/>
      <c r="JE87" s="151"/>
      <c r="JF87" s="151"/>
      <c r="JG87" s="151"/>
      <c r="JH87" s="151"/>
      <c r="JI87" s="151"/>
      <c r="JJ87" s="151"/>
      <c r="JK87" s="151"/>
      <c r="JL87" s="151"/>
      <c r="JM87" s="151"/>
      <c r="JN87" s="151"/>
      <c r="JO87" s="151"/>
      <c r="JP87" s="151"/>
      <c r="JQ87" s="151"/>
      <c r="JR87" s="151"/>
      <c r="JS87" s="151"/>
      <c r="JT87" s="151"/>
      <c r="JU87" s="151"/>
      <c r="JV87" s="151"/>
      <c r="JW87" s="151"/>
      <c r="JX87" s="151"/>
      <c r="JY87" s="151"/>
      <c r="JZ87" s="151"/>
      <c r="KA87" s="151"/>
      <c r="KB87" s="151"/>
      <c r="KC87" s="151"/>
      <c r="KD87" s="151"/>
      <c r="KE87" s="151"/>
      <c r="KF87" s="151"/>
      <c r="KG87" s="151"/>
      <c r="KH87" s="151"/>
      <c r="KI87" s="151"/>
      <c r="KJ87" s="151"/>
      <c r="KK87" s="151"/>
      <c r="KL87" s="151"/>
      <c r="KM87" s="151"/>
      <c r="KN87" s="151"/>
      <c r="KO87" s="151"/>
      <c r="KP87" s="151"/>
      <c r="KQ87" s="151"/>
      <c r="KR87" s="151"/>
      <c r="KS87" s="151"/>
      <c r="KT87" s="151"/>
      <c r="KU87" s="151"/>
      <c r="KV87" s="151"/>
      <c r="KW87" s="151"/>
      <c r="KX87" s="151"/>
      <c r="KY87" s="151"/>
      <c r="KZ87" s="151"/>
      <c r="LA87" s="151"/>
      <c r="LB87" s="151"/>
      <c r="LC87" s="151"/>
      <c r="LD87" s="151"/>
      <c r="LE87" s="151"/>
    </row>
    <row r="88" spans="1:317" x14ac:dyDescent="0.2">
      <c r="A88" s="179" t="s">
        <v>849</v>
      </c>
      <c r="B88" s="180" t="s">
        <v>987</v>
      </c>
      <c r="C88" s="181"/>
      <c r="D88" s="182">
        <v>0</v>
      </c>
      <c r="E88" s="182">
        <v>0</v>
      </c>
      <c r="F88" s="183" t="s">
        <v>1271</v>
      </c>
      <c r="G88" s="183">
        <v>0</v>
      </c>
      <c r="H88" s="183">
        <v>0</v>
      </c>
      <c r="I88" s="183">
        <v>0</v>
      </c>
      <c r="J88" s="183">
        <v>0</v>
      </c>
      <c r="K88" s="183" t="s">
        <v>1378</v>
      </c>
      <c r="L88" s="183">
        <v>0</v>
      </c>
      <c r="M88" s="183">
        <v>0</v>
      </c>
      <c r="N88" s="183" t="s">
        <v>872</v>
      </c>
      <c r="O88" s="183">
        <v>0</v>
      </c>
      <c r="P88" s="183">
        <v>0</v>
      </c>
      <c r="Q88" s="183"/>
      <c r="R88" s="183"/>
      <c r="S88" s="183"/>
      <c r="T88" s="183"/>
      <c r="U88" s="183"/>
      <c r="V88" s="183">
        <v>0</v>
      </c>
      <c r="W88" s="183">
        <v>0</v>
      </c>
      <c r="X88" s="183">
        <v>0</v>
      </c>
      <c r="Y88" s="184">
        <v>0</v>
      </c>
      <c r="Z88" s="184">
        <v>18.440000000000001</v>
      </c>
      <c r="AA88" s="184">
        <v>0</v>
      </c>
      <c r="AB88" s="185" t="s">
        <v>615</v>
      </c>
      <c r="AC88" s="185" t="s">
        <v>615</v>
      </c>
      <c r="AD88" s="186" t="s">
        <v>872</v>
      </c>
      <c r="AE88" s="186" t="s">
        <v>852</v>
      </c>
      <c r="AF88" s="187">
        <v>7</v>
      </c>
      <c r="AG88" s="187">
        <v>3</v>
      </c>
      <c r="AH88" s="187">
        <v>4</v>
      </c>
      <c r="AI88" s="188">
        <v>1</v>
      </c>
      <c r="AJ88" s="188" t="s">
        <v>615</v>
      </c>
      <c r="AK88" s="187" t="s">
        <v>1736</v>
      </c>
      <c r="AL88" s="87" t="s">
        <v>615</v>
      </c>
      <c r="AM88" s="189"/>
      <c r="AN88" s="187" t="s">
        <v>615</v>
      </c>
      <c r="AO88" s="13" t="s">
        <v>615</v>
      </c>
      <c r="AP88" s="187">
        <v>0</v>
      </c>
      <c r="AQ88" s="187">
        <v>0</v>
      </c>
      <c r="AR88" s="190">
        <v>0</v>
      </c>
      <c r="AS88" s="190">
        <v>0</v>
      </c>
      <c r="AT88" s="190">
        <v>0</v>
      </c>
      <c r="AU88" s="187">
        <v>0</v>
      </c>
      <c r="AV88" s="187">
        <v>0</v>
      </c>
      <c r="AW88" s="191"/>
      <c r="AX88" s="192"/>
      <c r="AY88" s="193">
        <v>42666</v>
      </c>
      <c r="AZ88" s="193"/>
      <c r="BA88" s="193"/>
      <c r="BB88" s="194"/>
      <c r="BC88" s="194"/>
      <c r="BD88" s="195"/>
      <c r="BE88" s="195" t="s">
        <v>532</v>
      </c>
      <c r="BF88" s="195"/>
      <c r="BG88" s="195">
        <v>20</v>
      </c>
      <c r="BH88" s="196" t="s">
        <v>547</v>
      </c>
      <c r="BI88" s="197">
        <v>1</v>
      </c>
      <c r="BJ88" s="198"/>
      <c r="BK88" s="199">
        <v>0</v>
      </c>
      <c r="BL88" s="13">
        <v>0</v>
      </c>
      <c r="BM88" s="13">
        <v>0</v>
      </c>
      <c r="BN88" s="13" t="s">
        <v>616</v>
      </c>
      <c r="BO88" s="13" t="s">
        <v>616</v>
      </c>
      <c r="BP88" s="200">
        <v>20</v>
      </c>
      <c r="BQ88" s="201"/>
      <c r="BR88" s="202"/>
      <c r="BS88" s="187">
        <v>1000000000</v>
      </c>
      <c r="BT88" s="203">
        <v>0</v>
      </c>
      <c r="BU88" s="204">
        <v>0</v>
      </c>
      <c r="BV88" s="203">
        <v>0</v>
      </c>
      <c r="BW88" s="205">
        <v>0</v>
      </c>
      <c r="BX88" s="205">
        <v>0</v>
      </c>
      <c r="BY88" s="205">
        <v>0</v>
      </c>
      <c r="BZ88" s="203">
        <v>0</v>
      </c>
      <c r="CA88" s="203">
        <v>0</v>
      </c>
      <c r="CB88" s="203">
        <v>0</v>
      </c>
      <c r="CC88" s="204">
        <v>0</v>
      </c>
      <c r="CD88" s="203">
        <v>0</v>
      </c>
      <c r="CE88" s="203">
        <v>0</v>
      </c>
      <c r="CF88" s="13">
        <v>0</v>
      </c>
      <c r="CG88" s="206">
        <v>0</v>
      </c>
      <c r="CH88" s="207">
        <v>0</v>
      </c>
      <c r="CI88" s="201"/>
      <c r="CJ88" s="208"/>
      <c r="CK88" s="209" t="s">
        <v>615</v>
      </c>
      <c r="CL88" s="210" t="s">
        <v>615</v>
      </c>
      <c r="CM88" s="207">
        <v>0</v>
      </c>
      <c r="CN88" s="207">
        <v>0</v>
      </c>
      <c r="CO88" s="204">
        <v>0</v>
      </c>
      <c r="CP88" s="204">
        <v>0</v>
      </c>
      <c r="CQ88" s="211"/>
      <c r="CR88" s="204">
        <v>1</v>
      </c>
      <c r="CS88" s="212">
        <v>42531</v>
      </c>
      <c r="CT88" s="212">
        <v>42780</v>
      </c>
      <c r="CU88" s="213">
        <v>42780</v>
      </c>
      <c r="CV88" s="214">
        <v>42829</v>
      </c>
      <c r="CW88" s="214" t="s">
        <v>615</v>
      </c>
      <c r="CX88" s="214" t="s">
        <v>615</v>
      </c>
      <c r="CY88" s="204">
        <v>1</v>
      </c>
      <c r="CZ88" s="204">
        <v>0.97959183673469385</v>
      </c>
      <c r="DA88" s="203">
        <v>0</v>
      </c>
      <c r="DB88" s="204">
        <v>0.97959183673469385</v>
      </c>
      <c r="DC88" s="204">
        <v>0</v>
      </c>
      <c r="DD88" s="204">
        <v>0</v>
      </c>
      <c r="DE88" s="204">
        <v>0</v>
      </c>
      <c r="DF88" s="215">
        <v>0</v>
      </c>
      <c r="DG88" s="13" t="s">
        <v>615</v>
      </c>
      <c r="DH88" s="86">
        <v>86</v>
      </c>
      <c r="DI88" s="86"/>
      <c r="DJ88" s="86">
        <v>90</v>
      </c>
      <c r="DK88" s="86" t="s">
        <v>1572</v>
      </c>
      <c r="DL88" s="86" t="e">
        <v>#N/A</v>
      </c>
      <c r="DM88" s="86" t="e">
        <v>#N/A</v>
      </c>
      <c r="DN88" s="86" t="e">
        <v>#N/A</v>
      </c>
      <c r="DO88" s="86">
        <v>93</v>
      </c>
      <c r="DP88" s="86">
        <v>2</v>
      </c>
      <c r="DQ88" s="86">
        <v>49</v>
      </c>
      <c r="DR88" s="152">
        <v>0</v>
      </c>
      <c r="DS88" s="152">
        <v>0</v>
      </c>
      <c r="DT88" s="152">
        <v>0</v>
      </c>
      <c r="DU88" s="152">
        <v>0</v>
      </c>
      <c r="DV88" s="152">
        <v>0</v>
      </c>
      <c r="DW88" s="152">
        <v>0</v>
      </c>
      <c r="DX88" s="152">
        <v>0</v>
      </c>
      <c r="DY88" s="152">
        <v>0</v>
      </c>
      <c r="DZ88" s="152">
        <v>0</v>
      </c>
      <c r="EA88" s="152">
        <v>0</v>
      </c>
      <c r="EB88" s="152">
        <v>0</v>
      </c>
      <c r="EC88" s="152">
        <v>0</v>
      </c>
      <c r="ED88" s="152">
        <v>0</v>
      </c>
      <c r="EE88" s="152">
        <v>0</v>
      </c>
      <c r="EF88" s="152">
        <v>0</v>
      </c>
      <c r="EG88" s="152">
        <v>0</v>
      </c>
      <c r="EH88" s="152">
        <v>0</v>
      </c>
      <c r="EI88" s="152">
        <v>0</v>
      </c>
      <c r="EJ88" s="152">
        <v>0</v>
      </c>
      <c r="EK88" s="152">
        <v>0</v>
      </c>
      <c r="EL88" s="152">
        <v>0</v>
      </c>
      <c r="EM88" s="152">
        <v>0</v>
      </c>
      <c r="EN88" s="152">
        <v>0</v>
      </c>
      <c r="EO88" s="152">
        <v>0</v>
      </c>
      <c r="EP88" s="152">
        <v>0</v>
      </c>
      <c r="EQ88" s="152">
        <v>0</v>
      </c>
      <c r="ER88" s="152">
        <v>0</v>
      </c>
      <c r="ES88" s="152">
        <v>0</v>
      </c>
      <c r="ET88" s="152">
        <v>0</v>
      </c>
      <c r="EU88" s="152">
        <v>0</v>
      </c>
      <c r="EV88" s="152">
        <v>0</v>
      </c>
      <c r="EW88" s="152">
        <v>0</v>
      </c>
      <c r="EX88" s="152">
        <v>0</v>
      </c>
      <c r="EY88" s="152">
        <v>0</v>
      </c>
      <c r="EZ88" s="152">
        <v>0</v>
      </c>
      <c r="FA88" s="152">
        <v>0</v>
      </c>
      <c r="FB88" s="152">
        <v>0</v>
      </c>
      <c r="FC88" s="152">
        <v>0</v>
      </c>
      <c r="FD88" s="152">
        <v>0</v>
      </c>
      <c r="FE88" s="152">
        <v>0</v>
      </c>
      <c r="FF88" s="152">
        <v>0</v>
      </c>
      <c r="FG88" s="152">
        <v>0</v>
      </c>
      <c r="FH88" s="152">
        <v>0</v>
      </c>
      <c r="FI88" s="152">
        <v>0</v>
      </c>
      <c r="FJ88" s="152">
        <v>0</v>
      </c>
      <c r="FK88" s="152">
        <v>0</v>
      </c>
      <c r="FL88" s="152">
        <v>0</v>
      </c>
      <c r="FM88" s="152">
        <v>0</v>
      </c>
      <c r="FN88" s="152">
        <v>0</v>
      </c>
      <c r="FO88" s="152">
        <v>0</v>
      </c>
      <c r="FP88" s="152">
        <v>0</v>
      </c>
      <c r="FQ88" s="152">
        <v>0</v>
      </c>
      <c r="FR88" s="152">
        <v>0</v>
      </c>
      <c r="FS88" s="166">
        <v>0</v>
      </c>
      <c r="FT88" s="166">
        <v>0</v>
      </c>
      <c r="FU88" s="166">
        <v>0</v>
      </c>
      <c r="FV88" s="166">
        <v>0</v>
      </c>
      <c r="FW88" s="166">
        <v>0</v>
      </c>
      <c r="FX88" s="166">
        <v>0</v>
      </c>
      <c r="FY88" s="166">
        <v>0</v>
      </c>
      <c r="FZ88" s="166">
        <v>0</v>
      </c>
      <c r="GA88" s="166">
        <v>0</v>
      </c>
      <c r="GB88" s="166">
        <v>0</v>
      </c>
      <c r="GC88" s="166">
        <v>0</v>
      </c>
      <c r="GD88" s="166">
        <v>0</v>
      </c>
      <c r="GE88" s="166">
        <v>0</v>
      </c>
      <c r="GF88" s="166">
        <v>0</v>
      </c>
      <c r="GG88" s="166">
        <v>0</v>
      </c>
      <c r="GH88" s="166">
        <v>0</v>
      </c>
      <c r="GI88" s="166">
        <v>0</v>
      </c>
      <c r="GJ88" s="166">
        <v>0</v>
      </c>
      <c r="GK88" s="166">
        <v>0</v>
      </c>
      <c r="GL88" s="166">
        <v>0</v>
      </c>
      <c r="GM88" s="166">
        <v>0</v>
      </c>
      <c r="GN88" s="166">
        <v>0</v>
      </c>
      <c r="GO88" s="166">
        <v>0</v>
      </c>
      <c r="GP88" s="166">
        <v>0</v>
      </c>
      <c r="GQ88" s="166">
        <v>0</v>
      </c>
      <c r="GR88" s="166">
        <v>0</v>
      </c>
      <c r="GS88" s="166">
        <v>0</v>
      </c>
      <c r="GT88" s="166">
        <v>0</v>
      </c>
      <c r="GU88" s="166">
        <v>0</v>
      </c>
      <c r="GV88" s="166">
        <v>0</v>
      </c>
      <c r="GW88" s="166">
        <v>0</v>
      </c>
      <c r="GX88" s="166">
        <v>0</v>
      </c>
      <c r="GY88" s="166">
        <v>0</v>
      </c>
      <c r="GZ88" s="166">
        <v>0</v>
      </c>
      <c r="HA88" s="166">
        <v>0</v>
      </c>
      <c r="HB88" s="166">
        <v>0</v>
      </c>
      <c r="HC88" s="166">
        <v>0</v>
      </c>
      <c r="HD88" s="166">
        <v>0</v>
      </c>
      <c r="HE88" s="166">
        <v>0</v>
      </c>
      <c r="HF88" s="166">
        <v>0</v>
      </c>
      <c r="HG88" s="166">
        <v>0</v>
      </c>
      <c r="HH88" s="152">
        <v>0</v>
      </c>
      <c r="HI88" s="152">
        <v>0</v>
      </c>
      <c r="HJ88" s="152">
        <v>0</v>
      </c>
      <c r="HK88" s="152">
        <v>0</v>
      </c>
      <c r="HL88" s="152">
        <v>0</v>
      </c>
      <c r="HM88" s="152">
        <v>0</v>
      </c>
      <c r="HN88" s="152">
        <v>0</v>
      </c>
      <c r="HO88" s="152">
        <v>0</v>
      </c>
      <c r="HP88" s="152">
        <v>0</v>
      </c>
      <c r="HQ88" s="152">
        <v>0</v>
      </c>
      <c r="HR88" s="152">
        <v>0</v>
      </c>
      <c r="HS88" s="152">
        <v>0</v>
      </c>
      <c r="HT88" s="152">
        <v>0</v>
      </c>
      <c r="HU88" s="216"/>
      <c r="HV88" s="152">
        <v>0</v>
      </c>
      <c r="HW88" s="216"/>
      <c r="HX88" s="216"/>
      <c r="HY88" s="216"/>
      <c r="HZ88" s="216"/>
      <c r="IA88" s="216"/>
      <c r="IB88" s="216"/>
      <c r="IC88" s="216"/>
      <c r="ID88" s="216"/>
      <c r="IE88" s="216"/>
      <c r="IF88" s="216"/>
      <c r="IG88" s="216"/>
      <c r="IH88" s="216"/>
      <c r="II88" s="216"/>
      <c r="IJ88" s="216"/>
      <c r="IK88" s="216"/>
      <c r="IL88" s="216"/>
      <c r="IM88" s="216"/>
      <c r="IN88" s="216"/>
      <c r="IO88" s="216"/>
      <c r="IP88" s="216"/>
      <c r="IQ88" s="216"/>
      <c r="IR88" s="216"/>
      <c r="IS88" s="216"/>
      <c r="IT88" s="216"/>
      <c r="IU88" s="216"/>
      <c r="IV88" s="216"/>
      <c r="IW88" s="216"/>
      <c r="IX88" s="216"/>
      <c r="IY88" s="216"/>
      <c r="IZ88" s="216"/>
      <c r="JA88" s="216"/>
      <c r="JB88" s="216"/>
      <c r="JC88" s="216"/>
      <c r="JD88" s="216"/>
      <c r="JE88" s="216"/>
      <c r="JF88" s="216"/>
      <c r="JG88" s="216"/>
      <c r="JH88" s="216"/>
      <c r="JI88" s="216"/>
      <c r="JJ88" s="216"/>
      <c r="JK88" s="216"/>
      <c r="JL88" s="216"/>
      <c r="JM88" s="216"/>
      <c r="JN88" s="216"/>
      <c r="JO88" s="216"/>
      <c r="JP88" s="216"/>
      <c r="JQ88" s="216"/>
      <c r="JR88" s="216"/>
      <c r="JS88" s="216"/>
      <c r="JT88" s="216"/>
      <c r="JU88" s="216"/>
      <c r="JV88" s="216"/>
      <c r="JW88" s="216"/>
      <c r="JX88" s="216"/>
      <c r="JY88" s="216"/>
      <c r="JZ88" s="216"/>
      <c r="KA88" s="216"/>
      <c r="KB88" s="216"/>
      <c r="KC88" s="216"/>
      <c r="KD88" s="216"/>
      <c r="KE88" s="216"/>
      <c r="KF88" s="216"/>
      <c r="KG88" s="216"/>
      <c r="KH88" s="216"/>
      <c r="KI88" s="216"/>
      <c r="KJ88" s="216"/>
      <c r="KK88" s="216"/>
      <c r="KL88" s="216"/>
      <c r="KM88" s="216"/>
      <c r="KN88" s="216"/>
      <c r="KO88" s="216"/>
      <c r="KP88" s="216"/>
      <c r="KQ88" s="216"/>
      <c r="KR88" s="216"/>
      <c r="KS88" s="216"/>
      <c r="KT88" s="216"/>
      <c r="KU88" s="216"/>
      <c r="KV88" s="216"/>
      <c r="KW88" s="216"/>
      <c r="KX88" s="216"/>
      <c r="KY88" s="216"/>
      <c r="KZ88" s="216"/>
      <c r="LA88" s="216"/>
      <c r="LB88" s="216"/>
      <c r="LC88" s="216"/>
      <c r="LD88" s="216"/>
      <c r="LE88" s="216"/>
    </row>
    <row r="89" spans="1:317" x14ac:dyDescent="0.2">
      <c r="A89" s="179" t="s">
        <v>849</v>
      </c>
      <c r="B89" s="180" t="s">
        <v>988</v>
      </c>
      <c r="C89" s="181"/>
      <c r="D89" s="182">
        <v>0</v>
      </c>
      <c r="E89" s="182">
        <v>0</v>
      </c>
      <c r="F89" s="183" t="s">
        <v>1272</v>
      </c>
      <c r="G89" s="183">
        <v>0</v>
      </c>
      <c r="H89" s="183">
        <v>0</v>
      </c>
      <c r="I89" s="183">
        <v>0</v>
      </c>
      <c r="J89" s="183">
        <v>0</v>
      </c>
      <c r="K89" s="183" t="s">
        <v>1379</v>
      </c>
      <c r="L89" s="183">
        <v>0</v>
      </c>
      <c r="M89" s="183">
        <v>0</v>
      </c>
      <c r="N89" s="183" t="s">
        <v>872</v>
      </c>
      <c r="O89" s="183">
        <v>0</v>
      </c>
      <c r="P89" s="183">
        <v>0</v>
      </c>
      <c r="Q89" s="183"/>
      <c r="R89" s="183"/>
      <c r="S89" s="183"/>
      <c r="T89" s="183"/>
      <c r="U89" s="183"/>
      <c r="V89" s="183">
        <v>0</v>
      </c>
      <c r="W89" s="183">
        <v>0</v>
      </c>
      <c r="X89" s="183">
        <v>0</v>
      </c>
      <c r="Y89" s="184">
        <v>4.92</v>
      </c>
      <c r="Z89" s="184">
        <v>13.18</v>
      </c>
      <c r="AA89" s="184">
        <v>0</v>
      </c>
      <c r="AB89" s="185" t="s">
        <v>615</v>
      </c>
      <c r="AC89" s="185" t="s">
        <v>615</v>
      </c>
      <c r="AD89" s="186" t="s">
        <v>872</v>
      </c>
      <c r="AE89" s="186" t="s">
        <v>852</v>
      </c>
      <c r="AF89" s="187">
        <v>7</v>
      </c>
      <c r="AG89" s="187">
        <v>3</v>
      </c>
      <c r="AH89" s="187">
        <v>4</v>
      </c>
      <c r="AI89" s="188">
        <v>1</v>
      </c>
      <c r="AJ89" s="188" t="s">
        <v>615</v>
      </c>
      <c r="AK89" s="187" t="s">
        <v>1733</v>
      </c>
      <c r="AL89" s="87" t="s">
        <v>615</v>
      </c>
      <c r="AM89" s="189"/>
      <c r="AN89" s="187" t="s">
        <v>615</v>
      </c>
      <c r="AO89" s="13" t="s">
        <v>615</v>
      </c>
      <c r="AP89" s="187">
        <v>0</v>
      </c>
      <c r="AQ89" s="187">
        <v>0</v>
      </c>
      <c r="AR89" s="190">
        <v>0</v>
      </c>
      <c r="AS89" s="190">
        <v>0</v>
      </c>
      <c r="AT89" s="190">
        <v>0</v>
      </c>
      <c r="AU89" s="187">
        <v>0</v>
      </c>
      <c r="AV89" s="187">
        <v>0</v>
      </c>
      <c r="AW89" s="191"/>
      <c r="AX89" s="192"/>
      <c r="AY89" s="193">
        <v>42666</v>
      </c>
      <c r="AZ89" s="193"/>
      <c r="BA89" s="193"/>
      <c r="BB89" s="194"/>
      <c r="BC89" s="194"/>
      <c r="BD89" s="195"/>
      <c r="BE89" s="195" t="s">
        <v>532</v>
      </c>
      <c r="BF89" s="195"/>
      <c r="BG89" s="195">
        <v>25</v>
      </c>
      <c r="BH89" s="196" t="s">
        <v>547</v>
      </c>
      <c r="BI89" s="197">
        <v>1</v>
      </c>
      <c r="BJ89" s="198"/>
      <c r="BK89" s="199">
        <v>0</v>
      </c>
      <c r="BL89" s="13">
        <v>0</v>
      </c>
      <c r="BM89" s="13">
        <v>0</v>
      </c>
      <c r="BN89" s="13" t="s">
        <v>616</v>
      </c>
      <c r="BO89" s="13" t="s">
        <v>616</v>
      </c>
      <c r="BP89" s="200">
        <v>25</v>
      </c>
      <c r="BQ89" s="201"/>
      <c r="BR89" s="202"/>
      <c r="BS89" s="187">
        <v>1000000000</v>
      </c>
      <c r="BT89" s="203">
        <v>40</v>
      </c>
      <c r="BU89" s="204">
        <v>0</v>
      </c>
      <c r="BV89" s="203">
        <v>0</v>
      </c>
      <c r="BW89" s="205">
        <v>0</v>
      </c>
      <c r="BX89" s="205">
        <v>0</v>
      </c>
      <c r="BY89" s="205">
        <v>0</v>
      </c>
      <c r="BZ89" s="203">
        <v>0</v>
      </c>
      <c r="CA89" s="203">
        <v>0</v>
      </c>
      <c r="CB89" s="203">
        <v>40</v>
      </c>
      <c r="CC89" s="204">
        <v>0</v>
      </c>
      <c r="CD89" s="203">
        <v>0</v>
      </c>
      <c r="CE89" s="203">
        <v>0</v>
      </c>
      <c r="CF89" s="13">
        <v>0</v>
      </c>
      <c r="CG89" s="206">
        <v>0</v>
      </c>
      <c r="CH89" s="207">
        <v>0</v>
      </c>
      <c r="CI89" s="201"/>
      <c r="CJ89" s="208"/>
      <c r="CK89" s="209" t="s">
        <v>615</v>
      </c>
      <c r="CL89" s="210" t="s">
        <v>615</v>
      </c>
      <c r="CM89" s="207">
        <v>0</v>
      </c>
      <c r="CN89" s="207">
        <v>0</v>
      </c>
      <c r="CO89" s="204">
        <v>0</v>
      </c>
      <c r="CP89" s="204">
        <v>0</v>
      </c>
      <c r="CQ89" s="211"/>
      <c r="CR89" s="204">
        <v>1</v>
      </c>
      <c r="CS89" s="212">
        <v>42592</v>
      </c>
      <c r="CT89" s="212">
        <v>42780</v>
      </c>
      <c r="CU89" s="213">
        <v>42780</v>
      </c>
      <c r="CV89" s="214">
        <v>42829</v>
      </c>
      <c r="CW89" s="214" t="s">
        <v>615</v>
      </c>
      <c r="CX89" s="214" t="s">
        <v>615</v>
      </c>
      <c r="CY89" s="204">
        <v>0</v>
      </c>
      <c r="CZ89" s="204">
        <v>0.97959183673469385</v>
      </c>
      <c r="DA89" s="203">
        <v>0</v>
      </c>
      <c r="DB89" s="204">
        <v>0</v>
      </c>
      <c r="DC89" s="204">
        <v>0</v>
      </c>
      <c r="DD89" s="204">
        <v>0</v>
      </c>
      <c r="DE89" s="204">
        <v>0</v>
      </c>
      <c r="DF89" s="215">
        <v>0.97959183673469385</v>
      </c>
      <c r="DG89" s="13" t="s">
        <v>615</v>
      </c>
      <c r="DH89" s="86">
        <v>87</v>
      </c>
      <c r="DI89" s="86"/>
      <c r="DJ89" s="86">
        <v>64</v>
      </c>
      <c r="DK89" s="86" t="s">
        <v>1486</v>
      </c>
      <c r="DL89" s="86" t="e">
        <v>#N/A</v>
      </c>
      <c r="DM89" s="86">
        <v>38</v>
      </c>
      <c r="DN89" s="86" t="e">
        <v>#N/A</v>
      </c>
      <c r="DO89" s="86">
        <v>66</v>
      </c>
      <c r="DP89" s="86">
        <v>2</v>
      </c>
      <c r="DQ89" s="86">
        <v>49</v>
      </c>
      <c r="DR89" s="146">
        <v>40</v>
      </c>
      <c r="DS89" s="146">
        <v>40</v>
      </c>
      <c r="DT89" s="146">
        <v>40</v>
      </c>
      <c r="DU89" s="146">
        <v>40</v>
      </c>
      <c r="DV89" s="146">
        <v>40</v>
      </c>
      <c r="DW89" s="146">
        <v>40</v>
      </c>
      <c r="DX89" s="146">
        <v>40</v>
      </c>
      <c r="DY89" s="146">
        <v>40</v>
      </c>
      <c r="DZ89" s="146">
        <v>40</v>
      </c>
      <c r="EA89" s="146">
        <v>40</v>
      </c>
      <c r="EB89" s="146">
        <v>40</v>
      </c>
      <c r="EC89" s="146">
        <v>40</v>
      </c>
      <c r="ED89" s="146">
        <v>40</v>
      </c>
      <c r="EE89" s="146">
        <v>40</v>
      </c>
      <c r="EF89" s="146">
        <v>40</v>
      </c>
      <c r="EG89" s="146">
        <v>40</v>
      </c>
      <c r="EH89" s="146">
        <v>40</v>
      </c>
      <c r="EI89" s="146">
        <v>40</v>
      </c>
      <c r="EJ89" s="146">
        <v>40</v>
      </c>
      <c r="EK89" s="146">
        <v>40</v>
      </c>
      <c r="EL89" s="146">
        <v>40</v>
      </c>
      <c r="EM89" s="146">
        <v>40</v>
      </c>
      <c r="EN89" s="146">
        <v>40</v>
      </c>
      <c r="EO89" s="146">
        <v>40</v>
      </c>
      <c r="EP89" s="146">
        <v>40</v>
      </c>
      <c r="EQ89" s="146">
        <v>40</v>
      </c>
      <c r="ER89" s="146">
        <v>40</v>
      </c>
      <c r="ES89" s="146">
        <v>40</v>
      </c>
      <c r="ET89" s="146">
        <v>40</v>
      </c>
      <c r="EU89" s="146">
        <v>40</v>
      </c>
      <c r="EV89" s="146">
        <v>40</v>
      </c>
      <c r="EW89" s="146">
        <v>40</v>
      </c>
      <c r="EX89" s="146">
        <v>40</v>
      </c>
      <c r="EY89" s="146">
        <v>40</v>
      </c>
      <c r="EZ89" s="146">
        <v>40</v>
      </c>
      <c r="FA89" s="146">
        <v>40</v>
      </c>
      <c r="FB89" s="146">
        <v>40</v>
      </c>
      <c r="FC89" s="146">
        <v>40</v>
      </c>
      <c r="FD89" s="146">
        <v>40</v>
      </c>
      <c r="FE89" s="146">
        <v>40</v>
      </c>
      <c r="FF89" s="146">
        <v>40</v>
      </c>
      <c r="FG89" s="146">
        <v>40</v>
      </c>
      <c r="FH89" s="146">
        <v>40</v>
      </c>
      <c r="FI89" s="146">
        <v>40</v>
      </c>
      <c r="FJ89" s="146">
        <v>40</v>
      </c>
      <c r="FK89" s="146">
        <v>40</v>
      </c>
      <c r="FL89" s="146">
        <v>40</v>
      </c>
      <c r="FM89" s="146">
        <v>40</v>
      </c>
      <c r="FN89" s="146">
        <v>40</v>
      </c>
      <c r="FO89" s="146">
        <v>40</v>
      </c>
      <c r="FP89" s="146">
        <v>40</v>
      </c>
      <c r="FQ89" s="146">
        <v>40</v>
      </c>
      <c r="FR89" s="146">
        <v>40</v>
      </c>
      <c r="FS89" s="161">
        <v>40</v>
      </c>
      <c r="FT89" s="161">
        <v>40</v>
      </c>
      <c r="FU89" s="161">
        <v>40</v>
      </c>
      <c r="FV89" s="161">
        <v>40</v>
      </c>
      <c r="FW89" s="161">
        <v>40</v>
      </c>
      <c r="FX89" s="161">
        <v>40</v>
      </c>
      <c r="FY89" s="161">
        <v>40</v>
      </c>
      <c r="FZ89" s="161">
        <v>40</v>
      </c>
      <c r="GA89" s="161">
        <v>40</v>
      </c>
      <c r="GB89" s="161">
        <v>40</v>
      </c>
      <c r="GC89" s="161">
        <v>40</v>
      </c>
      <c r="GD89" s="161">
        <v>40</v>
      </c>
      <c r="GE89" s="161">
        <v>40</v>
      </c>
      <c r="GF89" s="161">
        <v>40</v>
      </c>
      <c r="GG89" s="161">
        <v>40</v>
      </c>
      <c r="GH89" s="161">
        <v>40</v>
      </c>
      <c r="GI89" s="161">
        <v>40</v>
      </c>
      <c r="GJ89" s="161">
        <v>40</v>
      </c>
      <c r="GK89" s="161">
        <v>40</v>
      </c>
      <c r="GL89" s="161">
        <v>40</v>
      </c>
      <c r="GM89" s="161">
        <v>40</v>
      </c>
      <c r="GN89" s="161">
        <v>40</v>
      </c>
      <c r="GO89" s="161">
        <v>40</v>
      </c>
      <c r="GP89" s="161">
        <v>40</v>
      </c>
      <c r="GQ89" s="161">
        <v>40</v>
      </c>
      <c r="GR89" s="161">
        <v>40</v>
      </c>
      <c r="GS89" s="161">
        <v>40</v>
      </c>
      <c r="GT89" s="161">
        <v>40</v>
      </c>
      <c r="GU89" s="161">
        <v>40</v>
      </c>
      <c r="GV89" s="161">
        <v>40</v>
      </c>
      <c r="GW89" s="161">
        <v>40</v>
      </c>
      <c r="GX89" s="161">
        <v>40</v>
      </c>
      <c r="GY89" s="161">
        <v>40</v>
      </c>
      <c r="GZ89" s="161">
        <v>40</v>
      </c>
      <c r="HA89" s="161">
        <v>40</v>
      </c>
      <c r="HB89" s="161">
        <v>40</v>
      </c>
      <c r="HC89" s="161">
        <v>40</v>
      </c>
      <c r="HD89" s="161">
        <v>40</v>
      </c>
      <c r="HE89" s="161">
        <v>40</v>
      </c>
      <c r="HF89" s="161">
        <v>40</v>
      </c>
      <c r="HG89" s="161">
        <v>40</v>
      </c>
      <c r="HH89" s="161">
        <v>40</v>
      </c>
      <c r="HI89" s="146">
        <v>40</v>
      </c>
      <c r="HJ89" s="146">
        <v>40</v>
      </c>
      <c r="HK89" s="146">
        <v>40</v>
      </c>
      <c r="HL89" s="146">
        <v>40</v>
      </c>
      <c r="HM89" s="146">
        <v>40</v>
      </c>
      <c r="HN89" s="146">
        <v>40</v>
      </c>
      <c r="HO89" s="146">
        <v>40</v>
      </c>
      <c r="HP89" s="146">
        <v>40</v>
      </c>
      <c r="HQ89" s="146">
        <v>40</v>
      </c>
      <c r="HR89" s="146">
        <v>40</v>
      </c>
      <c r="HS89" s="146">
        <v>40</v>
      </c>
      <c r="HT89" s="146">
        <v>40</v>
      </c>
      <c r="HU89" s="151"/>
      <c r="HV89" s="146">
        <v>40</v>
      </c>
      <c r="HW89" s="151"/>
      <c r="HX89" s="151"/>
      <c r="HY89" s="151"/>
      <c r="HZ89" s="151"/>
      <c r="IA89" s="151"/>
      <c r="IB89" s="151"/>
      <c r="IC89" s="151"/>
      <c r="ID89" s="151"/>
      <c r="IE89" s="151"/>
      <c r="IF89" s="151"/>
      <c r="IG89" s="151"/>
      <c r="IH89" s="151"/>
      <c r="II89" s="151"/>
      <c r="IJ89" s="151"/>
      <c r="IK89" s="151"/>
      <c r="IL89" s="151"/>
      <c r="IM89" s="151"/>
      <c r="IN89" s="151"/>
      <c r="IO89" s="151"/>
      <c r="IP89" s="151"/>
      <c r="IQ89" s="151"/>
      <c r="IR89" s="151"/>
      <c r="IS89" s="151"/>
      <c r="IT89" s="151"/>
      <c r="IU89" s="151"/>
      <c r="IV89" s="151"/>
      <c r="IW89" s="151"/>
      <c r="IX89" s="151"/>
      <c r="IY89" s="151"/>
      <c r="IZ89" s="151"/>
      <c r="JA89" s="151"/>
      <c r="JB89" s="151"/>
      <c r="JC89" s="151"/>
      <c r="JD89" s="151"/>
      <c r="JE89" s="151"/>
      <c r="JF89" s="151"/>
      <c r="JG89" s="151"/>
      <c r="JH89" s="151"/>
      <c r="JI89" s="151"/>
      <c r="JJ89" s="151"/>
      <c r="JK89" s="151"/>
      <c r="JL89" s="151"/>
      <c r="JM89" s="151"/>
      <c r="JN89" s="151"/>
      <c r="JO89" s="151"/>
      <c r="JP89" s="151"/>
      <c r="JQ89" s="151"/>
      <c r="JR89" s="151"/>
      <c r="JS89" s="151"/>
      <c r="JT89" s="151"/>
      <c r="JU89" s="151"/>
      <c r="JV89" s="151"/>
      <c r="JW89" s="151"/>
      <c r="JX89" s="151"/>
      <c r="JY89" s="151"/>
      <c r="JZ89" s="151"/>
      <c r="KA89" s="151"/>
      <c r="KB89" s="151"/>
      <c r="KC89" s="151"/>
      <c r="KD89" s="151"/>
      <c r="KE89" s="151"/>
      <c r="KF89" s="151"/>
      <c r="KG89" s="151"/>
      <c r="KH89" s="151"/>
      <c r="KI89" s="151"/>
      <c r="KJ89" s="151"/>
      <c r="KK89" s="151"/>
      <c r="KL89" s="151"/>
      <c r="KM89" s="151"/>
      <c r="KN89" s="151"/>
      <c r="KO89" s="151"/>
      <c r="KP89" s="151"/>
      <c r="KQ89" s="151"/>
      <c r="KR89" s="151"/>
      <c r="KS89" s="151"/>
      <c r="KT89" s="151"/>
      <c r="KU89" s="151"/>
      <c r="KV89" s="151"/>
      <c r="KW89" s="151"/>
      <c r="KX89" s="151"/>
      <c r="KY89" s="151"/>
      <c r="KZ89" s="151"/>
      <c r="LA89" s="151"/>
      <c r="LB89" s="151"/>
      <c r="LC89" s="151"/>
      <c r="LD89" s="151"/>
      <c r="LE89" s="151"/>
    </row>
    <row r="90" spans="1:317" x14ac:dyDescent="0.2">
      <c r="A90" s="179" t="s">
        <v>849</v>
      </c>
      <c r="B90" s="180" t="s">
        <v>989</v>
      </c>
      <c r="C90" s="181"/>
      <c r="D90" s="182">
        <v>0</v>
      </c>
      <c r="E90" s="182">
        <v>0</v>
      </c>
      <c r="F90" s="183" t="s">
        <v>1273</v>
      </c>
      <c r="G90" s="183">
        <v>0</v>
      </c>
      <c r="H90" s="183">
        <v>0</v>
      </c>
      <c r="I90" s="183">
        <v>0</v>
      </c>
      <c r="J90" s="183">
        <v>0</v>
      </c>
      <c r="K90" s="183" t="s">
        <v>1380</v>
      </c>
      <c r="L90" s="183">
        <v>0</v>
      </c>
      <c r="M90" s="183">
        <v>0</v>
      </c>
      <c r="N90" s="183" t="s">
        <v>872</v>
      </c>
      <c r="O90" s="183">
        <v>0</v>
      </c>
      <c r="P90" s="183">
        <v>0</v>
      </c>
      <c r="Q90" s="183"/>
      <c r="R90" s="183"/>
      <c r="S90" s="183"/>
      <c r="T90" s="183"/>
      <c r="U90" s="183"/>
      <c r="V90" s="183">
        <v>0</v>
      </c>
      <c r="W90" s="183">
        <v>0</v>
      </c>
      <c r="X90" s="183">
        <v>0</v>
      </c>
      <c r="Y90" s="184">
        <v>0</v>
      </c>
      <c r="Z90" s="184">
        <v>6.59</v>
      </c>
      <c r="AA90" s="184">
        <v>0</v>
      </c>
      <c r="AB90" s="185" t="s">
        <v>615</v>
      </c>
      <c r="AC90" s="185" t="s">
        <v>615</v>
      </c>
      <c r="AD90" s="186" t="s">
        <v>872</v>
      </c>
      <c r="AE90" s="186" t="s">
        <v>852</v>
      </c>
      <c r="AF90" s="187">
        <v>7</v>
      </c>
      <c r="AG90" s="187">
        <v>3</v>
      </c>
      <c r="AH90" s="187">
        <v>4</v>
      </c>
      <c r="AI90" s="188">
        <v>1</v>
      </c>
      <c r="AJ90" s="188" t="s">
        <v>615</v>
      </c>
      <c r="AK90" s="187" t="s">
        <v>1736</v>
      </c>
      <c r="AL90" s="87" t="s">
        <v>615</v>
      </c>
      <c r="AM90" s="189"/>
      <c r="AN90" s="187" t="s">
        <v>615</v>
      </c>
      <c r="AO90" s="13" t="s">
        <v>615</v>
      </c>
      <c r="AP90" s="187">
        <v>0</v>
      </c>
      <c r="AQ90" s="187">
        <v>0</v>
      </c>
      <c r="AR90" s="190">
        <v>0</v>
      </c>
      <c r="AS90" s="190">
        <v>0</v>
      </c>
      <c r="AT90" s="190">
        <v>0</v>
      </c>
      <c r="AU90" s="187">
        <v>0</v>
      </c>
      <c r="AV90" s="187">
        <v>0</v>
      </c>
      <c r="AW90" s="191"/>
      <c r="AX90" s="192"/>
      <c r="AY90" s="193">
        <v>42666</v>
      </c>
      <c r="AZ90" s="193"/>
      <c r="BA90" s="193"/>
      <c r="BB90" s="194"/>
      <c r="BC90" s="194"/>
      <c r="BD90" s="195"/>
      <c r="BE90" s="195" t="s">
        <v>532</v>
      </c>
      <c r="BF90" s="195"/>
      <c r="BG90" s="195">
        <v>25</v>
      </c>
      <c r="BH90" s="196" t="s">
        <v>547</v>
      </c>
      <c r="BI90" s="197">
        <v>1</v>
      </c>
      <c r="BJ90" s="198"/>
      <c r="BK90" s="199">
        <v>0</v>
      </c>
      <c r="BL90" s="13">
        <v>0</v>
      </c>
      <c r="BM90" s="13">
        <v>0</v>
      </c>
      <c r="BN90" s="13" t="s">
        <v>616</v>
      </c>
      <c r="BO90" s="13" t="s">
        <v>616</v>
      </c>
      <c r="BP90" s="200">
        <v>25</v>
      </c>
      <c r="BQ90" s="201"/>
      <c r="BR90" s="202"/>
      <c r="BS90" s="187">
        <v>1000000000</v>
      </c>
      <c r="BT90" s="203">
        <v>0</v>
      </c>
      <c r="BU90" s="204">
        <v>0</v>
      </c>
      <c r="BV90" s="203">
        <v>0</v>
      </c>
      <c r="BW90" s="205">
        <v>0</v>
      </c>
      <c r="BX90" s="205">
        <v>0</v>
      </c>
      <c r="BY90" s="205">
        <v>0</v>
      </c>
      <c r="BZ90" s="203">
        <v>0</v>
      </c>
      <c r="CA90" s="203">
        <v>0</v>
      </c>
      <c r="CB90" s="203">
        <v>0</v>
      </c>
      <c r="CC90" s="204">
        <v>0</v>
      </c>
      <c r="CD90" s="203">
        <v>0</v>
      </c>
      <c r="CE90" s="203">
        <v>0</v>
      </c>
      <c r="CF90" s="13">
        <v>0</v>
      </c>
      <c r="CG90" s="206">
        <v>0</v>
      </c>
      <c r="CH90" s="207">
        <v>0</v>
      </c>
      <c r="CI90" s="201"/>
      <c r="CJ90" s="208"/>
      <c r="CK90" s="209" t="s">
        <v>615</v>
      </c>
      <c r="CL90" s="210" t="s">
        <v>615</v>
      </c>
      <c r="CM90" s="207">
        <v>0</v>
      </c>
      <c r="CN90" s="207">
        <v>0</v>
      </c>
      <c r="CO90" s="204">
        <v>0</v>
      </c>
      <c r="CP90" s="204">
        <v>0</v>
      </c>
      <c r="CQ90" s="211"/>
      <c r="CR90" s="204">
        <v>1</v>
      </c>
      <c r="CS90" s="212">
        <v>42531</v>
      </c>
      <c r="CT90" s="212">
        <v>42780</v>
      </c>
      <c r="CU90" s="213">
        <v>42780</v>
      </c>
      <c r="CV90" s="214">
        <v>42829</v>
      </c>
      <c r="CW90" s="214" t="s">
        <v>615</v>
      </c>
      <c r="CX90" s="214" t="s">
        <v>615</v>
      </c>
      <c r="CY90" s="204">
        <v>1</v>
      </c>
      <c r="CZ90" s="204">
        <v>0.97959183673469385</v>
      </c>
      <c r="DA90" s="203">
        <v>0</v>
      </c>
      <c r="DB90" s="204">
        <v>0.97959183673469385</v>
      </c>
      <c r="DC90" s="204">
        <v>0</v>
      </c>
      <c r="DD90" s="204">
        <v>0</v>
      </c>
      <c r="DE90" s="204">
        <v>0</v>
      </c>
      <c r="DF90" s="215">
        <v>0</v>
      </c>
      <c r="DG90" s="13" t="s">
        <v>615</v>
      </c>
      <c r="DH90" s="86">
        <v>88</v>
      </c>
      <c r="DI90" s="86"/>
      <c r="DJ90" s="86">
        <v>63</v>
      </c>
      <c r="DK90" s="86" t="s">
        <v>1550</v>
      </c>
      <c r="DL90" s="86" t="e">
        <v>#N/A</v>
      </c>
      <c r="DM90" s="86" t="e">
        <v>#N/A</v>
      </c>
      <c r="DN90" s="86" t="e">
        <v>#N/A</v>
      </c>
      <c r="DO90" s="86">
        <v>65</v>
      </c>
      <c r="DP90" s="86">
        <v>2</v>
      </c>
      <c r="DQ90" s="86">
        <v>49</v>
      </c>
      <c r="DR90" s="152">
        <v>0</v>
      </c>
      <c r="DS90" s="152">
        <v>0</v>
      </c>
      <c r="DT90" s="152">
        <v>0</v>
      </c>
      <c r="DU90" s="152">
        <v>0</v>
      </c>
      <c r="DV90" s="152">
        <v>0</v>
      </c>
      <c r="DW90" s="152">
        <v>0</v>
      </c>
      <c r="DX90" s="152">
        <v>0</v>
      </c>
      <c r="DY90" s="152">
        <v>0</v>
      </c>
      <c r="DZ90" s="152">
        <v>0</v>
      </c>
      <c r="EA90" s="152">
        <v>0</v>
      </c>
      <c r="EB90" s="152">
        <v>0</v>
      </c>
      <c r="EC90" s="152">
        <v>0</v>
      </c>
      <c r="ED90" s="152">
        <v>0</v>
      </c>
      <c r="EE90" s="152">
        <v>0</v>
      </c>
      <c r="EF90" s="152">
        <v>0</v>
      </c>
      <c r="EG90" s="152">
        <v>0</v>
      </c>
      <c r="EH90" s="152">
        <v>0</v>
      </c>
      <c r="EI90" s="152">
        <v>0</v>
      </c>
      <c r="EJ90" s="152">
        <v>0</v>
      </c>
      <c r="EK90" s="152">
        <v>0</v>
      </c>
      <c r="EL90" s="152">
        <v>0</v>
      </c>
      <c r="EM90" s="152">
        <v>0</v>
      </c>
      <c r="EN90" s="152">
        <v>0</v>
      </c>
      <c r="EO90" s="152">
        <v>0</v>
      </c>
      <c r="EP90" s="152">
        <v>0</v>
      </c>
      <c r="EQ90" s="152">
        <v>0</v>
      </c>
      <c r="ER90" s="152">
        <v>0</v>
      </c>
      <c r="ES90" s="152">
        <v>0</v>
      </c>
      <c r="ET90" s="152">
        <v>0</v>
      </c>
      <c r="EU90" s="152">
        <v>0</v>
      </c>
      <c r="EV90" s="152">
        <v>0</v>
      </c>
      <c r="EW90" s="152">
        <v>0</v>
      </c>
      <c r="EX90" s="152">
        <v>0</v>
      </c>
      <c r="EY90" s="152">
        <v>0</v>
      </c>
      <c r="EZ90" s="152">
        <v>0</v>
      </c>
      <c r="FA90" s="152">
        <v>0</v>
      </c>
      <c r="FB90" s="152">
        <v>0</v>
      </c>
      <c r="FC90" s="152">
        <v>0</v>
      </c>
      <c r="FD90" s="152">
        <v>0</v>
      </c>
      <c r="FE90" s="152">
        <v>0</v>
      </c>
      <c r="FF90" s="152">
        <v>0</v>
      </c>
      <c r="FG90" s="152">
        <v>0</v>
      </c>
      <c r="FH90" s="152">
        <v>0</v>
      </c>
      <c r="FI90" s="152">
        <v>0</v>
      </c>
      <c r="FJ90" s="152">
        <v>0</v>
      </c>
      <c r="FK90" s="152">
        <v>0</v>
      </c>
      <c r="FL90" s="152">
        <v>0</v>
      </c>
      <c r="FM90" s="152">
        <v>0</v>
      </c>
      <c r="FN90" s="152">
        <v>0</v>
      </c>
      <c r="FO90" s="152">
        <v>0</v>
      </c>
      <c r="FP90" s="152">
        <v>0</v>
      </c>
      <c r="FQ90" s="152">
        <v>0</v>
      </c>
      <c r="FR90" s="152">
        <v>0</v>
      </c>
      <c r="FS90" s="166">
        <v>0</v>
      </c>
      <c r="FT90" s="166">
        <v>0</v>
      </c>
      <c r="FU90" s="166">
        <v>0</v>
      </c>
      <c r="FV90" s="166">
        <v>0</v>
      </c>
      <c r="FW90" s="166">
        <v>0</v>
      </c>
      <c r="FX90" s="166">
        <v>0</v>
      </c>
      <c r="FY90" s="166">
        <v>0</v>
      </c>
      <c r="FZ90" s="166">
        <v>0</v>
      </c>
      <c r="GA90" s="166">
        <v>0</v>
      </c>
      <c r="GB90" s="166">
        <v>0</v>
      </c>
      <c r="GC90" s="166">
        <v>0</v>
      </c>
      <c r="GD90" s="166">
        <v>0</v>
      </c>
      <c r="GE90" s="166">
        <v>0</v>
      </c>
      <c r="GF90" s="166">
        <v>0</v>
      </c>
      <c r="GG90" s="166">
        <v>0</v>
      </c>
      <c r="GH90" s="166">
        <v>0</v>
      </c>
      <c r="GI90" s="166">
        <v>0</v>
      </c>
      <c r="GJ90" s="166">
        <v>0</v>
      </c>
      <c r="GK90" s="166">
        <v>0</v>
      </c>
      <c r="GL90" s="166">
        <v>0</v>
      </c>
      <c r="GM90" s="166">
        <v>0</v>
      </c>
      <c r="GN90" s="166">
        <v>0</v>
      </c>
      <c r="GO90" s="166">
        <v>0</v>
      </c>
      <c r="GP90" s="166">
        <v>0</v>
      </c>
      <c r="GQ90" s="166">
        <v>0</v>
      </c>
      <c r="GR90" s="166">
        <v>0</v>
      </c>
      <c r="GS90" s="166">
        <v>0</v>
      </c>
      <c r="GT90" s="166">
        <v>0</v>
      </c>
      <c r="GU90" s="166">
        <v>0</v>
      </c>
      <c r="GV90" s="166">
        <v>0</v>
      </c>
      <c r="GW90" s="166">
        <v>0</v>
      </c>
      <c r="GX90" s="166">
        <v>0</v>
      </c>
      <c r="GY90" s="166">
        <v>0</v>
      </c>
      <c r="GZ90" s="166">
        <v>0</v>
      </c>
      <c r="HA90" s="166">
        <v>0</v>
      </c>
      <c r="HB90" s="166">
        <v>0</v>
      </c>
      <c r="HC90" s="166">
        <v>0</v>
      </c>
      <c r="HD90" s="166">
        <v>0</v>
      </c>
      <c r="HE90" s="166">
        <v>0</v>
      </c>
      <c r="HF90" s="166">
        <v>0</v>
      </c>
      <c r="HG90" s="166">
        <v>0</v>
      </c>
      <c r="HH90" s="152">
        <v>0</v>
      </c>
      <c r="HI90" s="152">
        <v>0</v>
      </c>
      <c r="HJ90" s="152">
        <v>0</v>
      </c>
      <c r="HK90" s="152">
        <v>0</v>
      </c>
      <c r="HL90" s="152">
        <v>0</v>
      </c>
      <c r="HM90" s="152">
        <v>0</v>
      </c>
      <c r="HN90" s="152">
        <v>0</v>
      </c>
      <c r="HO90" s="152">
        <v>0</v>
      </c>
      <c r="HP90" s="152">
        <v>0</v>
      </c>
      <c r="HQ90" s="152">
        <v>0</v>
      </c>
      <c r="HR90" s="152">
        <v>0</v>
      </c>
      <c r="HS90" s="152">
        <v>0</v>
      </c>
      <c r="HT90" s="152">
        <v>0</v>
      </c>
      <c r="HU90" s="216"/>
      <c r="HV90" s="152">
        <v>0</v>
      </c>
      <c r="HW90" s="216"/>
      <c r="HX90" s="216"/>
      <c r="HY90" s="216"/>
      <c r="HZ90" s="216"/>
      <c r="IA90" s="216"/>
      <c r="IB90" s="216"/>
      <c r="IC90" s="216"/>
      <c r="ID90" s="216"/>
      <c r="IE90" s="216"/>
      <c r="IF90" s="216"/>
      <c r="IG90" s="216"/>
      <c r="IH90" s="216"/>
      <c r="II90" s="216"/>
      <c r="IJ90" s="216"/>
      <c r="IK90" s="216"/>
      <c r="IL90" s="216"/>
      <c r="IM90" s="216"/>
      <c r="IN90" s="216"/>
      <c r="IO90" s="216"/>
      <c r="IP90" s="216"/>
      <c r="IQ90" s="216"/>
      <c r="IR90" s="216"/>
      <c r="IS90" s="216"/>
      <c r="IT90" s="216"/>
      <c r="IU90" s="216"/>
      <c r="IV90" s="216"/>
      <c r="IW90" s="216"/>
      <c r="IX90" s="216"/>
      <c r="IY90" s="216"/>
      <c r="IZ90" s="216"/>
      <c r="JA90" s="216"/>
      <c r="JB90" s="216"/>
      <c r="JC90" s="216"/>
      <c r="JD90" s="216"/>
      <c r="JE90" s="216"/>
      <c r="JF90" s="216"/>
      <c r="JG90" s="216"/>
      <c r="JH90" s="216"/>
      <c r="JI90" s="216"/>
      <c r="JJ90" s="216"/>
      <c r="JK90" s="216"/>
      <c r="JL90" s="216"/>
      <c r="JM90" s="216"/>
      <c r="JN90" s="216"/>
      <c r="JO90" s="216"/>
      <c r="JP90" s="216"/>
      <c r="JQ90" s="216"/>
      <c r="JR90" s="216"/>
      <c r="JS90" s="216"/>
      <c r="JT90" s="216"/>
      <c r="JU90" s="216"/>
      <c r="JV90" s="216"/>
      <c r="JW90" s="216"/>
      <c r="JX90" s="216"/>
      <c r="JY90" s="216"/>
      <c r="JZ90" s="216"/>
      <c r="KA90" s="216"/>
      <c r="KB90" s="216"/>
      <c r="KC90" s="216"/>
      <c r="KD90" s="216"/>
      <c r="KE90" s="216"/>
      <c r="KF90" s="216"/>
      <c r="KG90" s="216"/>
      <c r="KH90" s="216"/>
      <c r="KI90" s="216"/>
      <c r="KJ90" s="216"/>
      <c r="KK90" s="216"/>
      <c r="KL90" s="216"/>
      <c r="KM90" s="216"/>
      <c r="KN90" s="216"/>
      <c r="KO90" s="216"/>
      <c r="KP90" s="216"/>
      <c r="KQ90" s="216"/>
      <c r="KR90" s="216"/>
      <c r="KS90" s="216"/>
      <c r="KT90" s="216"/>
      <c r="KU90" s="216"/>
      <c r="KV90" s="216"/>
      <c r="KW90" s="216"/>
      <c r="KX90" s="216"/>
      <c r="KY90" s="216"/>
      <c r="KZ90" s="216"/>
      <c r="LA90" s="216"/>
      <c r="LB90" s="216"/>
      <c r="LC90" s="216"/>
      <c r="LD90" s="216"/>
      <c r="LE90" s="216"/>
    </row>
    <row r="91" spans="1:317" x14ac:dyDescent="0.2">
      <c r="A91" s="179" t="s">
        <v>849</v>
      </c>
      <c r="B91" s="180" t="s">
        <v>990</v>
      </c>
      <c r="C91" s="181"/>
      <c r="D91" s="182">
        <v>0</v>
      </c>
      <c r="E91" s="182">
        <v>0</v>
      </c>
      <c r="F91" s="183" t="s">
        <v>1274</v>
      </c>
      <c r="G91" s="183">
        <v>0</v>
      </c>
      <c r="H91" s="183">
        <v>0</v>
      </c>
      <c r="I91" s="183">
        <v>0</v>
      </c>
      <c r="J91" s="183">
        <v>0</v>
      </c>
      <c r="K91" s="183" t="s">
        <v>1380</v>
      </c>
      <c r="L91" s="183">
        <v>0</v>
      </c>
      <c r="M91" s="183">
        <v>0</v>
      </c>
      <c r="N91" s="183" t="s">
        <v>872</v>
      </c>
      <c r="O91" s="183">
        <v>0</v>
      </c>
      <c r="P91" s="183">
        <v>0</v>
      </c>
      <c r="Q91" s="183"/>
      <c r="R91" s="183"/>
      <c r="S91" s="183"/>
      <c r="T91" s="183"/>
      <c r="U91" s="183"/>
      <c r="V91" s="183">
        <v>0</v>
      </c>
      <c r="W91" s="183">
        <v>0</v>
      </c>
      <c r="X91" s="183">
        <v>0</v>
      </c>
      <c r="Y91" s="184">
        <v>0</v>
      </c>
      <c r="Z91" s="184">
        <v>6.59</v>
      </c>
      <c r="AA91" s="184">
        <v>0</v>
      </c>
      <c r="AB91" s="185" t="s">
        <v>615</v>
      </c>
      <c r="AC91" s="185" t="s">
        <v>615</v>
      </c>
      <c r="AD91" s="186" t="s">
        <v>872</v>
      </c>
      <c r="AE91" s="186" t="s">
        <v>852</v>
      </c>
      <c r="AF91" s="187">
        <v>7</v>
      </c>
      <c r="AG91" s="187">
        <v>3</v>
      </c>
      <c r="AH91" s="187">
        <v>4</v>
      </c>
      <c r="AI91" s="188">
        <v>1</v>
      </c>
      <c r="AJ91" s="188" t="s">
        <v>615</v>
      </c>
      <c r="AK91" s="187" t="s">
        <v>1736</v>
      </c>
      <c r="AL91" s="87" t="s">
        <v>615</v>
      </c>
      <c r="AM91" s="189"/>
      <c r="AN91" s="187" t="s">
        <v>615</v>
      </c>
      <c r="AO91" s="13" t="s">
        <v>615</v>
      </c>
      <c r="AP91" s="187">
        <v>0</v>
      </c>
      <c r="AQ91" s="187">
        <v>0</v>
      </c>
      <c r="AR91" s="190">
        <v>0</v>
      </c>
      <c r="AS91" s="190">
        <v>0</v>
      </c>
      <c r="AT91" s="190">
        <v>0</v>
      </c>
      <c r="AU91" s="187">
        <v>0</v>
      </c>
      <c r="AV91" s="187">
        <v>0</v>
      </c>
      <c r="AW91" s="191"/>
      <c r="AX91" s="192"/>
      <c r="AY91" s="193">
        <v>42666</v>
      </c>
      <c r="AZ91" s="193"/>
      <c r="BA91" s="193"/>
      <c r="BB91" s="194"/>
      <c r="BC91" s="194"/>
      <c r="BD91" s="195"/>
      <c r="BE91" s="195" t="s">
        <v>532</v>
      </c>
      <c r="BF91" s="195"/>
      <c r="BG91" s="195">
        <v>25</v>
      </c>
      <c r="BH91" s="196" t="s">
        <v>547</v>
      </c>
      <c r="BI91" s="197">
        <v>1</v>
      </c>
      <c r="BJ91" s="198"/>
      <c r="BK91" s="199">
        <v>0</v>
      </c>
      <c r="BL91" s="13">
        <v>0</v>
      </c>
      <c r="BM91" s="13">
        <v>0</v>
      </c>
      <c r="BN91" s="13" t="s">
        <v>616</v>
      </c>
      <c r="BO91" s="13" t="s">
        <v>616</v>
      </c>
      <c r="BP91" s="200">
        <v>25</v>
      </c>
      <c r="BQ91" s="201"/>
      <c r="BR91" s="202"/>
      <c r="BS91" s="187">
        <v>1000000000</v>
      </c>
      <c r="BT91" s="203">
        <v>0</v>
      </c>
      <c r="BU91" s="204">
        <v>0</v>
      </c>
      <c r="BV91" s="203">
        <v>0</v>
      </c>
      <c r="BW91" s="205">
        <v>0</v>
      </c>
      <c r="BX91" s="205">
        <v>0</v>
      </c>
      <c r="BY91" s="205">
        <v>0</v>
      </c>
      <c r="BZ91" s="203">
        <v>0</v>
      </c>
      <c r="CA91" s="203">
        <v>0</v>
      </c>
      <c r="CB91" s="203">
        <v>0</v>
      </c>
      <c r="CC91" s="204">
        <v>0</v>
      </c>
      <c r="CD91" s="203">
        <v>0</v>
      </c>
      <c r="CE91" s="203">
        <v>0</v>
      </c>
      <c r="CF91" s="13">
        <v>0</v>
      </c>
      <c r="CG91" s="206">
        <v>0</v>
      </c>
      <c r="CH91" s="207">
        <v>0</v>
      </c>
      <c r="CI91" s="201"/>
      <c r="CJ91" s="208"/>
      <c r="CK91" s="209" t="s">
        <v>615</v>
      </c>
      <c r="CL91" s="210" t="s">
        <v>615</v>
      </c>
      <c r="CM91" s="207">
        <v>0</v>
      </c>
      <c r="CN91" s="207">
        <v>0</v>
      </c>
      <c r="CO91" s="204">
        <v>0</v>
      </c>
      <c r="CP91" s="204">
        <v>0</v>
      </c>
      <c r="CQ91" s="211"/>
      <c r="CR91" s="204">
        <v>1</v>
      </c>
      <c r="CS91" s="212">
        <v>42531</v>
      </c>
      <c r="CT91" s="212">
        <v>42780</v>
      </c>
      <c r="CU91" s="213">
        <v>42780</v>
      </c>
      <c r="CV91" s="214">
        <v>42829</v>
      </c>
      <c r="CW91" s="214" t="s">
        <v>615</v>
      </c>
      <c r="CX91" s="214" t="s">
        <v>615</v>
      </c>
      <c r="CY91" s="204">
        <v>1</v>
      </c>
      <c r="CZ91" s="204">
        <v>0.97959183673469385</v>
      </c>
      <c r="DA91" s="203">
        <v>0</v>
      </c>
      <c r="DB91" s="204">
        <v>0.97959183673469385</v>
      </c>
      <c r="DC91" s="204">
        <v>0</v>
      </c>
      <c r="DD91" s="204">
        <v>0</v>
      </c>
      <c r="DE91" s="204">
        <v>0</v>
      </c>
      <c r="DF91" s="215">
        <v>0</v>
      </c>
      <c r="DG91" s="13" t="s">
        <v>615</v>
      </c>
      <c r="DH91" s="86">
        <v>89</v>
      </c>
      <c r="DI91" s="86"/>
      <c r="DJ91" s="86">
        <v>62</v>
      </c>
      <c r="DK91" s="86" t="s">
        <v>1549</v>
      </c>
      <c r="DL91" s="86" t="e">
        <v>#N/A</v>
      </c>
      <c r="DM91" s="86" t="e">
        <v>#N/A</v>
      </c>
      <c r="DN91" s="86" t="e">
        <v>#N/A</v>
      </c>
      <c r="DO91" s="86">
        <v>64</v>
      </c>
      <c r="DP91" s="86">
        <v>2</v>
      </c>
      <c r="DQ91" s="86">
        <v>49</v>
      </c>
      <c r="DR91" s="146">
        <v>0</v>
      </c>
      <c r="DS91" s="146">
        <v>0</v>
      </c>
      <c r="DT91" s="146">
        <v>0</v>
      </c>
      <c r="DU91" s="146">
        <v>0</v>
      </c>
      <c r="DV91" s="146">
        <v>0</v>
      </c>
      <c r="DW91" s="146">
        <v>0</v>
      </c>
      <c r="DX91" s="146">
        <v>0</v>
      </c>
      <c r="DY91" s="146">
        <v>0</v>
      </c>
      <c r="DZ91" s="146">
        <v>0</v>
      </c>
      <c r="EA91" s="146">
        <v>0</v>
      </c>
      <c r="EB91" s="146">
        <v>0</v>
      </c>
      <c r="EC91" s="146">
        <v>0</v>
      </c>
      <c r="ED91" s="146">
        <v>0</v>
      </c>
      <c r="EE91" s="146">
        <v>0</v>
      </c>
      <c r="EF91" s="146">
        <v>0</v>
      </c>
      <c r="EG91" s="146">
        <v>0</v>
      </c>
      <c r="EH91" s="146">
        <v>0</v>
      </c>
      <c r="EI91" s="146">
        <v>0</v>
      </c>
      <c r="EJ91" s="146">
        <v>0</v>
      </c>
      <c r="EK91" s="146">
        <v>0</v>
      </c>
      <c r="EL91" s="146">
        <v>0</v>
      </c>
      <c r="EM91" s="146">
        <v>0</v>
      </c>
      <c r="EN91" s="146">
        <v>0</v>
      </c>
      <c r="EO91" s="146">
        <v>0</v>
      </c>
      <c r="EP91" s="146">
        <v>0</v>
      </c>
      <c r="EQ91" s="146">
        <v>0</v>
      </c>
      <c r="ER91" s="146">
        <v>0</v>
      </c>
      <c r="ES91" s="146">
        <v>0</v>
      </c>
      <c r="ET91" s="146">
        <v>0</v>
      </c>
      <c r="EU91" s="146">
        <v>0</v>
      </c>
      <c r="EV91" s="146">
        <v>0</v>
      </c>
      <c r="EW91" s="146">
        <v>0</v>
      </c>
      <c r="EX91" s="146">
        <v>0</v>
      </c>
      <c r="EY91" s="146">
        <v>0</v>
      </c>
      <c r="EZ91" s="146">
        <v>0</v>
      </c>
      <c r="FA91" s="146">
        <v>0</v>
      </c>
      <c r="FB91" s="146">
        <v>0</v>
      </c>
      <c r="FC91" s="146">
        <v>0</v>
      </c>
      <c r="FD91" s="146">
        <v>0</v>
      </c>
      <c r="FE91" s="146">
        <v>0</v>
      </c>
      <c r="FF91" s="146">
        <v>0</v>
      </c>
      <c r="FG91" s="146">
        <v>0</v>
      </c>
      <c r="FH91" s="146">
        <v>0</v>
      </c>
      <c r="FI91" s="146">
        <v>0</v>
      </c>
      <c r="FJ91" s="146">
        <v>0</v>
      </c>
      <c r="FK91" s="146">
        <v>0</v>
      </c>
      <c r="FL91" s="146">
        <v>0</v>
      </c>
      <c r="FM91" s="146">
        <v>0</v>
      </c>
      <c r="FN91" s="146">
        <v>0</v>
      </c>
      <c r="FO91" s="146">
        <v>0</v>
      </c>
      <c r="FP91" s="146">
        <v>0</v>
      </c>
      <c r="FQ91" s="146">
        <v>0</v>
      </c>
      <c r="FR91" s="146">
        <v>0</v>
      </c>
      <c r="FS91" s="160">
        <v>0</v>
      </c>
      <c r="FT91" s="160">
        <v>0</v>
      </c>
      <c r="FU91" s="160">
        <v>0</v>
      </c>
      <c r="FV91" s="160">
        <v>0</v>
      </c>
      <c r="FW91" s="160">
        <v>0</v>
      </c>
      <c r="FX91" s="160">
        <v>0</v>
      </c>
      <c r="FY91" s="160">
        <v>0</v>
      </c>
      <c r="FZ91" s="160">
        <v>0</v>
      </c>
      <c r="GA91" s="160">
        <v>0</v>
      </c>
      <c r="GB91" s="160">
        <v>0</v>
      </c>
      <c r="GC91" s="160">
        <v>0</v>
      </c>
      <c r="GD91" s="160">
        <v>0</v>
      </c>
      <c r="GE91" s="160">
        <v>0</v>
      </c>
      <c r="GF91" s="160">
        <v>0</v>
      </c>
      <c r="GG91" s="160">
        <v>0</v>
      </c>
      <c r="GH91" s="160">
        <v>0</v>
      </c>
      <c r="GI91" s="160">
        <v>0</v>
      </c>
      <c r="GJ91" s="160">
        <v>0</v>
      </c>
      <c r="GK91" s="160">
        <v>0</v>
      </c>
      <c r="GL91" s="160">
        <v>0</v>
      </c>
      <c r="GM91" s="160">
        <v>0</v>
      </c>
      <c r="GN91" s="160">
        <v>0</v>
      </c>
      <c r="GO91" s="160">
        <v>0</v>
      </c>
      <c r="GP91" s="160">
        <v>0</v>
      </c>
      <c r="GQ91" s="160">
        <v>0</v>
      </c>
      <c r="GR91" s="160">
        <v>0</v>
      </c>
      <c r="GS91" s="160">
        <v>0</v>
      </c>
      <c r="GT91" s="160">
        <v>0</v>
      </c>
      <c r="GU91" s="160">
        <v>0</v>
      </c>
      <c r="GV91" s="160">
        <v>0</v>
      </c>
      <c r="GW91" s="160">
        <v>0</v>
      </c>
      <c r="GX91" s="160">
        <v>0</v>
      </c>
      <c r="GY91" s="160">
        <v>0</v>
      </c>
      <c r="GZ91" s="160">
        <v>0</v>
      </c>
      <c r="HA91" s="160">
        <v>0</v>
      </c>
      <c r="HB91" s="160">
        <v>0</v>
      </c>
      <c r="HC91" s="160">
        <v>0</v>
      </c>
      <c r="HD91" s="160">
        <v>0</v>
      </c>
      <c r="HE91" s="160">
        <v>0</v>
      </c>
      <c r="HF91" s="160">
        <v>0</v>
      </c>
      <c r="HG91" s="160">
        <v>0</v>
      </c>
      <c r="HH91" s="146">
        <v>0</v>
      </c>
      <c r="HI91" s="146">
        <v>0</v>
      </c>
      <c r="HJ91" s="146">
        <v>0</v>
      </c>
      <c r="HK91" s="146">
        <v>0</v>
      </c>
      <c r="HL91" s="146">
        <v>0</v>
      </c>
      <c r="HM91" s="146">
        <v>0</v>
      </c>
      <c r="HN91" s="146">
        <v>0</v>
      </c>
      <c r="HO91" s="146">
        <v>0</v>
      </c>
      <c r="HP91" s="146">
        <v>0</v>
      </c>
      <c r="HQ91" s="146">
        <v>0</v>
      </c>
      <c r="HR91" s="146">
        <v>0</v>
      </c>
      <c r="HS91" s="146">
        <v>0</v>
      </c>
      <c r="HT91" s="146">
        <v>0</v>
      </c>
      <c r="HU91" s="151"/>
      <c r="HV91" s="146">
        <v>0</v>
      </c>
      <c r="HW91" s="151"/>
      <c r="HX91" s="151"/>
      <c r="HY91" s="151"/>
      <c r="HZ91" s="151"/>
      <c r="IA91" s="151"/>
      <c r="IB91" s="151"/>
      <c r="IC91" s="151"/>
      <c r="ID91" s="151"/>
      <c r="IE91" s="151"/>
      <c r="IF91" s="151"/>
      <c r="IG91" s="151"/>
      <c r="IH91" s="151"/>
      <c r="II91" s="151"/>
      <c r="IJ91" s="151"/>
      <c r="IK91" s="151"/>
      <c r="IL91" s="151"/>
      <c r="IM91" s="151"/>
      <c r="IN91" s="151"/>
      <c r="IO91" s="151"/>
      <c r="IP91" s="151"/>
      <c r="IQ91" s="151"/>
      <c r="IR91" s="151"/>
      <c r="IS91" s="151"/>
      <c r="IT91" s="151"/>
      <c r="IU91" s="151"/>
      <c r="IV91" s="151"/>
      <c r="IW91" s="151"/>
      <c r="IX91" s="151"/>
      <c r="IY91" s="151"/>
      <c r="IZ91" s="151"/>
      <c r="JA91" s="151"/>
      <c r="JB91" s="151"/>
      <c r="JC91" s="151"/>
      <c r="JD91" s="151"/>
      <c r="JE91" s="151"/>
      <c r="JF91" s="151"/>
      <c r="JG91" s="151"/>
      <c r="JH91" s="151"/>
      <c r="JI91" s="151"/>
      <c r="JJ91" s="151"/>
      <c r="JK91" s="151"/>
      <c r="JL91" s="151"/>
      <c r="JM91" s="151"/>
      <c r="JN91" s="151"/>
      <c r="JO91" s="151"/>
      <c r="JP91" s="151"/>
      <c r="JQ91" s="151"/>
      <c r="JR91" s="151"/>
      <c r="JS91" s="151"/>
      <c r="JT91" s="151"/>
      <c r="JU91" s="151"/>
      <c r="JV91" s="151"/>
      <c r="JW91" s="151"/>
      <c r="JX91" s="151"/>
      <c r="JY91" s="151"/>
      <c r="JZ91" s="151"/>
      <c r="KA91" s="151"/>
      <c r="KB91" s="151"/>
      <c r="KC91" s="151"/>
      <c r="KD91" s="151"/>
      <c r="KE91" s="151"/>
      <c r="KF91" s="151"/>
      <c r="KG91" s="151"/>
      <c r="KH91" s="151"/>
      <c r="KI91" s="151"/>
      <c r="KJ91" s="151"/>
      <c r="KK91" s="151"/>
      <c r="KL91" s="151"/>
      <c r="KM91" s="151"/>
      <c r="KN91" s="151"/>
      <c r="KO91" s="151"/>
      <c r="KP91" s="151"/>
      <c r="KQ91" s="151"/>
      <c r="KR91" s="151"/>
      <c r="KS91" s="151"/>
      <c r="KT91" s="151"/>
      <c r="KU91" s="151"/>
      <c r="KV91" s="151"/>
      <c r="KW91" s="151"/>
      <c r="KX91" s="151"/>
      <c r="KY91" s="151"/>
      <c r="KZ91" s="151"/>
      <c r="LA91" s="151"/>
      <c r="LB91" s="151"/>
      <c r="LC91" s="151"/>
      <c r="LD91" s="151"/>
      <c r="LE91" s="151"/>
    </row>
    <row r="92" spans="1:317" x14ac:dyDescent="0.2">
      <c r="A92" s="179" t="s">
        <v>849</v>
      </c>
      <c r="B92" s="180" t="s">
        <v>991</v>
      </c>
      <c r="C92" s="181"/>
      <c r="D92" s="182">
        <v>0</v>
      </c>
      <c r="E92" s="182">
        <v>0</v>
      </c>
      <c r="F92" s="183" t="s">
        <v>1275</v>
      </c>
      <c r="G92" s="183">
        <v>0</v>
      </c>
      <c r="H92" s="183">
        <v>0</v>
      </c>
      <c r="I92" s="183">
        <v>0</v>
      </c>
      <c r="J92" s="183">
        <v>0</v>
      </c>
      <c r="K92" s="183" t="s">
        <v>1381</v>
      </c>
      <c r="L92" s="183">
        <v>0</v>
      </c>
      <c r="M92" s="183">
        <v>0</v>
      </c>
      <c r="N92" s="183" t="s">
        <v>872</v>
      </c>
      <c r="O92" s="183">
        <v>0</v>
      </c>
      <c r="P92" s="183">
        <v>0</v>
      </c>
      <c r="Q92" s="183"/>
      <c r="R92" s="183"/>
      <c r="S92" s="183"/>
      <c r="T92" s="183"/>
      <c r="U92" s="183"/>
      <c r="V92" s="183">
        <v>0</v>
      </c>
      <c r="W92" s="183">
        <v>0</v>
      </c>
      <c r="X92" s="183">
        <v>0</v>
      </c>
      <c r="Y92" s="184">
        <v>6.3</v>
      </c>
      <c r="Z92" s="184">
        <v>13.11</v>
      </c>
      <c r="AA92" s="184">
        <v>0</v>
      </c>
      <c r="AB92" s="185" t="s">
        <v>615</v>
      </c>
      <c r="AC92" s="185" t="s">
        <v>615</v>
      </c>
      <c r="AD92" s="186" t="s">
        <v>872</v>
      </c>
      <c r="AE92" s="186" t="s">
        <v>852</v>
      </c>
      <c r="AF92" s="187">
        <v>7</v>
      </c>
      <c r="AG92" s="187">
        <v>3</v>
      </c>
      <c r="AH92" s="187">
        <v>4</v>
      </c>
      <c r="AI92" s="188">
        <v>1</v>
      </c>
      <c r="AJ92" s="188" t="s">
        <v>615</v>
      </c>
      <c r="AK92" s="187" t="s">
        <v>1737</v>
      </c>
      <c r="AL92" s="87" t="s">
        <v>615</v>
      </c>
      <c r="AM92" s="189"/>
      <c r="AN92" s="187" t="s">
        <v>615</v>
      </c>
      <c r="AO92" s="13" t="s">
        <v>615</v>
      </c>
      <c r="AP92" s="187">
        <v>0.68</v>
      </c>
      <c r="AQ92" s="187">
        <v>8</v>
      </c>
      <c r="AR92" s="190">
        <v>22.058823529411764</v>
      </c>
      <c r="AS92" s="190">
        <v>30.514705882352938</v>
      </c>
      <c r="AT92" s="190">
        <v>0</v>
      </c>
      <c r="AU92" s="187">
        <v>0</v>
      </c>
      <c r="AV92" s="187">
        <v>0</v>
      </c>
      <c r="AW92" s="191"/>
      <c r="AX92" s="192"/>
      <c r="AY92" s="193">
        <v>42845</v>
      </c>
      <c r="AZ92" s="193">
        <v>42796</v>
      </c>
      <c r="BA92" s="193"/>
      <c r="BB92" s="194"/>
      <c r="BC92" s="194"/>
      <c r="BD92" s="195"/>
      <c r="BE92" s="195" t="s">
        <v>532</v>
      </c>
      <c r="BF92" s="195"/>
      <c r="BG92" s="195">
        <v>10</v>
      </c>
      <c r="BH92" s="196" t="s">
        <v>547</v>
      </c>
      <c r="BI92" s="197">
        <v>1</v>
      </c>
      <c r="BJ92" s="198"/>
      <c r="BK92" s="199">
        <v>60</v>
      </c>
      <c r="BL92" s="13">
        <v>40</v>
      </c>
      <c r="BM92" s="13">
        <v>20</v>
      </c>
      <c r="BN92" s="13" t="s">
        <v>620</v>
      </c>
      <c r="BO92" s="13" t="s">
        <v>620</v>
      </c>
      <c r="BP92" s="200">
        <v>80</v>
      </c>
      <c r="BQ92" s="201"/>
      <c r="BR92" s="202"/>
      <c r="BS92" s="187">
        <v>1000000000</v>
      </c>
      <c r="BT92" s="203">
        <v>83</v>
      </c>
      <c r="BU92" s="204">
        <v>-0.38</v>
      </c>
      <c r="BV92" s="203">
        <v>0</v>
      </c>
      <c r="BW92" s="205">
        <v>0</v>
      </c>
      <c r="BX92" s="205">
        <v>0</v>
      </c>
      <c r="BY92" s="205">
        <v>0</v>
      </c>
      <c r="BZ92" s="203">
        <v>0</v>
      </c>
      <c r="CA92" s="203">
        <v>0</v>
      </c>
      <c r="CB92" s="203">
        <v>83</v>
      </c>
      <c r="CC92" s="204">
        <v>-0.38</v>
      </c>
      <c r="CD92" s="203">
        <v>0</v>
      </c>
      <c r="CE92" s="203">
        <v>0</v>
      </c>
      <c r="CF92" s="13">
        <v>0</v>
      </c>
      <c r="CG92" s="206">
        <v>0</v>
      </c>
      <c r="CH92" s="207">
        <v>34</v>
      </c>
      <c r="CI92" s="201"/>
      <c r="CJ92" s="208"/>
      <c r="CK92" s="209" t="s">
        <v>615</v>
      </c>
      <c r="CL92" s="210" t="s">
        <v>615</v>
      </c>
      <c r="CM92" s="207">
        <v>0</v>
      </c>
      <c r="CN92" s="207">
        <v>144.9</v>
      </c>
      <c r="CO92" s="204">
        <v>0</v>
      </c>
      <c r="CP92" s="204">
        <v>7.4122448979591828</v>
      </c>
      <c r="CQ92" s="211"/>
      <c r="CR92" s="204">
        <v>1</v>
      </c>
      <c r="CS92" s="212">
        <v>42709</v>
      </c>
      <c r="CT92" s="212">
        <v>42780</v>
      </c>
      <c r="CU92" s="213">
        <v>42780</v>
      </c>
      <c r="CV92" s="214">
        <v>42829</v>
      </c>
      <c r="CW92" s="214" t="s">
        <v>615</v>
      </c>
      <c r="CX92" s="214" t="s">
        <v>615</v>
      </c>
      <c r="CY92" s="204">
        <v>0.11167382062280871</v>
      </c>
      <c r="CZ92" s="204">
        <v>0.97959183673469385</v>
      </c>
      <c r="DA92" s="203">
        <v>0</v>
      </c>
      <c r="DB92" s="204">
        <v>0</v>
      </c>
      <c r="DC92" s="204">
        <v>0</v>
      </c>
      <c r="DD92" s="204">
        <v>0</v>
      </c>
      <c r="DE92" s="204">
        <v>0.20408163265306123</v>
      </c>
      <c r="DF92" s="215">
        <v>0.77551020408163263</v>
      </c>
      <c r="DG92" s="13" t="s">
        <v>615</v>
      </c>
      <c r="DH92" s="86">
        <v>90</v>
      </c>
      <c r="DI92" s="86"/>
      <c r="DJ92" s="86">
        <v>61</v>
      </c>
      <c r="DK92" s="86" t="s">
        <v>1454</v>
      </c>
      <c r="DL92" s="86">
        <v>15</v>
      </c>
      <c r="DM92" s="86">
        <v>37</v>
      </c>
      <c r="DN92" s="86" t="e">
        <v>#N/A</v>
      </c>
      <c r="DO92" s="86">
        <v>63</v>
      </c>
      <c r="DP92" s="86">
        <v>2</v>
      </c>
      <c r="DQ92" s="86">
        <v>49</v>
      </c>
      <c r="DR92" s="152">
        <v>78</v>
      </c>
      <c r="DS92" s="152">
        <v>78</v>
      </c>
      <c r="DT92" s="152">
        <v>78</v>
      </c>
      <c r="DU92" s="152">
        <v>78</v>
      </c>
      <c r="DV92" s="152">
        <v>78</v>
      </c>
      <c r="DW92" s="152">
        <v>78</v>
      </c>
      <c r="DX92" s="152">
        <v>78</v>
      </c>
      <c r="DY92" s="152">
        <v>78</v>
      </c>
      <c r="DZ92" s="152">
        <v>78</v>
      </c>
      <c r="EA92" s="164">
        <v>78</v>
      </c>
      <c r="EB92" s="164">
        <v>63</v>
      </c>
      <c r="EC92" s="164">
        <v>63</v>
      </c>
      <c r="ED92" s="164">
        <v>63</v>
      </c>
      <c r="EE92" s="164">
        <v>63</v>
      </c>
      <c r="EF92" s="164">
        <v>63</v>
      </c>
      <c r="EG92" s="164">
        <v>63</v>
      </c>
      <c r="EH92" s="164">
        <v>63</v>
      </c>
      <c r="EI92" s="164">
        <v>63</v>
      </c>
      <c r="EJ92" s="164">
        <v>63</v>
      </c>
      <c r="EK92" s="164">
        <v>63</v>
      </c>
      <c r="EL92" s="164">
        <v>63</v>
      </c>
      <c r="EM92" s="164">
        <v>63</v>
      </c>
      <c r="EN92" s="164">
        <v>63</v>
      </c>
      <c r="EO92" s="164">
        <v>63</v>
      </c>
      <c r="EP92" s="164">
        <v>63</v>
      </c>
      <c r="EQ92" s="164">
        <v>63</v>
      </c>
      <c r="ER92" s="164">
        <v>63</v>
      </c>
      <c r="ES92" s="164">
        <v>63</v>
      </c>
      <c r="ET92" s="164">
        <v>63</v>
      </c>
      <c r="EU92" s="164">
        <v>63</v>
      </c>
      <c r="EV92" s="167">
        <v>83</v>
      </c>
      <c r="EW92" s="167">
        <v>83</v>
      </c>
      <c r="EX92" s="167">
        <v>83</v>
      </c>
      <c r="EY92" s="167">
        <v>83</v>
      </c>
      <c r="EZ92" s="167">
        <v>83</v>
      </c>
      <c r="FA92" s="167">
        <v>83</v>
      </c>
      <c r="FB92" s="167">
        <v>83</v>
      </c>
      <c r="FC92" s="167">
        <v>83</v>
      </c>
      <c r="FD92" s="167">
        <v>83</v>
      </c>
      <c r="FE92" s="167">
        <v>83</v>
      </c>
      <c r="FF92" s="167">
        <v>83</v>
      </c>
      <c r="FG92" s="167">
        <v>83</v>
      </c>
      <c r="FH92" s="167">
        <v>83</v>
      </c>
      <c r="FI92" s="167">
        <v>83</v>
      </c>
      <c r="FJ92" s="167">
        <v>83</v>
      </c>
      <c r="FK92" s="167">
        <v>83</v>
      </c>
      <c r="FL92" s="167">
        <v>83</v>
      </c>
      <c r="FM92" s="167">
        <v>83</v>
      </c>
      <c r="FN92" s="167">
        <v>83</v>
      </c>
      <c r="FO92" s="167">
        <v>83</v>
      </c>
      <c r="FP92" s="167">
        <v>83</v>
      </c>
      <c r="FQ92" s="167">
        <v>83</v>
      </c>
      <c r="FR92" s="167">
        <v>83</v>
      </c>
      <c r="FS92" s="167">
        <v>83</v>
      </c>
      <c r="FT92" s="164">
        <v>78</v>
      </c>
      <c r="FU92" s="164">
        <v>78</v>
      </c>
      <c r="FV92" s="164">
        <v>78</v>
      </c>
      <c r="FW92" s="164">
        <v>78</v>
      </c>
      <c r="FX92" s="164">
        <v>78</v>
      </c>
      <c r="FY92" s="164">
        <v>78</v>
      </c>
      <c r="FZ92" s="164">
        <v>78</v>
      </c>
      <c r="GA92" s="164">
        <v>78</v>
      </c>
      <c r="GB92" s="164">
        <v>78</v>
      </c>
      <c r="GC92" s="164">
        <v>78</v>
      </c>
      <c r="GD92" s="164">
        <v>78</v>
      </c>
      <c r="GE92" s="164">
        <v>78</v>
      </c>
      <c r="GF92" s="164">
        <v>78</v>
      </c>
      <c r="GG92" s="164">
        <v>78</v>
      </c>
      <c r="GH92" s="164">
        <v>78</v>
      </c>
      <c r="GI92" s="164">
        <v>78</v>
      </c>
      <c r="GJ92" s="164">
        <v>78</v>
      </c>
      <c r="GK92" s="164">
        <v>78</v>
      </c>
      <c r="GL92" s="164">
        <v>78</v>
      </c>
      <c r="GM92" s="164">
        <v>78</v>
      </c>
      <c r="GN92" s="164">
        <v>78</v>
      </c>
      <c r="GO92" s="164">
        <v>78</v>
      </c>
      <c r="GP92" s="164">
        <v>73</v>
      </c>
      <c r="GQ92" s="164">
        <v>73</v>
      </c>
      <c r="GR92" s="164">
        <v>73</v>
      </c>
      <c r="GS92" s="164">
        <v>73</v>
      </c>
      <c r="GT92" s="164">
        <v>73</v>
      </c>
      <c r="GU92" s="164">
        <v>73</v>
      </c>
      <c r="GV92" s="164">
        <v>73</v>
      </c>
      <c r="GW92" s="164">
        <v>73</v>
      </c>
      <c r="GX92" s="164">
        <v>73</v>
      </c>
      <c r="GY92" s="164">
        <v>73</v>
      </c>
      <c r="GZ92" s="164">
        <v>73</v>
      </c>
      <c r="HA92" s="164">
        <v>73</v>
      </c>
      <c r="HB92" s="164">
        <v>73</v>
      </c>
      <c r="HC92" s="164">
        <v>73</v>
      </c>
      <c r="HD92" s="164">
        <v>73</v>
      </c>
      <c r="HE92" s="164">
        <v>63</v>
      </c>
      <c r="HF92" s="164">
        <v>63</v>
      </c>
      <c r="HG92" s="167">
        <v>63</v>
      </c>
      <c r="HH92" s="167">
        <v>63</v>
      </c>
      <c r="HI92" s="167">
        <v>63</v>
      </c>
      <c r="HJ92" s="164">
        <v>60</v>
      </c>
      <c r="HK92" s="164">
        <v>60</v>
      </c>
      <c r="HL92" s="164">
        <v>60</v>
      </c>
      <c r="HM92" s="164">
        <v>60</v>
      </c>
      <c r="HN92" s="164">
        <v>60</v>
      </c>
      <c r="HO92" s="164">
        <v>60</v>
      </c>
      <c r="HP92" s="164">
        <v>57</v>
      </c>
      <c r="HQ92" s="164">
        <v>57</v>
      </c>
      <c r="HR92" s="164">
        <v>57</v>
      </c>
      <c r="HS92" s="164">
        <v>57</v>
      </c>
      <c r="HT92" s="167">
        <v>83</v>
      </c>
      <c r="HU92" s="216"/>
      <c r="HV92" s="167">
        <v>83</v>
      </c>
      <c r="HW92" s="216"/>
      <c r="HX92" s="216"/>
      <c r="HY92" s="216"/>
      <c r="HZ92" s="216"/>
      <c r="IA92" s="216"/>
      <c r="IB92" s="216"/>
      <c r="IC92" s="216"/>
      <c r="ID92" s="216"/>
      <c r="IE92" s="216"/>
      <c r="IF92" s="216"/>
      <c r="IG92" s="216"/>
      <c r="IH92" s="216"/>
      <c r="II92" s="216"/>
      <c r="IJ92" s="216"/>
      <c r="IK92" s="216"/>
      <c r="IL92" s="216"/>
      <c r="IM92" s="216"/>
      <c r="IN92" s="216"/>
      <c r="IO92" s="216"/>
      <c r="IP92" s="216"/>
      <c r="IQ92" s="216"/>
      <c r="IR92" s="216"/>
      <c r="IS92" s="216"/>
      <c r="IT92" s="216"/>
      <c r="IU92" s="216"/>
      <c r="IV92" s="216"/>
      <c r="IW92" s="216"/>
      <c r="IX92" s="216"/>
      <c r="IY92" s="216"/>
      <c r="IZ92" s="216"/>
      <c r="JA92" s="216"/>
      <c r="JB92" s="216"/>
      <c r="JC92" s="216"/>
      <c r="JD92" s="216"/>
      <c r="JE92" s="216"/>
      <c r="JF92" s="216"/>
      <c r="JG92" s="216"/>
      <c r="JH92" s="216"/>
      <c r="JI92" s="216"/>
      <c r="JJ92" s="216"/>
      <c r="JK92" s="216"/>
      <c r="JL92" s="216"/>
      <c r="JM92" s="216"/>
      <c r="JN92" s="216"/>
      <c r="JO92" s="216"/>
      <c r="JP92" s="216"/>
      <c r="JQ92" s="216"/>
      <c r="JR92" s="216"/>
      <c r="JS92" s="216"/>
      <c r="JT92" s="216"/>
      <c r="JU92" s="216"/>
      <c r="JV92" s="216"/>
      <c r="JW92" s="216"/>
      <c r="JX92" s="216"/>
      <c r="JY92" s="216"/>
      <c r="JZ92" s="216"/>
      <c r="KA92" s="216"/>
      <c r="KB92" s="216"/>
      <c r="KC92" s="216"/>
      <c r="KD92" s="216"/>
      <c r="KE92" s="216"/>
      <c r="KF92" s="216"/>
      <c r="KG92" s="216"/>
      <c r="KH92" s="216"/>
      <c r="KI92" s="216"/>
      <c r="KJ92" s="216"/>
      <c r="KK92" s="216"/>
      <c r="KL92" s="216"/>
      <c r="KM92" s="216"/>
      <c r="KN92" s="216"/>
      <c r="KO92" s="216"/>
      <c r="KP92" s="216"/>
      <c r="KQ92" s="216"/>
      <c r="KR92" s="216"/>
      <c r="KS92" s="216"/>
      <c r="KT92" s="216"/>
      <c r="KU92" s="216"/>
      <c r="KV92" s="216"/>
      <c r="KW92" s="216"/>
      <c r="KX92" s="216"/>
      <c r="KY92" s="216"/>
      <c r="KZ92" s="216"/>
      <c r="LA92" s="216"/>
      <c r="LB92" s="216"/>
      <c r="LC92" s="216"/>
      <c r="LD92" s="216"/>
      <c r="LE92" s="216"/>
    </row>
    <row r="93" spans="1:317" x14ac:dyDescent="0.2">
      <c r="A93" s="179" t="s">
        <v>849</v>
      </c>
      <c r="B93" s="180" t="s">
        <v>992</v>
      </c>
      <c r="C93" s="181"/>
      <c r="D93" s="182">
        <v>0</v>
      </c>
      <c r="E93" s="182">
        <v>0</v>
      </c>
      <c r="F93" s="183" t="s">
        <v>1275</v>
      </c>
      <c r="G93" s="183">
        <v>0</v>
      </c>
      <c r="H93" s="183">
        <v>0</v>
      </c>
      <c r="I93" s="183">
        <v>0</v>
      </c>
      <c r="J93" s="183">
        <v>0</v>
      </c>
      <c r="K93" s="183" t="s">
        <v>1381</v>
      </c>
      <c r="L93" s="183">
        <v>0</v>
      </c>
      <c r="M93" s="183">
        <v>0</v>
      </c>
      <c r="N93" s="183" t="s">
        <v>872</v>
      </c>
      <c r="O93" s="183">
        <v>0</v>
      </c>
      <c r="P93" s="183">
        <v>0</v>
      </c>
      <c r="Q93" s="183"/>
      <c r="R93" s="183"/>
      <c r="S93" s="183"/>
      <c r="T93" s="183"/>
      <c r="U93" s="183"/>
      <c r="V93" s="183">
        <v>0</v>
      </c>
      <c r="W93" s="183">
        <v>0</v>
      </c>
      <c r="X93" s="183">
        <v>0</v>
      </c>
      <c r="Y93" s="184">
        <v>4.9800000000000004</v>
      </c>
      <c r="Z93" s="184">
        <v>13.11</v>
      </c>
      <c r="AA93" s="184">
        <v>0</v>
      </c>
      <c r="AB93" s="185" t="s">
        <v>615</v>
      </c>
      <c r="AC93" s="185" t="s">
        <v>615</v>
      </c>
      <c r="AD93" s="186" t="s">
        <v>872</v>
      </c>
      <c r="AE93" s="186" t="s">
        <v>852</v>
      </c>
      <c r="AF93" s="187">
        <v>7</v>
      </c>
      <c r="AG93" s="187">
        <v>3</v>
      </c>
      <c r="AH93" s="187">
        <v>4</v>
      </c>
      <c r="AI93" s="188">
        <v>1</v>
      </c>
      <c r="AJ93" s="188" t="s">
        <v>615</v>
      </c>
      <c r="AK93" s="187" t="s">
        <v>1737</v>
      </c>
      <c r="AL93" s="87" t="s">
        <v>615</v>
      </c>
      <c r="AM93" s="189"/>
      <c r="AN93" s="187" t="s">
        <v>615</v>
      </c>
      <c r="AO93" s="13" t="s">
        <v>615</v>
      </c>
      <c r="AP93" s="187">
        <v>0.68</v>
      </c>
      <c r="AQ93" s="187">
        <v>8</v>
      </c>
      <c r="AR93" s="190">
        <v>14.705882352941176</v>
      </c>
      <c r="AS93" s="190">
        <v>84.558823529411754</v>
      </c>
      <c r="AT93" s="190">
        <v>0</v>
      </c>
      <c r="AU93" s="187">
        <v>0</v>
      </c>
      <c r="AV93" s="187">
        <v>0</v>
      </c>
      <c r="AW93" s="191"/>
      <c r="AX93" s="192"/>
      <c r="AY93" s="193">
        <v>42845</v>
      </c>
      <c r="AZ93" s="193"/>
      <c r="BA93" s="193"/>
      <c r="BB93" s="194"/>
      <c r="BC93" s="194"/>
      <c r="BD93" s="195"/>
      <c r="BE93" s="195" t="s">
        <v>532</v>
      </c>
      <c r="BF93" s="195"/>
      <c r="BG93" s="195">
        <v>10</v>
      </c>
      <c r="BH93" s="196" t="s">
        <v>547</v>
      </c>
      <c r="BI93" s="197">
        <v>1</v>
      </c>
      <c r="BJ93" s="198"/>
      <c r="BK93" s="199">
        <v>40</v>
      </c>
      <c r="BL93" s="13">
        <v>27</v>
      </c>
      <c r="BM93" s="13">
        <v>13</v>
      </c>
      <c r="BN93" s="13" t="s">
        <v>620</v>
      </c>
      <c r="BO93" s="13" t="s">
        <v>620</v>
      </c>
      <c r="BP93" s="200">
        <v>0</v>
      </c>
      <c r="BQ93" s="201"/>
      <c r="BR93" s="202"/>
      <c r="BS93" s="187">
        <v>1000000000</v>
      </c>
      <c r="BT93" s="203">
        <v>230</v>
      </c>
      <c r="BU93" s="204">
        <v>-4.75</v>
      </c>
      <c r="BV93" s="203">
        <v>0</v>
      </c>
      <c r="BW93" s="205">
        <v>0</v>
      </c>
      <c r="BX93" s="205">
        <v>0</v>
      </c>
      <c r="BY93" s="205">
        <v>0</v>
      </c>
      <c r="BZ93" s="203">
        <v>0</v>
      </c>
      <c r="CA93" s="203">
        <v>0</v>
      </c>
      <c r="CB93" s="203">
        <v>230</v>
      </c>
      <c r="CC93" s="204">
        <v>-4.75</v>
      </c>
      <c r="CD93" s="203">
        <v>0</v>
      </c>
      <c r="CE93" s="203">
        <v>0</v>
      </c>
      <c r="CF93" s="13">
        <v>0</v>
      </c>
      <c r="CG93" s="206">
        <v>0</v>
      </c>
      <c r="CH93" s="207">
        <v>23</v>
      </c>
      <c r="CI93" s="201"/>
      <c r="CJ93" s="208"/>
      <c r="CK93" s="209" t="s">
        <v>615</v>
      </c>
      <c r="CL93" s="210" t="s">
        <v>615</v>
      </c>
      <c r="CM93" s="207">
        <v>0</v>
      </c>
      <c r="CN93" s="207">
        <v>946.2</v>
      </c>
      <c r="CO93" s="204">
        <v>0</v>
      </c>
      <c r="CP93" s="204">
        <v>11.194492254733218</v>
      </c>
      <c r="CQ93" s="211"/>
      <c r="CR93" s="204">
        <v>1</v>
      </c>
      <c r="CS93" s="212">
        <v>42709</v>
      </c>
      <c r="CT93" s="212">
        <v>42780</v>
      </c>
      <c r="CU93" s="213">
        <v>42780</v>
      </c>
      <c r="CV93" s="214">
        <v>42829</v>
      </c>
      <c r="CW93" s="214" t="s">
        <v>615</v>
      </c>
      <c r="CX93" s="214" t="s">
        <v>615</v>
      </c>
      <c r="CY93" s="204">
        <v>0.45714755140425617</v>
      </c>
      <c r="CZ93" s="204">
        <v>0.97959183673469385</v>
      </c>
      <c r="DA93" s="203">
        <v>0</v>
      </c>
      <c r="DB93" s="204">
        <v>0</v>
      </c>
      <c r="DC93" s="204">
        <v>0</v>
      </c>
      <c r="DD93" s="204">
        <v>0</v>
      </c>
      <c r="DE93" s="204">
        <v>0</v>
      </c>
      <c r="DF93" s="215">
        <v>0.97959183673469385</v>
      </c>
      <c r="DG93" s="13" t="s">
        <v>615</v>
      </c>
      <c r="DH93" s="86">
        <v>91</v>
      </c>
      <c r="DI93" s="86"/>
      <c r="DJ93" s="86">
        <v>60</v>
      </c>
      <c r="DK93" s="86" t="s">
        <v>1453</v>
      </c>
      <c r="DL93" s="86">
        <v>14</v>
      </c>
      <c r="DM93" s="86">
        <v>36</v>
      </c>
      <c r="DN93" s="86" t="e">
        <v>#N/A</v>
      </c>
      <c r="DO93" s="86">
        <v>62</v>
      </c>
      <c r="DP93" s="86">
        <v>2</v>
      </c>
      <c r="DQ93" s="86">
        <v>49</v>
      </c>
      <c r="DR93" s="146">
        <v>40</v>
      </c>
      <c r="DS93" s="146">
        <v>40</v>
      </c>
      <c r="DT93" s="146">
        <v>40</v>
      </c>
      <c r="DU93" s="146">
        <v>40</v>
      </c>
      <c r="DV93" s="146">
        <v>40</v>
      </c>
      <c r="DW93" s="146">
        <v>40</v>
      </c>
      <c r="DX93" s="146">
        <v>40</v>
      </c>
      <c r="DY93" s="146">
        <v>40</v>
      </c>
      <c r="DZ93" s="146">
        <v>40</v>
      </c>
      <c r="EA93" s="162">
        <v>40</v>
      </c>
      <c r="EB93" s="160">
        <v>0</v>
      </c>
      <c r="EC93" s="160">
        <v>0</v>
      </c>
      <c r="ED93" s="160">
        <v>0</v>
      </c>
      <c r="EE93" s="160">
        <v>0</v>
      </c>
      <c r="EF93" s="160">
        <v>0</v>
      </c>
      <c r="EG93" s="160">
        <v>0</v>
      </c>
      <c r="EH93" s="160">
        <v>0</v>
      </c>
      <c r="EI93" s="160">
        <v>0</v>
      </c>
      <c r="EJ93" s="160">
        <v>0</v>
      </c>
      <c r="EK93" s="160">
        <v>0</v>
      </c>
      <c r="EL93" s="160">
        <v>0</v>
      </c>
      <c r="EM93" s="160">
        <v>0</v>
      </c>
      <c r="EN93" s="160">
        <v>0</v>
      </c>
      <c r="EO93" s="160">
        <v>0</v>
      </c>
      <c r="EP93" s="160">
        <v>0</v>
      </c>
      <c r="EQ93" s="160">
        <v>0</v>
      </c>
      <c r="ER93" s="160">
        <v>0</v>
      </c>
      <c r="ES93" s="160">
        <v>0</v>
      </c>
      <c r="ET93" s="160">
        <v>0</v>
      </c>
      <c r="EU93" s="160">
        <v>0</v>
      </c>
      <c r="EV93" s="161">
        <v>230</v>
      </c>
      <c r="EW93" s="161">
        <v>230</v>
      </c>
      <c r="EX93" s="161">
        <v>230</v>
      </c>
      <c r="EY93" s="161">
        <v>230</v>
      </c>
      <c r="EZ93" s="161">
        <v>230</v>
      </c>
      <c r="FA93" s="161">
        <v>230</v>
      </c>
      <c r="FB93" s="161">
        <v>230</v>
      </c>
      <c r="FC93" s="161">
        <v>230</v>
      </c>
      <c r="FD93" s="161">
        <v>230</v>
      </c>
      <c r="FE93" s="161">
        <v>230</v>
      </c>
      <c r="FF93" s="161">
        <v>230</v>
      </c>
      <c r="FG93" s="161">
        <v>230</v>
      </c>
      <c r="FH93" s="161">
        <v>230</v>
      </c>
      <c r="FI93" s="161">
        <v>230</v>
      </c>
      <c r="FJ93" s="161">
        <v>230</v>
      </c>
      <c r="FK93" s="161">
        <v>230</v>
      </c>
      <c r="FL93" s="161">
        <v>230</v>
      </c>
      <c r="FM93" s="161">
        <v>230</v>
      </c>
      <c r="FN93" s="161">
        <v>250</v>
      </c>
      <c r="FO93" s="161">
        <v>250</v>
      </c>
      <c r="FP93" s="161">
        <v>74</v>
      </c>
      <c r="FQ93" s="161">
        <v>74</v>
      </c>
      <c r="FR93" s="161">
        <v>74</v>
      </c>
      <c r="FS93" s="161">
        <v>74</v>
      </c>
      <c r="FT93" s="161">
        <v>74</v>
      </c>
      <c r="FU93" s="161">
        <v>74</v>
      </c>
      <c r="FV93" s="161">
        <v>74</v>
      </c>
      <c r="FW93" s="161">
        <v>74</v>
      </c>
      <c r="FX93" s="161">
        <v>74</v>
      </c>
      <c r="FY93" s="161">
        <v>74</v>
      </c>
      <c r="FZ93" s="161">
        <v>74</v>
      </c>
      <c r="GA93" s="161">
        <v>74</v>
      </c>
      <c r="GB93" s="161">
        <v>69</v>
      </c>
      <c r="GC93" s="161">
        <v>69</v>
      </c>
      <c r="GD93" s="161">
        <v>69</v>
      </c>
      <c r="GE93" s="161">
        <v>69</v>
      </c>
      <c r="GF93" s="161">
        <v>69</v>
      </c>
      <c r="GG93" s="161">
        <v>69</v>
      </c>
      <c r="GH93" s="161">
        <v>69</v>
      </c>
      <c r="GI93" s="161">
        <v>69</v>
      </c>
      <c r="GJ93" s="161">
        <v>69</v>
      </c>
      <c r="GK93" s="161">
        <v>69</v>
      </c>
      <c r="GL93" s="161">
        <v>69</v>
      </c>
      <c r="GM93" s="161">
        <v>69</v>
      </c>
      <c r="GN93" s="161">
        <v>69</v>
      </c>
      <c r="GO93" s="161">
        <v>69</v>
      </c>
      <c r="GP93" s="161">
        <v>69</v>
      </c>
      <c r="GQ93" s="161">
        <v>69</v>
      </c>
      <c r="GR93" s="161">
        <v>69</v>
      </c>
      <c r="GS93" s="161">
        <v>69</v>
      </c>
      <c r="GT93" s="161">
        <v>69</v>
      </c>
      <c r="GU93" s="161">
        <v>69</v>
      </c>
      <c r="GV93" s="161">
        <v>69</v>
      </c>
      <c r="GW93" s="161">
        <v>74</v>
      </c>
      <c r="GX93" s="161">
        <v>74</v>
      </c>
      <c r="GY93" s="161">
        <v>74</v>
      </c>
      <c r="GZ93" s="161">
        <v>74</v>
      </c>
      <c r="HA93" s="161">
        <v>69</v>
      </c>
      <c r="HB93" s="161">
        <v>69</v>
      </c>
      <c r="HC93" s="161">
        <v>69</v>
      </c>
      <c r="HD93" s="161">
        <v>69</v>
      </c>
      <c r="HE93" s="161">
        <v>59</v>
      </c>
      <c r="HF93" s="161">
        <v>59</v>
      </c>
      <c r="HG93" s="161">
        <v>59</v>
      </c>
      <c r="HH93" s="161">
        <v>59</v>
      </c>
      <c r="HI93" s="161">
        <v>59</v>
      </c>
      <c r="HJ93" s="161">
        <v>59</v>
      </c>
      <c r="HK93" s="161">
        <v>59</v>
      </c>
      <c r="HL93" s="161">
        <v>59</v>
      </c>
      <c r="HM93" s="161">
        <v>59</v>
      </c>
      <c r="HN93" s="161">
        <v>59</v>
      </c>
      <c r="HO93" s="161">
        <v>59</v>
      </c>
      <c r="HP93" s="161">
        <v>59</v>
      </c>
      <c r="HQ93" s="161">
        <v>59</v>
      </c>
      <c r="HR93" s="161">
        <v>59</v>
      </c>
      <c r="HS93" s="161">
        <v>59</v>
      </c>
      <c r="HT93" s="161">
        <v>230</v>
      </c>
      <c r="HU93" s="151"/>
      <c r="HV93" s="161">
        <v>230</v>
      </c>
      <c r="HW93" s="151"/>
      <c r="HX93" s="151"/>
      <c r="HY93" s="151"/>
      <c r="HZ93" s="151"/>
      <c r="IA93" s="151"/>
      <c r="IB93" s="151"/>
      <c r="IC93" s="151"/>
      <c r="ID93" s="151"/>
      <c r="IE93" s="151"/>
      <c r="IF93" s="151"/>
      <c r="IG93" s="151"/>
      <c r="IH93" s="151"/>
      <c r="II93" s="151"/>
      <c r="IJ93" s="151"/>
      <c r="IK93" s="151"/>
      <c r="IL93" s="151"/>
      <c r="IM93" s="151"/>
      <c r="IN93" s="151"/>
      <c r="IO93" s="151"/>
      <c r="IP93" s="151"/>
      <c r="IQ93" s="151"/>
      <c r="IR93" s="151"/>
      <c r="IS93" s="151"/>
      <c r="IT93" s="151"/>
      <c r="IU93" s="151"/>
      <c r="IV93" s="151"/>
      <c r="IW93" s="151"/>
      <c r="IX93" s="151"/>
      <c r="IY93" s="151"/>
      <c r="IZ93" s="151"/>
      <c r="JA93" s="151"/>
      <c r="JB93" s="151"/>
      <c r="JC93" s="151"/>
      <c r="JD93" s="151"/>
      <c r="JE93" s="151"/>
      <c r="JF93" s="151"/>
      <c r="JG93" s="151"/>
      <c r="JH93" s="151"/>
      <c r="JI93" s="151"/>
      <c r="JJ93" s="151"/>
      <c r="JK93" s="151"/>
      <c r="JL93" s="151"/>
      <c r="JM93" s="151"/>
      <c r="JN93" s="151"/>
      <c r="JO93" s="151"/>
      <c r="JP93" s="151"/>
      <c r="JQ93" s="151"/>
      <c r="JR93" s="151"/>
      <c r="JS93" s="151"/>
      <c r="JT93" s="151"/>
      <c r="JU93" s="151"/>
      <c r="JV93" s="151"/>
      <c r="JW93" s="151"/>
      <c r="JX93" s="151"/>
      <c r="JY93" s="151"/>
      <c r="JZ93" s="151"/>
      <c r="KA93" s="151"/>
      <c r="KB93" s="151"/>
      <c r="KC93" s="151"/>
      <c r="KD93" s="151"/>
      <c r="KE93" s="151"/>
      <c r="KF93" s="151"/>
      <c r="KG93" s="151"/>
      <c r="KH93" s="151"/>
      <c r="KI93" s="151"/>
      <c r="KJ93" s="151"/>
      <c r="KK93" s="151"/>
      <c r="KL93" s="151"/>
      <c r="KM93" s="151"/>
      <c r="KN93" s="151"/>
      <c r="KO93" s="151"/>
      <c r="KP93" s="151"/>
      <c r="KQ93" s="151"/>
      <c r="KR93" s="151"/>
      <c r="KS93" s="151"/>
      <c r="KT93" s="151"/>
      <c r="KU93" s="151"/>
      <c r="KV93" s="151"/>
      <c r="KW93" s="151"/>
      <c r="KX93" s="151"/>
      <c r="KY93" s="151"/>
      <c r="KZ93" s="151"/>
      <c r="LA93" s="151"/>
      <c r="LB93" s="151"/>
      <c r="LC93" s="151"/>
      <c r="LD93" s="151"/>
      <c r="LE93" s="151"/>
    </row>
    <row r="94" spans="1:317" x14ac:dyDescent="0.2">
      <c r="A94" s="179" t="s">
        <v>849</v>
      </c>
      <c r="B94" s="180" t="s">
        <v>993</v>
      </c>
      <c r="C94" s="181"/>
      <c r="D94" s="182">
        <v>0</v>
      </c>
      <c r="E94" s="182">
        <v>0</v>
      </c>
      <c r="F94" s="183" t="s">
        <v>1240</v>
      </c>
      <c r="G94" s="183">
        <v>0</v>
      </c>
      <c r="H94" s="183">
        <v>0</v>
      </c>
      <c r="I94" s="183">
        <v>0</v>
      </c>
      <c r="J94" s="183">
        <v>0</v>
      </c>
      <c r="K94" s="183" t="s">
        <v>1381</v>
      </c>
      <c r="L94" s="183">
        <v>0</v>
      </c>
      <c r="M94" s="183">
        <v>0</v>
      </c>
      <c r="N94" s="183" t="s">
        <v>872</v>
      </c>
      <c r="O94" s="183">
        <v>0</v>
      </c>
      <c r="P94" s="183">
        <v>0</v>
      </c>
      <c r="Q94" s="183"/>
      <c r="R94" s="183"/>
      <c r="S94" s="183"/>
      <c r="T94" s="183"/>
      <c r="U94" s="183"/>
      <c r="V94" s="183">
        <v>0</v>
      </c>
      <c r="W94" s="183">
        <v>0</v>
      </c>
      <c r="X94" s="183">
        <v>0</v>
      </c>
      <c r="Y94" s="184">
        <v>4.99</v>
      </c>
      <c r="Z94" s="184">
        <v>18.440000000000001</v>
      </c>
      <c r="AA94" s="184">
        <v>0</v>
      </c>
      <c r="AB94" s="185" t="s">
        <v>615</v>
      </c>
      <c r="AC94" s="185" t="s">
        <v>615</v>
      </c>
      <c r="AD94" s="186" t="s">
        <v>872</v>
      </c>
      <c r="AE94" s="186" t="s">
        <v>852</v>
      </c>
      <c r="AF94" s="187">
        <v>7</v>
      </c>
      <c r="AG94" s="187">
        <v>3</v>
      </c>
      <c r="AH94" s="187">
        <v>4</v>
      </c>
      <c r="AI94" s="188">
        <v>1</v>
      </c>
      <c r="AJ94" s="188" t="s">
        <v>615</v>
      </c>
      <c r="AK94" s="187" t="s">
        <v>1737</v>
      </c>
      <c r="AL94" s="87" t="s">
        <v>615</v>
      </c>
      <c r="AM94" s="189"/>
      <c r="AN94" s="187" t="s">
        <v>615</v>
      </c>
      <c r="AO94" s="13" t="s">
        <v>615</v>
      </c>
      <c r="AP94" s="187">
        <v>0</v>
      </c>
      <c r="AQ94" s="187">
        <v>0</v>
      </c>
      <c r="AR94" s="190">
        <v>0</v>
      </c>
      <c r="AS94" s="190">
        <v>0</v>
      </c>
      <c r="AT94" s="190">
        <v>0</v>
      </c>
      <c r="AU94" s="187">
        <v>0</v>
      </c>
      <c r="AV94" s="187">
        <v>0</v>
      </c>
      <c r="AW94" s="191"/>
      <c r="AX94" s="192"/>
      <c r="AY94" s="193">
        <v>42845</v>
      </c>
      <c r="AZ94" s="193"/>
      <c r="BA94" s="193"/>
      <c r="BB94" s="194"/>
      <c r="BC94" s="194"/>
      <c r="BD94" s="195"/>
      <c r="BE94" s="195" t="s">
        <v>532</v>
      </c>
      <c r="BF94" s="195"/>
      <c r="BG94" s="195">
        <v>10</v>
      </c>
      <c r="BH94" s="196" t="s">
        <v>547</v>
      </c>
      <c r="BI94" s="197">
        <v>1</v>
      </c>
      <c r="BJ94" s="198"/>
      <c r="BK94" s="199">
        <v>0</v>
      </c>
      <c r="BL94" s="13">
        <v>0</v>
      </c>
      <c r="BM94" s="13">
        <v>0</v>
      </c>
      <c r="BN94" s="13" t="s">
        <v>616</v>
      </c>
      <c r="BO94" s="13" t="s">
        <v>616</v>
      </c>
      <c r="BP94" s="200">
        <v>15</v>
      </c>
      <c r="BQ94" s="201"/>
      <c r="BR94" s="202"/>
      <c r="BS94" s="187">
        <v>1000000000</v>
      </c>
      <c r="BT94" s="203">
        <v>310</v>
      </c>
      <c r="BU94" s="204">
        <v>0</v>
      </c>
      <c r="BV94" s="203">
        <v>0</v>
      </c>
      <c r="BW94" s="205">
        <v>0</v>
      </c>
      <c r="BX94" s="205">
        <v>0</v>
      </c>
      <c r="BY94" s="205">
        <v>0</v>
      </c>
      <c r="BZ94" s="203">
        <v>0</v>
      </c>
      <c r="CA94" s="203">
        <v>0</v>
      </c>
      <c r="CB94" s="203">
        <v>310</v>
      </c>
      <c r="CC94" s="204">
        <v>0</v>
      </c>
      <c r="CD94" s="203">
        <v>0</v>
      </c>
      <c r="CE94" s="203">
        <v>0</v>
      </c>
      <c r="CF94" s="13">
        <v>0</v>
      </c>
      <c r="CG94" s="206">
        <v>0</v>
      </c>
      <c r="CH94" s="207">
        <v>0</v>
      </c>
      <c r="CI94" s="201"/>
      <c r="CJ94" s="208"/>
      <c r="CK94" s="209" t="s">
        <v>615</v>
      </c>
      <c r="CL94" s="210" t="s">
        <v>615</v>
      </c>
      <c r="CM94" s="207">
        <v>0</v>
      </c>
      <c r="CN94" s="207">
        <v>0</v>
      </c>
      <c r="CO94" s="204">
        <v>0</v>
      </c>
      <c r="CP94" s="204">
        <v>0</v>
      </c>
      <c r="CQ94" s="211"/>
      <c r="CR94" s="204">
        <v>1</v>
      </c>
      <c r="CS94" s="212">
        <v>42709</v>
      </c>
      <c r="CT94" s="212">
        <v>42780</v>
      </c>
      <c r="CU94" s="213">
        <v>42780</v>
      </c>
      <c r="CV94" s="214">
        <v>42829</v>
      </c>
      <c r="CW94" s="214" t="s">
        <v>615</v>
      </c>
      <c r="CX94" s="214" t="s">
        <v>615</v>
      </c>
      <c r="CY94" s="204">
        <v>1.9546990098845296</v>
      </c>
      <c r="CZ94" s="204">
        <v>0.97959183673469385</v>
      </c>
      <c r="DA94" s="203">
        <v>0</v>
      </c>
      <c r="DB94" s="204">
        <v>0</v>
      </c>
      <c r="DC94" s="204">
        <v>0</v>
      </c>
      <c r="DD94" s="204">
        <v>0</v>
      </c>
      <c r="DE94" s="204">
        <v>0</v>
      </c>
      <c r="DF94" s="215">
        <v>0.97959183673469385</v>
      </c>
      <c r="DG94" s="13" t="s">
        <v>615</v>
      </c>
      <c r="DH94" s="86">
        <v>92</v>
      </c>
      <c r="DI94" s="86"/>
      <c r="DJ94" s="86">
        <v>59</v>
      </c>
      <c r="DK94" s="86" t="s">
        <v>1485</v>
      </c>
      <c r="DL94" s="86" t="e">
        <v>#N/A</v>
      </c>
      <c r="DM94" s="86">
        <v>35</v>
      </c>
      <c r="DN94" s="86" t="e">
        <v>#N/A</v>
      </c>
      <c r="DO94" s="86">
        <v>61</v>
      </c>
      <c r="DP94" s="86">
        <v>2</v>
      </c>
      <c r="DQ94" s="86">
        <v>49</v>
      </c>
      <c r="DR94" s="152">
        <v>10</v>
      </c>
      <c r="DS94" s="152">
        <v>10</v>
      </c>
      <c r="DT94" s="152">
        <v>10</v>
      </c>
      <c r="DU94" s="152">
        <v>10</v>
      </c>
      <c r="DV94" s="152">
        <v>10</v>
      </c>
      <c r="DW94" s="152">
        <v>10</v>
      </c>
      <c r="DX94" s="152">
        <v>10</v>
      </c>
      <c r="DY94" s="152">
        <v>10</v>
      </c>
      <c r="DZ94" s="152">
        <v>10</v>
      </c>
      <c r="EA94" s="168">
        <v>10</v>
      </c>
      <c r="EB94" s="166">
        <v>0</v>
      </c>
      <c r="EC94" s="166">
        <v>0</v>
      </c>
      <c r="ED94" s="166">
        <v>0</v>
      </c>
      <c r="EE94" s="166">
        <v>0</v>
      </c>
      <c r="EF94" s="166">
        <v>0</v>
      </c>
      <c r="EG94" s="166">
        <v>0</v>
      </c>
      <c r="EH94" s="166">
        <v>0</v>
      </c>
      <c r="EI94" s="166">
        <v>0</v>
      </c>
      <c r="EJ94" s="166">
        <v>0</v>
      </c>
      <c r="EK94" s="166">
        <v>0</v>
      </c>
      <c r="EL94" s="166">
        <v>0</v>
      </c>
      <c r="EM94" s="166">
        <v>0</v>
      </c>
      <c r="EN94" s="166">
        <v>0</v>
      </c>
      <c r="EO94" s="166">
        <v>0</v>
      </c>
      <c r="EP94" s="166">
        <v>0</v>
      </c>
      <c r="EQ94" s="166">
        <v>0</v>
      </c>
      <c r="ER94" s="166">
        <v>0</v>
      </c>
      <c r="ES94" s="166">
        <v>0</v>
      </c>
      <c r="ET94" s="166">
        <v>0</v>
      </c>
      <c r="EU94" s="166">
        <v>0</v>
      </c>
      <c r="EV94" s="167">
        <v>310</v>
      </c>
      <c r="EW94" s="167">
        <v>310</v>
      </c>
      <c r="EX94" s="167">
        <v>310</v>
      </c>
      <c r="EY94" s="167">
        <v>310</v>
      </c>
      <c r="EZ94" s="167">
        <v>310</v>
      </c>
      <c r="FA94" s="167">
        <v>310</v>
      </c>
      <c r="FB94" s="167">
        <v>310</v>
      </c>
      <c r="FC94" s="167">
        <v>310</v>
      </c>
      <c r="FD94" s="167">
        <v>310</v>
      </c>
      <c r="FE94" s="167">
        <v>310</v>
      </c>
      <c r="FF94" s="167">
        <v>310</v>
      </c>
      <c r="FG94" s="167">
        <v>310</v>
      </c>
      <c r="FH94" s="167">
        <v>310</v>
      </c>
      <c r="FI94" s="167">
        <v>310</v>
      </c>
      <c r="FJ94" s="167">
        <v>310</v>
      </c>
      <c r="FK94" s="167">
        <v>310</v>
      </c>
      <c r="FL94" s="167">
        <v>310</v>
      </c>
      <c r="FM94" s="167">
        <v>310</v>
      </c>
      <c r="FN94" s="167">
        <v>310</v>
      </c>
      <c r="FO94" s="167">
        <v>309</v>
      </c>
      <c r="FP94" s="164">
        <v>18</v>
      </c>
      <c r="FQ94" s="164">
        <v>18</v>
      </c>
      <c r="FR94" s="164">
        <v>18</v>
      </c>
      <c r="FS94" s="164">
        <v>18</v>
      </c>
      <c r="FT94" s="164">
        <v>18</v>
      </c>
      <c r="FU94" s="164">
        <v>18</v>
      </c>
      <c r="FV94" s="164">
        <v>18</v>
      </c>
      <c r="FW94" s="164">
        <v>18</v>
      </c>
      <c r="FX94" s="164">
        <v>18</v>
      </c>
      <c r="FY94" s="164">
        <v>18</v>
      </c>
      <c r="FZ94" s="164">
        <v>18</v>
      </c>
      <c r="GA94" s="164">
        <v>18</v>
      </c>
      <c r="GB94" s="164">
        <v>18</v>
      </c>
      <c r="GC94" s="164">
        <v>18</v>
      </c>
      <c r="GD94" s="164">
        <v>18</v>
      </c>
      <c r="GE94" s="164">
        <v>18</v>
      </c>
      <c r="GF94" s="164">
        <v>18</v>
      </c>
      <c r="GG94" s="164">
        <v>18</v>
      </c>
      <c r="GH94" s="164">
        <v>18</v>
      </c>
      <c r="GI94" s="164">
        <v>18</v>
      </c>
      <c r="GJ94" s="164">
        <v>18</v>
      </c>
      <c r="GK94" s="164">
        <v>18</v>
      </c>
      <c r="GL94" s="164">
        <v>18</v>
      </c>
      <c r="GM94" s="164">
        <v>18</v>
      </c>
      <c r="GN94" s="164">
        <v>18</v>
      </c>
      <c r="GO94" s="164">
        <v>18</v>
      </c>
      <c r="GP94" s="164">
        <v>18</v>
      </c>
      <c r="GQ94" s="164">
        <v>18</v>
      </c>
      <c r="GR94" s="164">
        <v>18</v>
      </c>
      <c r="GS94" s="164">
        <v>18</v>
      </c>
      <c r="GT94" s="164">
        <v>18</v>
      </c>
      <c r="GU94" s="164">
        <v>18</v>
      </c>
      <c r="GV94" s="164">
        <v>18</v>
      </c>
      <c r="GW94" s="164">
        <v>18</v>
      </c>
      <c r="GX94" s="164">
        <v>18</v>
      </c>
      <c r="GY94" s="164">
        <v>18</v>
      </c>
      <c r="GZ94" s="164">
        <v>18</v>
      </c>
      <c r="HA94" s="164">
        <v>18</v>
      </c>
      <c r="HB94" s="164">
        <v>18</v>
      </c>
      <c r="HC94" s="164">
        <v>18</v>
      </c>
      <c r="HD94" s="164">
        <v>18</v>
      </c>
      <c r="HE94" s="164">
        <v>18</v>
      </c>
      <c r="HF94" s="164">
        <v>18</v>
      </c>
      <c r="HG94" s="167">
        <v>18</v>
      </c>
      <c r="HH94" s="167">
        <v>18</v>
      </c>
      <c r="HI94" s="152">
        <v>18</v>
      </c>
      <c r="HJ94" s="152">
        <v>18</v>
      </c>
      <c r="HK94" s="152">
        <v>18</v>
      </c>
      <c r="HL94" s="152">
        <v>18</v>
      </c>
      <c r="HM94" s="152">
        <v>18</v>
      </c>
      <c r="HN94" s="152">
        <v>18</v>
      </c>
      <c r="HO94" s="152">
        <v>18</v>
      </c>
      <c r="HP94" s="152">
        <v>18</v>
      </c>
      <c r="HQ94" s="152">
        <v>18</v>
      </c>
      <c r="HR94" s="152">
        <v>18</v>
      </c>
      <c r="HS94" s="152">
        <v>18</v>
      </c>
      <c r="HT94" s="152">
        <v>310</v>
      </c>
      <c r="HU94" s="216"/>
      <c r="HV94" s="152">
        <v>310</v>
      </c>
      <c r="HW94" s="216"/>
      <c r="HX94" s="216"/>
      <c r="HY94" s="216"/>
      <c r="HZ94" s="216"/>
      <c r="IA94" s="216"/>
      <c r="IB94" s="216"/>
      <c r="IC94" s="216"/>
      <c r="ID94" s="216"/>
      <c r="IE94" s="216"/>
      <c r="IF94" s="216"/>
      <c r="IG94" s="216"/>
      <c r="IH94" s="216"/>
      <c r="II94" s="216"/>
      <c r="IJ94" s="216"/>
      <c r="IK94" s="216"/>
      <c r="IL94" s="216"/>
      <c r="IM94" s="216"/>
      <c r="IN94" s="216"/>
      <c r="IO94" s="216"/>
      <c r="IP94" s="216"/>
      <c r="IQ94" s="216"/>
      <c r="IR94" s="216"/>
      <c r="IS94" s="216"/>
      <c r="IT94" s="216"/>
      <c r="IU94" s="216"/>
      <c r="IV94" s="216"/>
      <c r="IW94" s="216"/>
      <c r="IX94" s="216"/>
      <c r="IY94" s="216"/>
      <c r="IZ94" s="216"/>
      <c r="JA94" s="216"/>
      <c r="JB94" s="216"/>
      <c r="JC94" s="216"/>
      <c r="JD94" s="216"/>
      <c r="JE94" s="216"/>
      <c r="JF94" s="216"/>
      <c r="JG94" s="216"/>
      <c r="JH94" s="216"/>
      <c r="JI94" s="216"/>
      <c r="JJ94" s="216"/>
      <c r="JK94" s="216"/>
      <c r="JL94" s="216"/>
      <c r="JM94" s="216"/>
      <c r="JN94" s="216"/>
      <c r="JO94" s="216"/>
      <c r="JP94" s="216"/>
      <c r="JQ94" s="216"/>
      <c r="JR94" s="216"/>
      <c r="JS94" s="216"/>
      <c r="JT94" s="216"/>
      <c r="JU94" s="216"/>
      <c r="JV94" s="216"/>
      <c r="JW94" s="216"/>
      <c r="JX94" s="216"/>
      <c r="JY94" s="216"/>
      <c r="JZ94" s="216"/>
      <c r="KA94" s="216"/>
      <c r="KB94" s="216"/>
      <c r="KC94" s="216"/>
      <c r="KD94" s="216"/>
      <c r="KE94" s="216"/>
      <c r="KF94" s="216"/>
      <c r="KG94" s="216"/>
      <c r="KH94" s="216"/>
      <c r="KI94" s="216"/>
      <c r="KJ94" s="216"/>
      <c r="KK94" s="216"/>
      <c r="KL94" s="216"/>
      <c r="KM94" s="216"/>
      <c r="KN94" s="216"/>
      <c r="KO94" s="216"/>
      <c r="KP94" s="216"/>
      <c r="KQ94" s="216"/>
      <c r="KR94" s="216"/>
      <c r="KS94" s="216"/>
      <c r="KT94" s="216"/>
      <c r="KU94" s="216"/>
      <c r="KV94" s="216"/>
      <c r="KW94" s="216"/>
      <c r="KX94" s="216"/>
      <c r="KY94" s="216"/>
      <c r="KZ94" s="216"/>
      <c r="LA94" s="216"/>
      <c r="LB94" s="216"/>
      <c r="LC94" s="216"/>
      <c r="LD94" s="216"/>
      <c r="LE94" s="216"/>
    </row>
    <row r="95" spans="1:317" x14ac:dyDescent="0.2">
      <c r="A95" s="179" t="s">
        <v>849</v>
      </c>
      <c r="B95" s="180" t="s">
        <v>994</v>
      </c>
      <c r="C95" s="181"/>
      <c r="D95" s="182">
        <v>0</v>
      </c>
      <c r="E95" s="182">
        <v>0</v>
      </c>
      <c r="F95" s="183" t="s">
        <v>1241</v>
      </c>
      <c r="G95" s="183">
        <v>0</v>
      </c>
      <c r="H95" s="183">
        <v>0</v>
      </c>
      <c r="I95" s="183">
        <v>0</v>
      </c>
      <c r="J95" s="183">
        <v>0</v>
      </c>
      <c r="K95" s="183" t="s">
        <v>1381</v>
      </c>
      <c r="L95" s="183">
        <v>0</v>
      </c>
      <c r="M95" s="183">
        <v>0</v>
      </c>
      <c r="N95" s="183" t="s">
        <v>872</v>
      </c>
      <c r="O95" s="183">
        <v>0</v>
      </c>
      <c r="P95" s="183">
        <v>0</v>
      </c>
      <c r="Q95" s="183"/>
      <c r="R95" s="183"/>
      <c r="S95" s="183"/>
      <c r="T95" s="183"/>
      <c r="U95" s="183"/>
      <c r="V95" s="183">
        <v>0</v>
      </c>
      <c r="W95" s="183">
        <v>0</v>
      </c>
      <c r="X95" s="183">
        <v>0</v>
      </c>
      <c r="Y95" s="184">
        <v>0</v>
      </c>
      <c r="Z95" s="184">
        <v>18.440000000000001</v>
      </c>
      <c r="AA95" s="184">
        <v>0</v>
      </c>
      <c r="AB95" s="185" t="s">
        <v>615</v>
      </c>
      <c r="AC95" s="185" t="s">
        <v>615</v>
      </c>
      <c r="AD95" s="186" t="s">
        <v>872</v>
      </c>
      <c r="AE95" s="186" t="s">
        <v>852</v>
      </c>
      <c r="AF95" s="187">
        <v>7</v>
      </c>
      <c r="AG95" s="187">
        <v>3</v>
      </c>
      <c r="AH95" s="187">
        <v>4</v>
      </c>
      <c r="AI95" s="188">
        <v>1</v>
      </c>
      <c r="AJ95" s="188" t="s">
        <v>615</v>
      </c>
      <c r="AK95" s="187" t="s">
        <v>1736</v>
      </c>
      <c r="AL95" s="87" t="s">
        <v>615</v>
      </c>
      <c r="AM95" s="189"/>
      <c r="AN95" s="187" t="s">
        <v>615</v>
      </c>
      <c r="AO95" s="13" t="s">
        <v>615</v>
      </c>
      <c r="AP95" s="187">
        <v>0</v>
      </c>
      <c r="AQ95" s="187">
        <v>0</v>
      </c>
      <c r="AR95" s="190">
        <v>0</v>
      </c>
      <c r="AS95" s="190">
        <v>0</v>
      </c>
      <c r="AT95" s="190">
        <v>0</v>
      </c>
      <c r="AU95" s="187">
        <v>0</v>
      </c>
      <c r="AV95" s="187">
        <v>0</v>
      </c>
      <c r="AW95" s="191"/>
      <c r="AX95" s="192"/>
      <c r="AY95" s="193">
        <v>42666</v>
      </c>
      <c r="AZ95" s="193"/>
      <c r="BA95" s="193"/>
      <c r="BB95" s="194"/>
      <c r="BC95" s="194"/>
      <c r="BD95" s="195"/>
      <c r="BE95" s="195" t="s">
        <v>532</v>
      </c>
      <c r="BF95" s="195"/>
      <c r="BG95" s="195">
        <v>10</v>
      </c>
      <c r="BH95" s="196" t="s">
        <v>547</v>
      </c>
      <c r="BI95" s="197">
        <v>1</v>
      </c>
      <c r="BJ95" s="198"/>
      <c r="BK95" s="199">
        <v>0</v>
      </c>
      <c r="BL95" s="13">
        <v>0</v>
      </c>
      <c r="BM95" s="13">
        <v>0</v>
      </c>
      <c r="BN95" s="13" t="s">
        <v>616</v>
      </c>
      <c r="BO95" s="13" t="s">
        <v>616</v>
      </c>
      <c r="BP95" s="200">
        <v>10</v>
      </c>
      <c r="BQ95" s="201"/>
      <c r="BR95" s="202"/>
      <c r="BS95" s="187">
        <v>1000000000</v>
      </c>
      <c r="BT95" s="203">
        <v>0</v>
      </c>
      <c r="BU95" s="204">
        <v>0</v>
      </c>
      <c r="BV95" s="203">
        <v>0</v>
      </c>
      <c r="BW95" s="205">
        <v>0</v>
      </c>
      <c r="BX95" s="205">
        <v>0</v>
      </c>
      <c r="BY95" s="205">
        <v>0</v>
      </c>
      <c r="BZ95" s="203">
        <v>0</v>
      </c>
      <c r="CA95" s="203">
        <v>0</v>
      </c>
      <c r="CB95" s="203">
        <v>0</v>
      </c>
      <c r="CC95" s="204">
        <v>0</v>
      </c>
      <c r="CD95" s="203">
        <v>0</v>
      </c>
      <c r="CE95" s="203">
        <v>0</v>
      </c>
      <c r="CF95" s="13">
        <v>0</v>
      </c>
      <c r="CG95" s="206">
        <v>0</v>
      </c>
      <c r="CH95" s="207">
        <v>0</v>
      </c>
      <c r="CI95" s="201"/>
      <c r="CJ95" s="208"/>
      <c r="CK95" s="209" t="s">
        <v>615</v>
      </c>
      <c r="CL95" s="210" t="s">
        <v>615</v>
      </c>
      <c r="CM95" s="207">
        <v>0</v>
      </c>
      <c r="CN95" s="207">
        <v>0</v>
      </c>
      <c r="CO95" s="204">
        <v>0</v>
      </c>
      <c r="CP95" s="204">
        <v>0</v>
      </c>
      <c r="CQ95" s="211"/>
      <c r="CR95" s="204">
        <v>1</v>
      </c>
      <c r="CS95" s="212">
        <v>42531</v>
      </c>
      <c r="CT95" s="212">
        <v>42780</v>
      </c>
      <c r="CU95" s="213">
        <v>42780</v>
      </c>
      <c r="CV95" s="214">
        <v>42829</v>
      </c>
      <c r="CW95" s="214" t="s">
        <v>615</v>
      </c>
      <c r="CX95" s="214" t="s">
        <v>615</v>
      </c>
      <c r="CY95" s="204">
        <v>1</v>
      </c>
      <c r="CZ95" s="204">
        <v>0.97959183673469385</v>
      </c>
      <c r="DA95" s="203">
        <v>0</v>
      </c>
      <c r="DB95" s="204">
        <v>0.97959183673469385</v>
      </c>
      <c r="DC95" s="204">
        <v>0</v>
      </c>
      <c r="DD95" s="204">
        <v>0</v>
      </c>
      <c r="DE95" s="204">
        <v>0</v>
      </c>
      <c r="DF95" s="215">
        <v>0</v>
      </c>
      <c r="DG95" s="13" t="s">
        <v>615</v>
      </c>
      <c r="DH95" s="86">
        <v>93</v>
      </c>
      <c r="DI95" s="86"/>
      <c r="DJ95" s="86">
        <v>58</v>
      </c>
      <c r="DK95" s="86" t="s">
        <v>1548</v>
      </c>
      <c r="DL95" s="86" t="e">
        <v>#N/A</v>
      </c>
      <c r="DM95" s="86" t="e">
        <v>#N/A</v>
      </c>
      <c r="DN95" s="86" t="e">
        <v>#N/A</v>
      </c>
      <c r="DO95" s="86">
        <v>60</v>
      </c>
      <c r="DP95" s="86">
        <v>2</v>
      </c>
      <c r="DQ95" s="86">
        <v>49</v>
      </c>
      <c r="DR95" s="146">
        <v>0</v>
      </c>
      <c r="DS95" s="146">
        <v>0</v>
      </c>
      <c r="DT95" s="146">
        <v>0</v>
      </c>
      <c r="DU95" s="146">
        <v>0</v>
      </c>
      <c r="DV95" s="146">
        <v>0</v>
      </c>
      <c r="DW95" s="146">
        <v>0</v>
      </c>
      <c r="DX95" s="146">
        <v>0</v>
      </c>
      <c r="DY95" s="146">
        <v>0</v>
      </c>
      <c r="DZ95" s="146">
        <v>0</v>
      </c>
      <c r="EA95" s="146">
        <v>0</v>
      </c>
      <c r="EB95" s="146">
        <v>0</v>
      </c>
      <c r="EC95" s="146">
        <v>0</v>
      </c>
      <c r="ED95" s="146">
        <v>0</v>
      </c>
      <c r="EE95" s="146">
        <v>0</v>
      </c>
      <c r="EF95" s="146">
        <v>0</v>
      </c>
      <c r="EG95" s="146">
        <v>0</v>
      </c>
      <c r="EH95" s="146">
        <v>0</v>
      </c>
      <c r="EI95" s="146">
        <v>0</v>
      </c>
      <c r="EJ95" s="146">
        <v>0</v>
      </c>
      <c r="EK95" s="146">
        <v>0</v>
      </c>
      <c r="EL95" s="146">
        <v>0</v>
      </c>
      <c r="EM95" s="146">
        <v>0</v>
      </c>
      <c r="EN95" s="146">
        <v>0</v>
      </c>
      <c r="EO95" s="146">
        <v>0</v>
      </c>
      <c r="EP95" s="146">
        <v>0</v>
      </c>
      <c r="EQ95" s="146">
        <v>0</v>
      </c>
      <c r="ER95" s="146">
        <v>0</v>
      </c>
      <c r="ES95" s="146">
        <v>0</v>
      </c>
      <c r="ET95" s="146">
        <v>0</v>
      </c>
      <c r="EU95" s="146">
        <v>0</v>
      </c>
      <c r="EV95" s="146">
        <v>0</v>
      </c>
      <c r="EW95" s="146">
        <v>0</v>
      </c>
      <c r="EX95" s="146">
        <v>0</v>
      </c>
      <c r="EY95" s="146">
        <v>0</v>
      </c>
      <c r="EZ95" s="146">
        <v>0</v>
      </c>
      <c r="FA95" s="146">
        <v>0</v>
      </c>
      <c r="FB95" s="146">
        <v>0</v>
      </c>
      <c r="FC95" s="146">
        <v>0</v>
      </c>
      <c r="FD95" s="146">
        <v>0</v>
      </c>
      <c r="FE95" s="146">
        <v>0</v>
      </c>
      <c r="FF95" s="146">
        <v>0</v>
      </c>
      <c r="FG95" s="146">
        <v>0</v>
      </c>
      <c r="FH95" s="146">
        <v>0</v>
      </c>
      <c r="FI95" s="146">
        <v>0</v>
      </c>
      <c r="FJ95" s="146">
        <v>0</v>
      </c>
      <c r="FK95" s="146">
        <v>0</v>
      </c>
      <c r="FL95" s="146">
        <v>0</v>
      </c>
      <c r="FM95" s="146">
        <v>0</v>
      </c>
      <c r="FN95" s="146">
        <v>0</v>
      </c>
      <c r="FO95" s="146">
        <v>0</v>
      </c>
      <c r="FP95" s="146">
        <v>0</v>
      </c>
      <c r="FQ95" s="146">
        <v>0</v>
      </c>
      <c r="FR95" s="146">
        <v>0</v>
      </c>
      <c r="FS95" s="160">
        <v>0</v>
      </c>
      <c r="FT95" s="160">
        <v>0</v>
      </c>
      <c r="FU95" s="160">
        <v>0</v>
      </c>
      <c r="FV95" s="160">
        <v>0</v>
      </c>
      <c r="FW95" s="160">
        <v>0</v>
      </c>
      <c r="FX95" s="160">
        <v>0</v>
      </c>
      <c r="FY95" s="160">
        <v>0</v>
      </c>
      <c r="FZ95" s="160">
        <v>0</v>
      </c>
      <c r="GA95" s="160">
        <v>0</v>
      </c>
      <c r="GB95" s="160">
        <v>0</v>
      </c>
      <c r="GC95" s="160">
        <v>0</v>
      </c>
      <c r="GD95" s="160">
        <v>0</v>
      </c>
      <c r="GE95" s="160">
        <v>0</v>
      </c>
      <c r="GF95" s="160">
        <v>0</v>
      </c>
      <c r="GG95" s="160">
        <v>0</v>
      </c>
      <c r="GH95" s="160">
        <v>0</v>
      </c>
      <c r="GI95" s="160">
        <v>0</v>
      </c>
      <c r="GJ95" s="160">
        <v>0</v>
      </c>
      <c r="GK95" s="160">
        <v>0</v>
      </c>
      <c r="GL95" s="160">
        <v>0</v>
      </c>
      <c r="GM95" s="160">
        <v>0</v>
      </c>
      <c r="GN95" s="160">
        <v>0</v>
      </c>
      <c r="GO95" s="160">
        <v>0</v>
      </c>
      <c r="GP95" s="160">
        <v>0</v>
      </c>
      <c r="GQ95" s="160">
        <v>0</v>
      </c>
      <c r="GR95" s="160">
        <v>0</v>
      </c>
      <c r="GS95" s="160">
        <v>0</v>
      </c>
      <c r="GT95" s="160">
        <v>0</v>
      </c>
      <c r="GU95" s="160">
        <v>0</v>
      </c>
      <c r="GV95" s="160">
        <v>0</v>
      </c>
      <c r="GW95" s="160">
        <v>0</v>
      </c>
      <c r="GX95" s="160">
        <v>0</v>
      </c>
      <c r="GY95" s="160">
        <v>0</v>
      </c>
      <c r="GZ95" s="160">
        <v>0</v>
      </c>
      <c r="HA95" s="160">
        <v>0</v>
      </c>
      <c r="HB95" s="160">
        <v>0</v>
      </c>
      <c r="HC95" s="160">
        <v>0</v>
      </c>
      <c r="HD95" s="160">
        <v>0</v>
      </c>
      <c r="HE95" s="160">
        <v>0</v>
      </c>
      <c r="HF95" s="160">
        <v>0</v>
      </c>
      <c r="HG95" s="160">
        <v>0</v>
      </c>
      <c r="HH95" s="146">
        <v>0</v>
      </c>
      <c r="HI95" s="146">
        <v>0</v>
      </c>
      <c r="HJ95" s="146">
        <v>0</v>
      </c>
      <c r="HK95" s="146">
        <v>0</v>
      </c>
      <c r="HL95" s="146">
        <v>0</v>
      </c>
      <c r="HM95" s="146">
        <v>0</v>
      </c>
      <c r="HN95" s="146">
        <v>0</v>
      </c>
      <c r="HO95" s="146">
        <v>0</v>
      </c>
      <c r="HP95" s="146">
        <v>0</v>
      </c>
      <c r="HQ95" s="146">
        <v>0</v>
      </c>
      <c r="HR95" s="146">
        <v>0</v>
      </c>
      <c r="HS95" s="146">
        <v>0</v>
      </c>
      <c r="HT95" s="146">
        <v>0</v>
      </c>
      <c r="HU95" s="151"/>
      <c r="HV95" s="146">
        <v>0</v>
      </c>
      <c r="HW95" s="151"/>
      <c r="HX95" s="151"/>
      <c r="HY95" s="151"/>
      <c r="HZ95" s="151"/>
      <c r="IA95" s="151"/>
      <c r="IB95" s="151"/>
      <c r="IC95" s="151"/>
      <c r="ID95" s="151"/>
      <c r="IE95" s="151"/>
      <c r="IF95" s="151"/>
      <c r="IG95" s="151"/>
      <c r="IH95" s="151"/>
      <c r="II95" s="151"/>
      <c r="IJ95" s="151"/>
      <c r="IK95" s="151"/>
      <c r="IL95" s="151"/>
      <c r="IM95" s="151"/>
      <c r="IN95" s="151"/>
      <c r="IO95" s="151"/>
      <c r="IP95" s="151"/>
      <c r="IQ95" s="151"/>
      <c r="IR95" s="151"/>
      <c r="IS95" s="151"/>
      <c r="IT95" s="151"/>
      <c r="IU95" s="151"/>
      <c r="IV95" s="151"/>
      <c r="IW95" s="151"/>
      <c r="IX95" s="151"/>
      <c r="IY95" s="151"/>
      <c r="IZ95" s="151"/>
      <c r="JA95" s="151"/>
      <c r="JB95" s="151"/>
      <c r="JC95" s="151"/>
      <c r="JD95" s="151"/>
      <c r="JE95" s="151"/>
      <c r="JF95" s="151"/>
      <c r="JG95" s="151"/>
      <c r="JH95" s="151"/>
      <c r="JI95" s="151"/>
      <c r="JJ95" s="151"/>
      <c r="JK95" s="151"/>
      <c r="JL95" s="151"/>
      <c r="JM95" s="151"/>
      <c r="JN95" s="151"/>
      <c r="JO95" s="151"/>
      <c r="JP95" s="151"/>
      <c r="JQ95" s="151"/>
      <c r="JR95" s="151"/>
      <c r="JS95" s="151"/>
      <c r="JT95" s="151"/>
      <c r="JU95" s="151"/>
      <c r="JV95" s="151"/>
      <c r="JW95" s="151"/>
      <c r="JX95" s="151"/>
      <c r="JY95" s="151"/>
      <c r="JZ95" s="151"/>
      <c r="KA95" s="151"/>
      <c r="KB95" s="151"/>
      <c r="KC95" s="151"/>
      <c r="KD95" s="151"/>
      <c r="KE95" s="151"/>
      <c r="KF95" s="151"/>
      <c r="KG95" s="151"/>
      <c r="KH95" s="151"/>
      <c r="KI95" s="151"/>
      <c r="KJ95" s="151"/>
      <c r="KK95" s="151"/>
      <c r="KL95" s="151"/>
      <c r="KM95" s="151"/>
      <c r="KN95" s="151"/>
      <c r="KO95" s="151"/>
      <c r="KP95" s="151"/>
      <c r="KQ95" s="151"/>
      <c r="KR95" s="151"/>
      <c r="KS95" s="151"/>
      <c r="KT95" s="151"/>
      <c r="KU95" s="151"/>
      <c r="KV95" s="151"/>
      <c r="KW95" s="151"/>
      <c r="KX95" s="151"/>
      <c r="KY95" s="151"/>
      <c r="KZ95" s="151"/>
      <c r="LA95" s="151"/>
      <c r="LB95" s="151"/>
      <c r="LC95" s="151"/>
      <c r="LD95" s="151"/>
      <c r="LE95" s="151"/>
    </row>
    <row r="96" spans="1:317" x14ac:dyDescent="0.2">
      <c r="A96" s="179" t="s">
        <v>849</v>
      </c>
      <c r="B96" s="180" t="s">
        <v>995</v>
      </c>
      <c r="C96" s="181"/>
      <c r="D96" s="182">
        <v>0</v>
      </c>
      <c r="E96" s="182">
        <v>0</v>
      </c>
      <c r="F96" s="183" t="s">
        <v>1243</v>
      </c>
      <c r="G96" s="183">
        <v>0</v>
      </c>
      <c r="H96" s="183">
        <v>0</v>
      </c>
      <c r="I96" s="183">
        <v>0</v>
      </c>
      <c r="J96" s="183">
        <v>0</v>
      </c>
      <c r="K96" s="183" t="s">
        <v>1381</v>
      </c>
      <c r="L96" s="183">
        <v>0</v>
      </c>
      <c r="M96" s="183">
        <v>0</v>
      </c>
      <c r="N96" s="183" t="s">
        <v>872</v>
      </c>
      <c r="O96" s="183">
        <v>0</v>
      </c>
      <c r="P96" s="183">
        <v>0</v>
      </c>
      <c r="Q96" s="183"/>
      <c r="R96" s="183"/>
      <c r="S96" s="183"/>
      <c r="T96" s="183"/>
      <c r="U96" s="183"/>
      <c r="V96" s="183">
        <v>0</v>
      </c>
      <c r="W96" s="183">
        <v>0</v>
      </c>
      <c r="X96" s="183">
        <v>0</v>
      </c>
      <c r="Y96" s="184">
        <v>0</v>
      </c>
      <c r="Z96" s="184">
        <v>18.440000000000001</v>
      </c>
      <c r="AA96" s="184">
        <v>0</v>
      </c>
      <c r="AB96" s="185" t="s">
        <v>615</v>
      </c>
      <c r="AC96" s="185" t="s">
        <v>615</v>
      </c>
      <c r="AD96" s="186" t="s">
        <v>872</v>
      </c>
      <c r="AE96" s="186" t="s">
        <v>852</v>
      </c>
      <c r="AF96" s="187">
        <v>7</v>
      </c>
      <c r="AG96" s="187">
        <v>3</v>
      </c>
      <c r="AH96" s="187">
        <v>4</v>
      </c>
      <c r="AI96" s="188">
        <v>1</v>
      </c>
      <c r="AJ96" s="188" t="s">
        <v>615</v>
      </c>
      <c r="AK96" s="187" t="s">
        <v>1736</v>
      </c>
      <c r="AL96" s="87" t="s">
        <v>615</v>
      </c>
      <c r="AM96" s="189"/>
      <c r="AN96" s="187" t="s">
        <v>615</v>
      </c>
      <c r="AO96" s="13" t="s">
        <v>615</v>
      </c>
      <c r="AP96" s="187">
        <v>0</v>
      </c>
      <c r="AQ96" s="187">
        <v>0</v>
      </c>
      <c r="AR96" s="190">
        <v>0</v>
      </c>
      <c r="AS96" s="190">
        <v>0</v>
      </c>
      <c r="AT96" s="190">
        <v>0</v>
      </c>
      <c r="AU96" s="187">
        <v>0</v>
      </c>
      <c r="AV96" s="187">
        <v>0</v>
      </c>
      <c r="AW96" s="191"/>
      <c r="AX96" s="192"/>
      <c r="AY96" s="193">
        <v>42666</v>
      </c>
      <c r="AZ96" s="193"/>
      <c r="BA96" s="193"/>
      <c r="BB96" s="194"/>
      <c r="BC96" s="194"/>
      <c r="BD96" s="195"/>
      <c r="BE96" s="195" t="s">
        <v>532</v>
      </c>
      <c r="BF96" s="195"/>
      <c r="BG96" s="195">
        <v>10</v>
      </c>
      <c r="BH96" s="196" t="s">
        <v>547</v>
      </c>
      <c r="BI96" s="197">
        <v>1</v>
      </c>
      <c r="BJ96" s="198"/>
      <c r="BK96" s="199">
        <v>0</v>
      </c>
      <c r="BL96" s="13">
        <v>0</v>
      </c>
      <c r="BM96" s="13">
        <v>0</v>
      </c>
      <c r="BN96" s="13" t="s">
        <v>616</v>
      </c>
      <c r="BO96" s="13" t="s">
        <v>616</v>
      </c>
      <c r="BP96" s="200">
        <v>10</v>
      </c>
      <c r="BQ96" s="201"/>
      <c r="BR96" s="202"/>
      <c r="BS96" s="187">
        <v>1000000000</v>
      </c>
      <c r="BT96" s="203">
        <v>0</v>
      </c>
      <c r="BU96" s="204">
        <v>0</v>
      </c>
      <c r="BV96" s="203">
        <v>0</v>
      </c>
      <c r="BW96" s="205">
        <v>0</v>
      </c>
      <c r="BX96" s="205">
        <v>0</v>
      </c>
      <c r="BY96" s="205">
        <v>0</v>
      </c>
      <c r="BZ96" s="203">
        <v>0</v>
      </c>
      <c r="CA96" s="203">
        <v>0</v>
      </c>
      <c r="CB96" s="203">
        <v>0</v>
      </c>
      <c r="CC96" s="204">
        <v>0</v>
      </c>
      <c r="CD96" s="203">
        <v>0</v>
      </c>
      <c r="CE96" s="203">
        <v>0</v>
      </c>
      <c r="CF96" s="13">
        <v>0</v>
      </c>
      <c r="CG96" s="206">
        <v>0</v>
      </c>
      <c r="CH96" s="207">
        <v>0</v>
      </c>
      <c r="CI96" s="201"/>
      <c r="CJ96" s="208"/>
      <c r="CK96" s="209" t="s">
        <v>615</v>
      </c>
      <c r="CL96" s="210" t="s">
        <v>615</v>
      </c>
      <c r="CM96" s="207">
        <v>0</v>
      </c>
      <c r="CN96" s="207">
        <v>0</v>
      </c>
      <c r="CO96" s="204">
        <v>0</v>
      </c>
      <c r="CP96" s="204">
        <v>0</v>
      </c>
      <c r="CQ96" s="211"/>
      <c r="CR96" s="204">
        <v>1</v>
      </c>
      <c r="CS96" s="212">
        <v>42531</v>
      </c>
      <c r="CT96" s="212">
        <v>42780</v>
      </c>
      <c r="CU96" s="213">
        <v>42780</v>
      </c>
      <c r="CV96" s="214">
        <v>42829</v>
      </c>
      <c r="CW96" s="214" t="s">
        <v>615</v>
      </c>
      <c r="CX96" s="214" t="s">
        <v>615</v>
      </c>
      <c r="CY96" s="204">
        <v>1</v>
      </c>
      <c r="CZ96" s="204">
        <v>0.97959183673469385</v>
      </c>
      <c r="DA96" s="203">
        <v>0</v>
      </c>
      <c r="DB96" s="204">
        <v>0.97959183673469385</v>
      </c>
      <c r="DC96" s="204">
        <v>0</v>
      </c>
      <c r="DD96" s="204">
        <v>0</v>
      </c>
      <c r="DE96" s="204">
        <v>0</v>
      </c>
      <c r="DF96" s="215">
        <v>0</v>
      </c>
      <c r="DG96" s="13" t="s">
        <v>615</v>
      </c>
      <c r="DH96" s="86">
        <v>94</v>
      </c>
      <c r="DI96" s="86"/>
      <c r="DJ96" s="86">
        <v>57</v>
      </c>
      <c r="DK96" s="86" t="s">
        <v>1547</v>
      </c>
      <c r="DL96" s="86" t="e">
        <v>#N/A</v>
      </c>
      <c r="DM96" s="86" t="e">
        <v>#N/A</v>
      </c>
      <c r="DN96" s="86" t="e">
        <v>#N/A</v>
      </c>
      <c r="DO96" s="86">
        <v>59</v>
      </c>
      <c r="DP96" s="86">
        <v>2</v>
      </c>
      <c r="DQ96" s="86">
        <v>49</v>
      </c>
      <c r="DR96" s="152">
        <v>0</v>
      </c>
      <c r="DS96" s="152">
        <v>0</v>
      </c>
      <c r="DT96" s="152">
        <v>0</v>
      </c>
      <c r="DU96" s="152">
        <v>0</v>
      </c>
      <c r="DV96" s="152">
        <v>0</v>
      </c>
      <c r="DW96" s="152">
        <v>0</v>
      </c>
      <c r="DX96" s="152">
        <v>0</v>
      </c>
      <c r="DY96" s="152">
        <v>0</v>
      </c>
      <c r="DZ96" s="152">
        <v>0</v>
      </c>
      <c r="EA96" s="152">
        <v>0</v>
      </c>
      <c r="EB96" s="152">
        <v>0</v>
      </c>
      <c r="EC96" s="152">
        <v>0</v>
      </c>
      <c r="ED96" s="152">
        <v>0</v>
      </c>
      <c r="EE96" s="152">
        <v>0</v>
      </c>
      <c r="EF96" s="152">
        <v>0</v>
      </c>
      <c r="EG96" s="152">
        <v>0</v>
      </c>
      <c r="EH96" s="152">
        <v>0</v>
      </c>
      <c r="EI96" s="152">
        <v>0</v>
      </c>
      <c r="EJ96" s="152">
        <v>0</v>
      </c>
      <c r="EK96" s="152">
        <v>0</v>
      </c>
      <c r="EL96" s="152">
        <v>0</v>
      </c>
      <c r="EM96" s="152">
        <v>0</v>
      </c>
      <c r="EN96" s="152">
        <v>0</v>
      </c>
      <c r="EO96" s="152">
        <v>0</v>
      </c>
      <c r="EP96" s="152">
        <v>0</v>
      </c>
      <c r="EQ96" s="152">
        <v>0</v>
      </c>
      <c r="ER96" s="152">
        <v>0</v>
      </c>
      <c r="ES96" s="152">
        <v>0</v>
      </c>
      <c r="ET96" s="152">
        <v>0</v>
      </c>
      <c r="EU96" s="152">
        <v>0</v>
      </c>
      <c r="EV96" s="152">
        <v>0</v>
      </c>
      <c r="EW96" s="152">
        <v>0</v>
      </c>
      <c r="EX96" s="152">
        <v>0</v>
      </c>
      <c r="EY96" s="152">
        <v>0</v>
      </c>
      <c r="EZ96" s="152">
        <v>0</v>
      </c>
      <c r="FA96" s="152">
        <v>0</v>
      </c>
      <c r="FB96" s="152">
        <v>0</v>
      </c>
      <c r="FC96" s="152">
        <v>0</v>
      </c>
      <c r="FD96" s="152">
        <v>0</v>
      </c>
      <c r="FE96" s="152">
        <v>0</v>
      </c>
      <c r="FF96" s="152">
        <v>0</v>
      </c>
      <c r="FG96" s="152">
        <v>0</v>
      </c>
      <c r="FH96" s="152">
        <v>0</v>
      </c>
      <c r="FI96" s="152">
        <v>0</v>
      </c>
      <c r="FJ96" s="152">
        <v>0</v>
      </c>
      <c r="FK96" s="152">
        <v>0</v>
      </c>
      <c r="FL96" s="152">
        <v>0</v>
      </c>
      <c r="FM96" s="152">
        <v>0</v>
      </c>
      <c r="FN96" s="152">
        <v>0</v>
      </c>
      <c r="FO96" s="152">
        <v>0</v>
      </c>
      <c r="FP96" s="152">
        <v>0</v>
      </c>
      <c r="FQ96" s="152">
        <v>0</v>
      </c>
      <c r="FR96" s="152">
        <v>0</v>
      </c>
      <c r="FS96" s="166">
        <v>0</v>
      </c>
      <c r="FT96" s="166">
        <v>0</v>
      </c>
      <c r="FU96" s="166">
        <v>0</v>
      </c>
      <c r="FV96" s="166">
        <v>0</v>
      </c>
      <c r="FW96" s="166">
        <v>0</v>
      </c>
      <c r="FX96" s="166">
        <v>0</v>
      </c>
      <c r="FY96" s="166">
        <v>0</v>
      </c>
      <c r="FZ96" s="166">
        <v>0</v>
      </c>
      <c r="GA96" s="166">
        <v>0</v>
      </c>
      <c r="GB96" s="166">
        <v>0</v>
      </c>
      <c r="GC96" s="166">
        <v>0</v>
      </c>
      <c r="GD96" s="166">
        <v>0</v>
      </c>
      <c r="GE96" s="166">
        <v>0</v>
      </c>
      <c r="GF96" s="166">
        <v>0</v>
      </c>
      <c r="GG96" s="166">
        <v>0</v>
      </c>
      <c r="GH96" s="166">
        <v>0</v>
      </c>
      <c r="GI96" s="166">
        <v>0</v>
      </c>
      <c r="GJ96" s="166">
        <v>0</v>
      </c>
      <c r="GK96" s="166">
        <v>0</v>
      </c>
      <c r="GL96" s="166">
        <v>0</v>
      </c>
      <c r="GM96" s="166">
        <v>0</v>
      </c>
      <c r="GN96" s="166">
        <v>0</v>
      </c>
      <c r="GO96" s="166">
        <v>0</v>
      </c>
      <c r="GP96" s="166">
        <v>0</v>
      </c>
      <c r="GQ96" s="166">
        <v>0</v>
      </c>
      <c r="GR96" s="166">
        <v>0</v>
      </c>
      <c r="GS96" s="166">
        <v>0</v>
      </c>
      <c r="GT96" s="166">
        <v>0</v>
      </c>
      <c r="GU96" s="166">
        <v>0</v>
      </c>
      <c r="GV96" s="166">
        <v>0</v>
      </c>
      <c r="GW96" s="166">
        <v>0</v>
      </c>
      <c r="GX96" s="166">
        <v>0</v>
      </c>
      <c r="GY96" s="166">
        <v>0</v>
      </c>
      <c r="GZ96" s="166">
        <v>0</v>
      </c>
      <c r="HA96" s="166">
        <v>0</v>
      </c>
      <c r="HB96" s="166">
        <v>0</v>
      </c>
      <c r="HC96" s="166">
        <v>0</v>
      </c>
      <c r="HD96" s="166">
        <v>0</v>
      </c>
      <c r="HE96" s="166">
        <v>0</v>
      </c>
      <c r="HF96" s="166">
        <v>0</v>
      </c>
      <c r="HG96" s="166">
        <v>0</v>
      </c>
      <c r="HH96" s="152">
        <v>0</v>
      </c>
      <c r="HI96" s="152">
        <v>0</v>
      </c>
      <c r="HJ96" s="152">
        <v>0</v>
      </c>
      <c r="HK96" s="152">
        <v>0</v>
      </c>
      <c r="HL96" s="152">
        <v>0</v>
      </c>
      <c r="HM96" s="152">
        <v>0</v>
      </c>
      <c r="HN96" s="152">
        <v>0</v>
      </c>
      <c r="HO96" s="152">
        <v>0</v>
      </c>
      <c r="HP96" s="152">
        <v>0</v>
      </c>
      <c r="HQ96" s="152">
        <v>0</v>
      </c>
      <c r="HR96" s="152">
        <v>0</v>
      </c>
      <c r="HS96" s="152">
        <v>0</v>
      </c>
      <c r="HT96" s="152">
        <v>0</v>
      </c>
      <c r="HU96" s="216"/>
      <c r="HV96" s="152">
        <v>0</v>
      </c>
      <c r="HW96" s="216"/>
      <c r="HX96" s="216"/>
      <c r="HY96" s="216"/>
      <c r="HZ96" s="216"/>
      <c r="IA96" s="216"/>
      <c r="IB96" s="216"/>
      <c r="IC96" s="216"/>
      <c r="ID96" s="216"/>
      <c r="IE96" s="216"/>
      <c r="IF96" s="216"/>
      <c r="IG96" s="216"/>
      <c r="IH96" s="216"/>
      <c r="II96" s="216"/>
      <c r="IJ96" s="216"/>
      <c r="IK96" s="216"/>
      <c r="IL96" s="216"/>
      <c r="IM96" s="216"/>
      <c r="IN96" s="216"/>
      <c r="IO96" s="216"/>
      <c r="IP96" s="216"/>
      <c r="IQ96" s="216"/>
      <c r="IR96" s="216"/>
      <c r="IS96" s="216"/>
      <c r="IT96" s="216"/>
      <c r="IU96" s="216"/>
      <c r="IV96" s="216"/>
      <c r="IW96" s="216"/>
      <c r="IX96" s="216"/>
      <c r="IY96" s="216"/>
      <c r="IZ96" s="216"/>
      <c r="JA96" s="216"/>
      <c r="JB96" s="216"/>
      <c r="JC96" s="216"/>
      <c r="JD96" s="216"/>
      <c r="JE96" s="216"/>
      <c r="JF96" s="216"/>
      <c r="JG96" s="216"/>
      <c r="JH96" s="216"/>
      <c r="JI96" s="216"/>
      <c r="JJ96" s="216"/>
      <c r="JK96" s="216"/>
      <c r="JL96" s="216"/>
      <c r="JM96" s="216"/>
      <c r="JN96" s="216"/>
      <c r="JO96" s="216"/>
      <c r="JP96" s="216"/>
      <c r="JQ96" s="216"/>
      <c r="JR96" s="216"/>
      <c r="JS96" s="216"/>
      <c r="JT96" s="216"/>
      <c r="JU96" s="216"/>
      <c r="JV96" s="216"/>
      <c r="JW96" s="216"/>
      <c r="JX96" s="216"/>
      <c r="JY96" s="216"/>
      <c r="JZ96" s="216"/>
      <c r="KA96" s="216"/>
      <c r="KB96" s="216"/>
      <c r="KC96" s="216"/>
      <c r="KD96" s="216"/>
      <c r="KE96" s="216"/>
      <c r="KF96" s="216"/>
      <c r="KG96" s="216"/>
      <c r="KH96" s="216"/>
      <c r="KI96" s="216"/>
      <c r="KJ96" s="216"/>
      <c r="KK96" s="216"/>
      <c r="KL96" s="216"/>
      <c r="KM96" s="216"/>
      <c r="KN96" s="216"/>
      <c r="KO96" s="216"/>
      <c r="KP96" s="216"/>
      <c r="KQ96" s="216"/>
      <c r="KR96" s="216"/>
      <c r="KS96" s="216"/>
      <c r="KT96" s="216"/>
      <c r="KU96" s="216"/>
      <c r="KV96" s="216"/>
      <c r="KW96" s="216"/>
      <c r="KX96" s="216"/>
      <c r="KY96" s="216"/>
      <c r="KZ96" s="216"/>
      <c r="LA96" s="216"/>
      <c r="LB96" s="216"/>
      <c r="LC96" s="216"/>
      <c r="LD96" s="216"/>
      <c r="LE96" s="216"/>
    </row>
    <row r="97" spans="1:317" x14ac:dyDescent="0.2">
      <c r="A97" s="179" t="s">
        <v>849</v>
      </c>
      <c r="B97" s="180" t="s">
        <v>996</v>
      </c>
      <c r="C97" s="181"/>
      <c r="D97" s="182">
        <v>0</v>
      </c>
      <c r="E97" s="182">
        <v>0</v>
      </c>
      <c r="F97" s="183" t="s">
        <v>1276</v>
      </c>
      <c r="G97" s="183">
        <v>0</v>
      </c>
      <c r="H97" s="183">
        <v>0</v>
      </c>
      <c r="I97" s="183">
        <v>0</v>
      </c>
      <c r="J97" s="183">
        <v>0</v>
      </c>
      <c r="K97" s="183" t="s">
        <v>1368</v>
      </c>
      <c r="L97" s="183">
        <v>0</v>
      </c>
      <c r="M97" s="183">
        <v>0</v>
      </c>
      <c r="N97" s="183" t="s">
        <v>881</v>
      </c>
      <c r="O97" s="183">
        <v>0</v>
      </c>
      <c r="P97" s="183">
        <v>0</v>
      </c>
      <c r="Q97" s="183"/>
      <c r="R97" s="183"/>
      <c r="S97" s="183"/>
      <c r="T97" s="183"/>
      <c r="U97" s="183"/>
      <c r="V97" s="183">
        <v>0</v>
      </c>
      <c r="W97" s="183">
        <v>0</v>
      </c>
      <c r="X97" s="183">
        <v>0</v>
      </c>
      <c r="Y97" s="184">
        <v>0.51</v>
      </c>
      <c r="Z97" s="184">
        <v>3.54</v>
      </c>
      <c r="AA97" s="184">
        <v>0</v>
      </c>
      <c r="AB97" s="185" t="s">
        <v>615</v>
      </c>
      <c r="AC97" s="185" t="s">
        <v>615</v>
      </c>
      <c r="AD97" s="186" t="s">
        <v>881</v>
      </c>
      <c r="AE97" s="186" t="s">
        <v>858</v>
      </c>
      <c r="AF97" s="187">
        <v>7</v>
      </c>
      <c r="AG97" s="187">
        <v>3</v>
      </c>
      <c r="AH97" s="187">
        <v>4</v>
      </c>
      <c r="AI97" s="188">
        <v>1</v>
      </c>
      <c r="AJ97" s="188" t="s">
        <v>615</v>
      </c>
      <c r="AK97" s="187" t="s">
        <v>1737</v>
      </c>
      <c r="AL97" s="87" t="s">
        <v>615</v>
      </c>
      <c r="AM97" s="189"/>
      <c r="AN97" s="187" t="s">
        <v>615</v>
      </c>
      <c r="AO97" s="13" t="s">
        <v>615</v>
      </c>
      <c r="AP97" s="187">
        <v>0</v>
      </c>
      <c r="AQ97" s="187">
        <v>0</v>
      </c>
      <c r="AR97" s="190">
        <v>0</v>
      </c>
      <c r="AS97" s="190">
        <v>0</v>
      </c>
      <c r="AT97" s="190">
        <v>0</v>
      </c>
      <c r="AU97" s="187">
        <v>0</v>
      </c>
      <c r="AV97" s="187">
        <v>0</v>
      </c>
      <c r="AW97" s="191"/>
      <c r="AX97" s="192"/>
      <c r="AY97" s="193">
        <v>42666</v>
      </c>
      <c r="AZ97" s="193"/>
      <c r="BA97" s="193"/>
      <c r="BB97" s="194"/>
      <c r="BC97" s="194"/>
      <c r="BD97" s="195"/>
      <c r="BE97" s="195" t="s">
        <v>532</v>
      </c>
      <c r="BF97" s="195"/>
      <c r="BG97" s="195">
        <v>100</v>
      </c>
      <c r="BH97" s="196" t="s">
        <v>547</v>
      </c>
      <c r="BI97" s="197">
        <v>1</v>
      </c>
      <c r="BJ97" s="198"/>
      <c r="BK97" s="199">
        <v>0</v>
      </c>
      <c r="BL97" s="13">
        <v>0</v>
      </c>
      <c r="BM97" s="13">
        <v>0</v>
      </c>
      <c r="BN97" s="13" t="s">
        <v>616</v>
      </c>
      <c r="BO97" s="13" t="s">
        <v>616</v>
      </c>
      <c r="BP97" s="200">
        <v>42</v>
      </c>
      <c r="BQ97" s="201"/>
      <c r="BR97" s="202"/>
      <c r="BS97" s="187">
        <v>1000000000</v>
      </c>
      <c r="BT97" s="203">
        <v>0</v>
      </c>
      <c r="BU97" s="204">
        <v>0</v>
      </c>
      <c r="BV97" s="203">
        <v>0</v>
      </c>
      <c r="BW97" s="205">
        <v>0</v>
      </c>
      <c r="BX97" s="205">
        <v>0</v>
      </c>
      <c r="BY97" s="205">
        <v>0</v>
      </c>
      <c r="BZ97" s="203">
        <v>0</v>
      </c>
      <c r="CA97" s="203">
        <v>0</v>
      </c>
      <c r="CB97" s="203">
        <v>0</v>
      </c>
      <c r="CC97" s="204">
        <v>0</v>
      </c>
      <c r="CD97" s="203">
        <v>0</v>
      </c>
      <c r="CE97" s="203">
        <v>0</v>
      </c>
      <c r="CF97" s="13">
        <v>0</v>
      </c>
      <c r="CG97" s="206">
        <v>0</v>
      </c>
      <c r="CH97" s="207">
        <v>0</v>
      </c>
      <c r="CI97" s="201"/>
      <c r="CJ97" s="208"/>
      <c r="CK97" s="209" t="s">
        <v>615</v>
      </c>
      <c r="CL97" s="210" t="s">
        <v>615</v>
      </c>
      <c r="CM97" s="207">
        <v>0</v>
      </c>
      <c r="CN97" s="207">
        <v>0</v>
      </c>
      <c r="CO97" s="204">
        <v>0</v>
      </c>
      <c r="CP97" s="204">
        <v>0</v>
      </c>
      <c r="CQ97" s="211"/>
      <c r="CR97" s="204">
        <v>1</v>
      </c>
      <c r="CS97" s="212">
        <v>42709</v>
      </c>
      <c r="CT97" s="212">
        <v>42780</v>
      </c>
      <c r="CU97" s="213">
        <v>42780</v>
      </c>
      <c r="CV97" s="214">
        <v>42829</v>
      </c>
      <c r="CW97" s="214" t="s">
        <v>615</v>
      </c>
      <c r="CX97" s="214" t="s">
        <v>615</v>
      </c>
      <c r="CY97" s="204">
        <v>0.21072097724187</v>
      </c>
      <c r="CZ97" s="204">
        <v>0.97959183673469397</v>
      </c>
      <c r="DA97" s="203">
        <v>0</v>
      </c>
      <c r="DB97" s="204">
        <v>4.0816326530612242E-2</v>
      </c>
      <c r="DC97" s="204">
        <v>0</v>
      </c>
      <c r="DD97" s="204">
        <v>0</v>
      </c>
      <c r="DE97" s="204">
        <v>0</v>
      </c>
      <c r="DF97" s="215">
        <v>0.93877551020408168</v>
      </c>
      <c r="DG97" s="13" t="s">
        <v>615</v>
      </c>
      <c r="DH97" s="86">
        <v>95</v>
      </c>
      <c r="DI97" s="86"/>
      <c r="DJ97" s="86">
        <v>53</v>
      </c>
      <c r="DK97" s="86" t="s">
        <v>1543</v>
      </c>
      <c r="DL97" s="86" t="e">
        <v>#N/A</v>
      </c>
      <c r="DM97" s="86" t="e">
        <v>#N/A</v>
      </c>
      <c r="DN97" s="86" t="e">
        <v>#N/A</v>
      </c>
      <c r="DO97" s="86">
        <v>54</v>
      </c>
      <c r="DP97" s="86">
        <v>5</v>
      </c>
      <c r="DQ97" s="86">
        <v>49</v>
      </c>
      <c r="DR97" s="160">
        <v>0</v>
      </c>
      <c r="DS97" s="160">
        <v>0</v>
      </c>
      <c r="DT97" s="160">
        <v>0</v>
      </c>
      <c r="DU97" s="160">
        <v>0</v>
      </c>
      <c r="DV97" s="160">
        <v>0</v>
      </c>
      <c r="DW97" s="160">
        <v>0</v>
      </c>
      <c r="DX97" s="160">
        <v>0</v>
      </c>
      <c r="DY97" s="160">
        <v>0</v>
      </c>
      <c r="DZ97" s="160">
        <v>0</v>
      </c>
      <c r="EA97" s="146">
        <v>0</v>
      </c>
      <c r="EB97" s="146">
        <v>0</v>
      </c>
      <c r="EC97" s="146">
        <v>0</v>
      </c>
      <c r="ED97" s="146">
        <v>0</v>
      </c>
      <c r="EE97" s="146">
        <v>0</v>
      </c>
      <c r="EF97" s="146">
        <v>0</v>
      </c>
      <c r="EG97" s="146">
        <v>0</v>
      </c>
      <c r="EH97" s="146">
        <v>0</v>
      </c>
      <c r="EI97" s="146">
        <v>0</v>
      </c>
      <c r="EJ97" s="146">
        <v>0</v>
      </c>
      <c r="EK97" s="146">
        <v>0</v>
      </c>
      <c r="EL97" s="146">
        <v>0</v>
      </c>
      <c r="EM97" s="146">
        <v>0</v>
      </c>
      <c r="EN97" s="146">
        <v>0</v>
      </c>
      <c r="EO97" s="146">
        <v>0</v>
      </c>
      <c r="EP97" s="146">
        <v>0</v>
      </c>
      <c r="EQ97" s="146">
        <v>0</v>
      </c>
      <c r="ER97" s="146">
        <v>0</v>
      </c>
      <c r="ES97" s="146">
        <v>0</v>
      </c>
      <c r="ET97" s="146">
        <v>0</v>
      </c>
      <c r="EU97" s="146">
        <v>0</v>
      </c>
      <c r="EV97" s="146">
        <v>0</v>
      </c>
      <c r="EW97" s="146">
        <v>0</v>
      </c>
      <c r="EX97" s="146">
        <v>0</v>
      </c>
      <c r="EY97" s="146">
        <v>0</v>
      </c>
      <c r="EZ97" s="146">
        <v>0</v>
      </c>
      <c r="FA97" s="146">
        <v>0</v>
      </c>
      <c r="FB97" s="146">
        <v>0</v>
      </c>
      <c r="FC97" s="146">
        <v>0</v>
      </c>
      <c r="FD97" s="146">
        <v>0</v>
      </c>
      <c r="FE97" s="146">
        <v>0</v>
      </c>
      <c r="FF97" s="146">
        <v>0</v>
      </c>
      <c r="FG97" s="146">
        <v>0</v>
      </c>
      <c r="FH97" s="146">
        <v>0</v>
      </c>
      <c r="FI97" s="146">
        <v>0</v>
      </c>
      <c r="FJ97" s="146">
        <v>0</v>
      </c>
      <c r="FK97" s="146">
        <v>0</v>
      </c>
      <c r="FL97" s="146">
        <v>0</v>
      </c>
      <c r="FM97" s="146">
        <v>0</v>
      </c>
      <c r="FN97" s="146">
        <v>0</v>
      </c>
      <c r="FO97" s="146">
        <v>0</v>
      </c>
      <c r="FP97" s="146">
        <v>0</v>
      </c>
      <c r="FQ97" s="146">
        <v>0</v>
      </c>
      <c r="FR97" s="146">
        <v>0</v>
      </c>
      <c r="FS97" s="146">
        <v>0</v>
      </c>
      <c r="FT97" s="146">
        <v>0</v>
      </c>
      <c r="FU97" s="146">
        <v>76</v>
      </c>
      <c r="FV97" s="146">
        <v>76</v>
      </c>
      <c r="FW97" s="146">
        <v>76</v>
      </c>
      <c r="FX97" s="146">
        <v>76</v>
      </c>
      <c r="FY97" s="146">
        <v>76</v>
      </c>
      <c r="FZ97" s="146">
        <v>76</v>
      </c>
      <c r="GA97" s="146">
        <v>76</v>
      </c>
      <c r="GB97" s="146">
        <v>76</v>
      </c>
      <c r="GC97" s="146">
        <v>76</v>
      </c>
      <c r="GD97" s="146">
        <v>76</v>
      </c>
      <c r="GE97" s="146">
        <v>76</v>
      </c>
      <c r="GF97" s="146">
        <v>76</v>
      </c>
      <c r="GG97" s="146">
        <v>76</v>
      </c>
      <c r="GH97" s="146">
        <v>76</v>
      </c>
      <c r="GI97" s="146">
        <v>76</v>
      </c>
      <c r="GJ97" s="146">
        <v>76</v>
      </c>
      <c r="GK97" s="146">
        <v>76</v>
      </c>
      <c r="GL97" s="146">
        <v>76</v>
      </c>
      <c r="GM97" s="146">
        <v>76</v>
      </c>
      <c r="GN97" s="146">
        <v>76</v>
      </c>
      <c r="GO97" s="146">
        <v>76</v>
      </c>
      <c r="GP97" s="146">
        <v>76</v>
      </c>
      <c r="GQ97" s="146">
        <v>76</v>
      </c>
      <c r="GR97" s="146">
        <v>76</v>
      </c>
      <c r="GS97" s="146">
        <v>76</v>
      </c>
      <c r="GT97" s="146">
        <v>76</v>
      </c>
      <c r="GU97" s="146">
        <v>76</v>
      </c>
      <c r="GV97" s="146">
        <v>76</v>
      </c>
      <c r="GW97" s="146">
        <v>76</v>
      </c>
      <c r="GX97" s="146">
        <v>76</v>
      </c>
      <c r="GY97" s="146">
        <v>76</v>
      </c>
      <c r="GZ97" s="146">
        <v>76</v>
      </c>
      <c r="HA97" s="146">
        <v>76</v>
      </c>
      <c r="HB97" s="146">
        <v>76</v>
      </c>
      <c r="HC97" s="146">
        <v>76</v>
      </c>
      <c r="HD97" s="146">
        <v>76</v>
      </c>
      <c r="HE97" s="146">
        <v>76</v>
      </c>
      <c r="HF97" s="146">
        <v>76</v>
      </c>
      <c r="HG97" s="146">
        <v>76</v>
      </c>
      <c r="HH97" s="146">
        <v>76</v>
      </c>
      <c r="HI97" s="146">
        <v>76</v>
      </c>
      <c r="HJ97" s="146">
        <v>76</v>
      </c>
      <c r="HK97" s="146">
        <v>76</v>
      </c>
      <c r="HL97" s="146">
        <v>76</v>
      </c>
      <c r="HM97" s="146">
        <v>76</v>
      </c>
      <c r="HN97" s="146">
        <v>76</v>
      </c>
      <c r="HO97" s="146">
        <v>76</v>
      </c>
      <c r="HP97" s="146">
        <v>76</v>
      </c>
      <c r="HQ97" s="146">
        <v>76</v>
      </c>
      <c r="HR97" s="146">
        <v>76</v>
      </c>
      <c r="HS97" s="146">
        <v>76</v>
      </c>
      <c r="HT97" s="146">
        <v>0</v>
      </c>
      <c r="HU97" s="151"/>
      <c r="HV97" s="146">
        <v>0</v>
      </c>
      <c r="HW97" s="151"/>
      <c r="HX97" s="151"/>
      <c r="HY97" s="151"/>
      <c r="HZ97" s="151"/>
      <c r="IA97" s="151"/>
      <c r="IB97" s="151"/>
      <c r="IC97" s="151"/>
      <c r="ID97" s="151"/>
      <c r="IE97" s="151"/>
      <c r="IF97" s="151"/>
      <c r="IG97" s="151"/>
      <c r="IH97" s="151"/>
      <c r="II97" s="151"/>
      <c r="IJ97" s="151"/>
      <c r="IK97" s="151"/>
      <c r="IL97" s="151"/>
      <c r="IM97" s="151"/>
      <c r="IN97" s="151"/>
      <c r="IO97" s="151"/>
      <c r="IP97" s="151"/>
      <c r="IQ97" s="151"/>
      <c r="IR97" s="151"/>
      <c r="IS97" s="151"/>
      <c r="IT97" s="151"/>
      <c r="IU97" s="151"/>
      <c r="IV97" s="151"/>
      <c r="IW97" s="151"/>
      <c r="IX97" s="151"/>
      <c r="IY97" s="151"/>
      <c r="IZ97" s="151"/>
      <c r="JA97" s="151"/>
      <c r="JB97" s="151"/>
      <c r="JC97" s="151"/>
      <c r="JD97" s="151"/>
      <c r="JE97" s="151"/>
      <c r="JF97" s="151"/>
      <c r="JG97" s="151"/>
      <c r="JH97" s="151"/>
      <c r="JI97" s="151"/>
      <c r="JJ97" s="151"/>
      <c r="JK97" s="151"/>
      <c r="JL97" s="151"/>
      <c r="JM97" s="151"/>
      <c r="JN97" s="151"/>
      <c r="JO97" s="151"/>
      <c r="JP97" s="151"/>
      <c r="JQ97" s="151"/>
      <c r="JR97" s="151"/>
      <c r="JS97" s="151"/>
      <c r="JT97" s="151"/>
      <c r="JU97" s="151"/>
      <c r="JV97" s="151"/>
      <c r="JW97" s="151"/>
      <c r="JX97" s="151"/>
      <c r="JY97" s="151"/>
      <c r="JZ97" s="151"/>
      <c r="KA97" s="151"/>
      <c r="KB97" s="151"/>
      <c r="KC97" s="151"/>
      <c r="KD97" s="151"/>
      <c r="KE97" s="151"/>
      <c r="KF97" s="151"/>
      <c r="KG97" s="151"/>
      <c r="KH97" s="151"/>
      <c r="KI97" s="151"/>
      <c r="KJ97" s="151"/>
      <c r="KK97" s="151"/>
      <c r="KL97" s="151"/>
      <c r="KM97" s="151"/>
      <c r="KN97" s="151"/>
      <c r="KO97" s="151"/>
      <c r="KP97" s="151"/>
      <c r="KQ97" s="151"/>
      <c r="KR97" s="151"/>
      <c r="KS97" s="151"/>
      <c r="KT97" s="151"/>
      <c r="KU97" s="151"/>
      <c r="KV97" s="151"/>
      <c r="KW97" s="151"/>
      <c r="KX97" s="151"/>
      <c r="KY97" s="151"/>
      <c r="KZ97" s="151"/>
      <c r="LA97" s="151"/>
      <c r="LB97" s="151"/>
      <c r="LC97" s="151"/>
      <c r="LD97" s="151"/>
      <c r="LE97" s="151"/>
    </row>
    <row r="98" spans="1:317" x14ac:dyDescent="0.2">
      <c r="A98" s="179" t="s">
        <v>849</v>
      </c>
      <c r="B98" s="180" t="s">
        <v>997</v>
      </c>
      <c r="C98" s="181"/>
      <c r="D98" s="182">
        <v>0</v>
      </c>
      <c r="E98" s="182">
        <v>0</v>
      </c>
      <c r="F98" s="183" t="s">
        <v>1443</v>
      </c>
      <c r="G98" s="183">
        <v>0</v>
      </c>
      <c r="H98" s="183">
        <v>0</v>
      </c>
      <c r="I98" s="183">
        <v>0</v>
      </c>
      <c r="J98" s="183">
        <v>0</v>
      </c>
      <c r="K98" s="183" t="s">
        <v>1368</v>
      </c>
      <c r="L98" s="183">
        <v>0</v>
      </c>
      <c r="M98" s="183">
        <v>0</v>
      </c>
      <c r="N98" s="183" t="s">
        <v>881</v>
      </c>
      <c r="O98" s="183">
        <v>0</v>
      </c>
      <c r="P98" s="183">
        <v>0</v>
      </c>
      <c r="Q98" s="183"/>
      <c r="R98" s="183"/>
      <c r="S98" s="183"/>
      <c r="T98" s="183"/>
      <c r="U98" s="183"/>
      <c r="V98" s="183">
        <v>0</v>
      </c>
      <c r="W98" s="183">
        <v>0</v>
      </c>
      <c r="X98" s="183">
        <v>0</v>
      </c>
      <c r="Y98" s="184">
        <v>0.54</v>
      </c>
      <c r="Z98" s="184">
        <v>2.6</v>
      </c>
      <c r="AA98" s="184">
        <v>0</v>
      </c>
      <c r="AB98" s="185" t="s">
        <v>615</v>
      </c>
      <c r="AC98" s="185" t="s">
        <v>615</v>
      </c>
      <c r="AD98" s="186" t="s">
        <v>881</v>
      </c>
      <c r="AE98" s="186" t="s">
        <v>858</v>
      </c>
      <c r="AF98" s="187">
        <v>7</v>
      </c>
      <c r="AG98" s="187">
        <v>3</v>
      </c>
      <c r="AH98" s="187">
        <v>4</v>
      </c>
      <c r="AI98" s="188">
        <v>1</v>
      </c>
      <c r="AJ98" s="188" t="s">
        <v>615</v>
      </c>
      <c r="AK98" s="187" t="s">
        <v>1737</v>
      </c>
      <c r="AL98" s="87" t="s">
        <v>615</v>
      </c>
      <c r="AM98" s="189"/>
      <c r="AN98" s="187" t="s">
        <v>615</v>
      </c>
      <c r="AO98" s="13" t="s">
        <v>615</v>
      </c>
      <c r="AP98" s="187">
        <v>0</v>
      </c>
      <c r="AQ98" s="187">
        <v>0</v>
      </c>
      <c r="AR98" s="190">
        <v>0</v>
      </c>
      <c r="AS98" s="190">
        <v>0</v>
      </c>
      <c r="AT98" s="190">
        <v>0</v>
      </c>
      <c r="AU98" s="187">
        <v>0</v>
      </c>
      <c r="AV98" s="187">
        <v>0</v>
      </c>
      <c r="AW98" s="191"/>
      <c r="AX98" s="192"/>
      <c r="AY98" s="193">
        <v>42666</v>
      </c>
      <c r="AZ98" s="193"/>
      <c r="BA98" s="193"/>
      <c r="BB98" s="194"/>
      <c r="BC98" s="194"/>
      <c r="BD98" s="195"/>
      <c r="BE98" s="195" t="s">
        <v>532</v>
      </c>
      <c r="BF98" s="195"/>
      <c r="BG98" s="195">
        <v>300</v>
      </c>
      <c r="BH98" s="196" t="s">
        <v>547</v>
      </c>
      <c r="BI98" s="197">
        <v>1</v>
      </c>
      <c r="BJ98" s="198"/>
      <c r="BK98" s="199">
        <v>0</v>
      </c>
      <c r="BL98" s="13">
        <v>0</v>
      </c>
      <c r="BM98" s="13">
        <v>0</v>
      </c>
      <c r="BN98" s="13" t="s">
        <v>616</v>
      </c>
      <c r="BO98" s="13" t="s">
        <v>616</v>
      </c>
      <c r="BP98" s="200">
        <v>21</v>
      </c>
      <c r="BQ98" s="201"/>
      <c r="BR98" s="202"/>
      <c r="BS98" s="187">
        <v>1000000000</v>
      </c>
      <c r="BT98" s="203">
        <v>0</v>
      </c>
      <c r="BU98" s="204">
        <v>0</v>
      </c>
      <c r="BV98" s="203">
        <v>0</v>
      </c>
      <c r="BW98" s="205">
        <v>0</v>
      </c>
      <c r="BX98" s="205">
        <v>0</v>
      </c>
      <c r="BY98" s="205">
        <v>0</v>
      </c>
      <c r="BZ98" s="203">
        <v>0</v>
      </c>
      <c r="CA98" s="203">
        <v>0</v>
      </c>
      <c r="CB98" s="203">
        <v>0</v>
      </c>
      <c r="CC98" s="204">
        <v>0</v>
      </c>
      <c r="CD98" s="203">
        <v>0</v>
      </c>
      <c r="CE98" s="203">
        <v>0</v>
      </c>
      <c r="CF98" s="13">
        <v>0</v>
      </c>
      <c r="CG98" s="206">
        <v>0</v>
      </c>
      <c r="CH98" s="207">
        <v>0</v>
      </c>
      <c r="CI98" s="201"/>
      <c r="CJ98" s="208"/>
      <c r="CK98" s="209" t="s">
        <v>615</v>
      </c>
      <c r="CL98" s="210" t="s">
        <v>615</v>
      </c>
      <c r="CM98" s="207">
        <v>0</v>
      </c>
      <c r="CN98" s="207">
        <v>0</v>
      </c>
      <c r="CO98" s="204">
        <v>0</v>
      </c>
      <c r="CP98" s="204">
        <v>0</v>
      </c>
      <c r="CQ98" s="211"/>
      <c r="CR98" s="204">
        <v>1</v>
      </c>
      <c r="CS98" s="212">
        <v>42709</v>
      </c>
      <c r="CT98" s="212">
        <v>42780</v>
      </c>
      <c r="CU98" s="213">
        <v>42780</v>
      </c>
      <c r="CV98" s="214">
        <v>42829</v>
      </c>
      <c r="CW98" s="214" t="s">
        <v>615</v>
      </c>
      <c r="CX98" s="214" t="s">
        <v>615</v>
      </c>
      <c r="CY98" s="204">
        <v>0.35896457353727146</v>
      </c>
      <c r="CZ98" s="204">
        <v>0.97959183673469397</v>
      </c>
      <c r="DA98" s="203">
        <v>0</v>
      </c>
      <c r="DB98" s="204">
        <v>4.0816326530612242E-2</v>
      </c>
      <c r="DC98" s="204">
        <v>0</v>
      </c>
      <c r="DD98" s="204">
        <v>0</v>
      </c>
      <c r="DE98" s="204">
        <v>0</v>
      </c>
      <c r="DF98" s="215">
        <v>0.93877551020408168</v>
      </c>
      <c r="DG98" s="13" t="s">
        <v>615</v>
      </c>
      <c r="DH98" s="86">
        <v>96</v>
      </c>
      <c r="DI98" s="86"/>
      <c r="DJ98" s="86">
        <v>51</v>
      </c>
      <c r="DK98" s="86" t="s">
        <v>1541</v>
      </c>
      <c r="DL98" s="86" t="e">
        <v>#N/A</v>
      </c>
      <c r="DM98" s="86" t="e">
        <v>#N/A</v>
      </c>
      <c r="DN98" s="86" t="e">
        <v>#N/A</v>
      </c>
      <c r="DO98" s="86">
        <v>52</v>
      </c>
      <c r="DP98" s="86">
        <v>5</v>
      </c>
      <c r="DQ98" s="86">
        <v>49</v>
      </c>
      <c r="DR98" s="166">
        <v>0</v>
      </c>
      <c r="DS98" s="166">
        <v>0</v>
      </c>
      <c r="DT98" s="166">
        <v>0</v>
      </c>
      <c r="DU98" s="166">
        <v>0</v>
      </c>
      <c r="DV98" s="166">
        <v>0</v>
      </c>
      <c r="DW98" s="166">
        <v>0</v>
      </c>
      <c r="DX98" s="166">
        <v>0</v>
      </c>
      <c r="DY98" s="166">
        <v>0</v>
      </c>
      <c r="DZ98" s="166">
        <v>0</v>
      </c>
      <c r="EA98" s="152">
        <v>0</v>
      </c>
      <c r="EB98" s="152">
        <v>0</v>
      </c>
      <c r="EC98" s="152">
        <v>0</v>
      </c>
      <c r="ED98" s="152">
        <v>0</v>
      </c>
      <c r="EE98" s="152">
        <v>0</v>
      </c>
      <c r="EF98" s="152">
        <v>0</v>
      </c>
      <c r="EG98" s="152">
        <v>0</v>
      </c>
      <c r="EH98" s="152">
        <v>0</v>
      </c>
      <c r="EI98" s="152">
        <v>0</v>
      </c>
      <c r="EJ98" s="152">
        <v>0</v>
      </c>
      <c r="EK98" s="152">
        <v>0</v>
      </c>
      <c r="EL98" s="152">
        <v>0</v>
      </c>
      <c r="EM98" s="152">
        <v>0</v>
      </c>
      <c r="EN98" s="152">
        <v>0</v>
      </c>
      <c r="EO98" s="152">
        <v>0</v>
      </c>
      <c r="EP98" s="152">
        <v>0</v>
      </c>
      <c r="EQ98" s="152">
        <v>0</v>
      </c>
      <c r="ER98" s="152">
        <v>0</v>
      </c>
      <c r="ES98" s="152">
        <v>0</v>
      </c>
      <c r="ET98" s="152">
        <v>0</v>
      </c>
      <c r="EU98" s="152">
        <v>0</v>
      </c>
      <c r="EV98" s="152">
        <v>0</v>
      </c>
      <c r="EW98" s="152">
        <v>0</v>
      </c>
      <c r="EX98" s="152">
        <v>0</v>
      </c>
      <c r="EY98" s="152">
        <v>0</v>
      </c>
      <c r="EZ98" s="152">
        <v>0</v>
      </c>
      <c r="FA98" s="152">
        <v>0</v>
      </c>
      <c r="FB98" s="152">
        <v>0</v>
      </c>
      <c r="FC98" s="152">
        <v>0</v>
      </c>
      <c r="FD98" s="152">
        <v>0</v>
      </c>
      <c r="FE98" s="152">
        <v>0</v>
      </c>
      <c r="FF98" s="152">
        <v>0</v>
      </c>
      <c r="FG98" s="152">
        <v>0</v>
      </c>
      <c r="FH98" s="152">
        <v>0</v>
      </c>
      <c r="FI98" s="152">
        <v>0</v>
      </c>
      <c r="FJ98" s="152">
        <v>0</v>
      </c>
      <c r="FK98" s="152">
        <v>0</v>
      </c>
      <c r="FL98" s="152">
        <v>0</v>
      </c>
      <c r="FM98" s="152">
        <v>0</v>
      </c>
      <c r="FN98" s="152">
        <v>0</v>
      </c>
      <c r="FO98" s="152">
        <v>0</v>
      </c>
      <c r="FP98" s="152">
        <v>0</v>
      </c>
      <c r="FQ98" s="152">
        <v>0</v>
      </c>
      <c r="FR98" s="152">
        <v>0</v>
      </c>
      <c r="FS98" s="152">
        <v>0</v>
      </c>
      <c r="FT98" s="152">
        <v>0</v>
      </c>
      <c r="FU98" s="152">
        <v>265</v>
      </c>
      <c r="FV98" s="152">
        <v>265</v>
      </c>
      <c r="FW98" s="152">
        <v>265</v>
      </c>
      <c r="FX98" s="152">
        <v>265</v>
      </c>
      <c r="FY98" s="152">
        <v>265</v>
      </c>
      <c r="FZ98" s="152">
        <v>265</v>
      </c>
      <c r="GA98" s="152">
        <v>265</v>
      </c>
      <c r="GB98" s="152">
        <v>265</v>
      </c>
      <c r="GC98" s="152">
        <v>265</v>
      </c>
      <c r="GD98" s="152">
        <v>265</v>
      </c>
      <c r="GE98" s="152">
        <v>265</v>
      </c>
      <c r="GF98" s="152">
        <v>265</v>
      </c>
      <c r="GG98" s="152">
        <v>265</v>
      </c>
      <c r="GH98" s="152">
        <v>265</v>
      </c>
      <c r="GI98" s="152">
        <v>265</v>
      </c>
      <c r="GJ98" s="152">
        <v>265</v>
      </c>
      <c r="GK98" s="152">
        <v>265</v>
      </c>
      <c r="GL98" s="152">
        <v>265</v>
      </c>
      <c r="GM98" s="152">
        <v>265</v>
      </c>
      <c r="GN98" s="152">
        <v>265</v>
      </c>
      <c r="GO98" s="152">
        <v>265</v>
      </c>
      <c r="GP98" s="152">
        <v>265</v>
      </c>
      <c r="GQ98" s="152">
        <v>265</v>
      </c>
      <c r="GR98" s="152">
        <v>265</v>
      </c>
      <c r="GS98" s="152">
        <v>265</v>
      </c>
      <c r="GT98" s="152">
        <v>265</v>
      </c>
      <c r="GU98" s="152">
        <v>265</v>
      </c>
      <c r="GV98" s="152">
        <v>265</v>
      </c>
      <c r="GW98" s="152">
        <v>265</v>
      </c>
      <c r="GX98" s="152">
        <v>265</v>
      </c>
      <c r="GY98" s="152">
        <v>265</v>
      </c>
      <c r="GZ98" s="152">
        <v>265</v>
      </c>
      <c r="HA98" s="152">
        <v>265</v>
      </c>
      <c r="HB98" s="152">
        <v>265</v>
      </c>
      <c r="HC98" s="152">
        <v>265</v>
      </c>
      <c r="HD98" s="152">
        <v>65</v>
      </c>
      <c r="HE98" s="152">
        <v>65</v>
      </c>
      <c r="HF98" s="152">
        <v>65</v>
      </c>
      <c r="HG98" s="152">
        <v>65</v>
      </c>
      <c r="HH98" s="152">
        <v>66</v>
      </c>
      <c r="HI98" s="152">
        <v>66</v>
      </c>
      <c r="HJ98" s="152">
        <v>266</v>
      </c>
      <c r="HK98" s="152">
        <v>266</v>
      </c>
      <c r="HL98" s="152">
        <v>266</v>
      </c>
      <c r="HM98" s="152">
        <v>266</v>
      </c>
      <c r="HN98" s="152">
        <v>266</v>
      </c>
      <c r="HO98" s="152">
        <v>266</v>
      </c>
      <c r="HP98" s="152">
        <v>266</v>
      </c>
      <c r="HQ98" s="152">
        <v>266</v>
      </c>
      <c r="HR98" s="152">
        <v>266</v>
      </c>
      <c r="HS98" s="152">
        <v>266</v>
      </c>
      <c r="HT98" s="152">
        <v>0</v>
      </c>
      <c r="HU98" s="216"/>
      <c r="HV98" s="152">
        <v>0</v>
      </c>
      <c r="HW98" s="216"/>
      <c r="HX98" s="216"/>
      <c r="HY98" s="216"/>
      <c r="HZ98" s="216"/>
      <c r="IA98" s="216"/>
      <c r="IB98" s="216"/>
      <c r="IC98" s="216"/>
      <c r="ID98" s="216"/>
      <c r="IE98" s="216"/>
      <c r="IF98" s="216"/>
      <c r="IG98" s="216"/>
      <c r="IH98" s="216"/>
      <c r="II98" s="216"/>
      <c r="IJ98" s="216"/>
      <c r="IK98" s="216"/>
      <c r="IL98" s="216"/>
      <c r="IM98" s="216"/>
      <c r="IN98" s="216"/>
      <c r="IO98" s="216"/>
      <c r="IP98" s="216"/>
      <c r="IQ98" s="216"/>
      <c r="IR98" s="216"/>
      <c r="IS98" s="216"/>
      <c r="IT98" s="216"/>
      <c r="IU98" s="216"/>
      <c r="IV98" s="216"/>
      <c r="IW98" s="216"/>
      <c r="IX98" s="216"/>
      <c r="IY98" s="216"/>
      <c r="IZ98" s="216"/>
      <c r="JA98" s="216"/>
      <c r="JB98" s="216"/>
      <c r="JC98" s="216"/>
      <c r="JD98" s="216"/>
      <c r="JE98" s="216"/>
      <c r="JF98" s="216"/>
      <c r="JG98" s="216"/>
      <c r="JH98" s="216"/>
      <c r="JI98" s="216"/>
      <c r="JJ98" s="216"/>
      <c r="JK98" s="216"/>
      <c r="JL98" s="216"/>
      <c r="JM98" s="216"/>
      <c r="JN98" s="216"/>
      <c r="JO98" s="216"/>
      <c r="JP98" s="216"/>
      <c r="JQ98" s="216"/>
      <c r="JR98" s="216"/>
      <c r="JS98" s="216"/>
      <c r="JT98" s="216"/>
      <c r="JU98" s="216"/>
      <c r="JV98" s="216"/>
      <c r="JW98" s="216"/>
      <c r="JX98" s="216"/>
      <c r="JY98" s="216"/>
      <c r="JZ98" s="216"/>
      <c r="KA98" s="216"/>
      <c r="KB98" s="216"/>
      <c r="KC98" s="216"/>
      <c r="KD98" s="216"/>
      <c r="KE98" s="216"/>
      <c r="KF98" s="216"/>
      <c r="KG98" s="216"/>
      <c r="KH98" s="216"/>
      <c r="KI98" s="216"/>
      <c r="KJ98" s="216"/>
      <c r="KK98" s="216"/>
      <c r="KL98" s="216"/>
      <c r="KM98" s="216"/>
      <c r="KN98" s="216"/>
      <c r="KO98" s="216"/>
      <c r="KP98" s="216"/>
      <c r="KQ98" s="216"/>
      <c r="KR98" s="216"/>
      <c r="KS98" s="216"/>
      <c r="KT98" s="216"/>
      <c r="KU98" s="216"/>
      <c r="KV98" s="216"/>
      <c r="KW98" s="216"/>
      <c r="KX98" s="216"/>
      <c r="KY98" s="216"/>
      <c r="KZ98" s="216"/>
      <c r="LA98" s="216"/>
      <c r="LB98" s="216"/>
      <c r="LC98" s="216"/>
      <c r="LD98" s="216"/>
      <c r="LE98" s="216"/>
    </row>
    <row r="99" spans="1:317" x14ac:dyDescent="0.2">
      <c r="A99" s="179" t="s">
        <v>849</v>
      </c>
      <c r="B99" s="180" t="s">
        <v>998</v>
      </c>
      <c r="C99" s="181"/>
      <c r="D99" s="182">
        <v>0</v>
      </c>
      <c r="E99" s="182">
        <v>0</v>
      </c>
      <c r="F99" s="183" t="s">
        <v>1277</v>
      </c>
      <c r="G99" s="183">
        <v>0</v>
      </c>
      <c r="H99" s="183">
        <v>0</v>
      </c>
      <c r="I99" s="183">
        <v>0</v>
      </c>
      <c r="J99" s="183">
        <v>0</v>
      </c>
      <c r="K99" s="183" t="s">
        <v>1373</v>
      </c>
      <c r="L99" s="183">
        <v>0</v>
      </c>
      <c r="M99" s="183">
        <v>0</v>
      </c>
      <c r="N99" s="183" t="s">
        <v>872</v>
      </c>
      <c r="O99" s="183">
        <v>0</v>
      </c>
      <c r="P99" s="183">
        <v>0</v>
      </c>
      <c r="Q99" s="183"/>
      <c r="R99" s="183"/>
      <c r="S99" s="183"/>
      <c r="T99" s="183"/>
      <c r="U99" s="183"/>
      <c r="V99" s="183">
        <v>0</v>
      </c>
      <c r="W99" s="183">
        <v>0</v>
      </c>
      <c r="X99" s="183">
        <v>0</v>
      </c>
      <c r="Y99" s="184">
        <v>56.6</v>
      </c>
      <c r="Z99" s="184">
        <v>120.35</v>
      </c>
      <c r="AA99" s="184">
        <v>0</v>
      </c>
      <c r="AB99" s="185" t="s">
        <v>615</v>
      </c>
      <c r="AC99" s="185" t="s">
        <v>615</v>
      </c>
      <c r="AD99" s="186" t="s">
        <v>872</v>
      </c>
      <c r="AE99" s="186" t="s">
        <v>852</v>
      </c>
      <c r="AF99" s="187">
        <v>7</v>
      </c>
      <c r="AG99" s="187">
        <v>3</v>
      </c>
      <c r="AH99" s="187">
        <v>4</v>
      </c>
      <c r="AI99" s="188">
        <v>1</v>
      </c>
      <c r="AJ99" s="188" t="s">
        <v>615</v>
      </c>
      <c r="AK99" s="187" t="s">
        <v>1737</v>
      </c>
      <c r="AL99" s="87" t="s">
        <v>615</v>
      </c>
      <c r="AM99" s="189"/>
      <c r="AN99" s="187" t="s">
        <v>615</v>
      </c>
      <c r="AO99" s="13" t="s">
        <v>615</v>
      </c>
      <c r="AP99" s="187">
        <v>0</v>
      </c>
      <c r="AQ99" s="187">
        <v>0</v>
      </c>
      <c r="AR99" s="190">
        <v>0</v>
      </c>
      <c r="AS99" s="190">
        <v>0</v>
      </c>
      <c r="AT99" s="190">
        <v>0</v>
      </c>
      <c r="AU99" s="187">
        <v>0</v>
      </c>
      <c r="AV99" s="187">
        <v>0</v>
      </c>
      <c r="AW99" s="191"/>
      <c r="AX99" s="192"/>
      <c r="AY99" s="193">
        <v>42845</v>
      </c>
      <c r="AZ99" s="193">
        <v>42796</v>
      </c>
      <c r="BA99" s="193">
        <v>42796</v>
      </c>
      <c r="BB99" s="194"/>
      <c r="BC99" s="194"/>
      <c r="BD99" s="195"/>
      <c r="BE99" s="195" t="s">
        <v>532</v>
      </c>
      <c r="BF99" s="195"/>
      <c r="BG99" s="195">
        <v>6</v>
      </c>
      <c r="BH99" s="196" t="s">
        <v>547</v>
      </c>
      <c r="BI99" s="197">
        <v>1</v>
      </c>
      <c r="BJ99" s="198"/>
      <c r="BK99" s="199">
        <v>12</v>
      </c>
      <c r="BL99" s="13">
        <v>8</v>
      </c>
      <c r="BM99" s="13">
        <v>4</v>
      </c>
      <c r="BN99" s="13" t="s">
        <v>620</v>
      </c>
      <c r="BO99" s="13" t="s">
        <v>620</v>
      </c>
      <c r="BP99" s="200">
        <v>20</v>
      </c>
      <c r="BQ99" s="201"/>
      <c r="BR99" s="202"/>
      <c r="BS99" s="187">
        <v>1000000000</v>
      </c>
      <c r="BT99" s="203">
        <v>18</v>
      </c>
      <c r="BU99" s="204">
        <v>-0.5</v>
      </c>
      <c r="BV99" s="203">
        <v>0</v>
      </c>
      <c r="BW99" s="205">
        <v>0</v>
      </c>
      <c r="BX99" s="205">
        <v>0</v>
      </c>
      <c r="BY99" s="205">
        <v>0</v>
      </c>
      <c r="BZ99" s="203">
        <v>0</v>
      </c>
      <c r="CA99" s="203">
        <v>0</v>
      </c>
      <c r="CB99" s="203">
        <v>18</v>
      </c>
      <c r="CC99" s="204">
        <v>-0.5</v>
      </c>
      <c r="CD99" s="203">
        <v>0</v>
      </c>
      <c r="CE99" s="203">
        <v>0</v>
      </c>
      <c r="CF99" s="13">
        <v>0</v>
      </c>
      <c r="CG99" s="206">
        <v>0</v>
      </c>
      <c r="CH99" s="207">
        <v>7</v>
      </c>
      <c r="CI99" s="201"/>
      <c r="CJ99" s="208"/>
      <c r="CK99" s="209" t="s">
        <v>615</v>
      </c>
      <c r="CL99" s="210" t="s">
        <v>615</v>
      </c>
      <c r="CM99" s="207">
        <v>0</v>
      </c>
      <c r="CN99" s="207">
        <v>339.6</v>
      </c>
      <c r="CO99" s="204">
        <v>0</v>
      </c>
      <c r="CP99" s="204">
        <v>7.7233720343260952</v>
      </c>
      <c r="CQ99" s="211"/>
      <c r="CR99" s="204">
        <v>1</v>
      </c>
      <c r="CS99" s="212">
        <v>42709</v>
      </c>
      <c r="CT99" s="212">
        <v>42780</v>
      </c>
      <c r="CU99" s="213">
        <v>42780</v>
      </c>
      <c r="CV99" s="214">
        <v>42829</v>
      </c>
      <c r="CW99" s="214" t="s">
        <v>615</v>
      </c>
      <c r="CX99" s="214" t="s">
        <v>615</v>
      </c>
      <c r="CY99" s="204">
        <v>9.0863208337598617E-2</v>
      </c>
      <c r="CZ99" s="204">
        <v>0.97959183673469385</v>
      </c>
      <c r="DA99" s="203">
        <v>0</v>
      </c>
      <c r="DB99" s="204">
        <v>0</v>
      </c>
      <c r="DC99" s="204">
        <v>0</v>
      </c>
      <c r="DD99" s="204">
        <v>0</v>
      </c>
      <c r="DE99" s="204">
        <v>0</v>
      </c>
      <c r="DF99" s="215">
        <v>0.97959183673469385</v>
      </c>
      <c r="DG99" s="13" t="s">
        <v>615</v>
      </c>
      <c r="DH99" s="86">
        <v>97</v>
      </c>
      <c r="DI99" s="86"/>
      <c r="DJ99" s="86">
        <v>47</v>
      </c>
      <c r="DK99" s="86" t="s">
        <v>1484</v>
      </c>
      <c r="DL99" s="86" t="e">
        <v>#N/A</v>
      </c>
      <c r="DM99" s="86">
        <v>28</v>
      </c>
      <c r="DN99" s="86" t="e">
        <v>#N/A</v>
      </c>
      <c r="DO99" s="86">
        <v>48</v>
      </c>
      <c r="DP99" s="86">
        <v>2</v>
      </c>
      <c r="DQ99" s="86">
        <v>49</v>
      </c>
      <c r="DR99" s="161">
        <v>18</v>
      </c>
      <c r="DS99" s="161">
        <v>18</v>
      </c>
      <c r="DT99" s="161">
        <v>18</v>
      </c>
      <c r="DU99" s="161">
        <v>18</v>
      </c>
      <c r="DV99" s="161">
        <v>18</v>
      </c>
      <c r="DW99" s="161">
        <v>18</v>
      </c>
      <c r="DX99" s="161">
        <v>18</v>
      </c>
      <c r="DY99" s="161">
        <v>18</v>
      </c>
      <c r="DZ99" s="161">
        <v>18</v>
      </c>
      <c r="EA99" s="162">
        <v>18</v>
      </c>
      <c r="EB99" s="162">
        <v>18</v>
      </c>
      <c r="EC99" s="162">
        <v>18</v>
      </c>
      <c r="ED99" s="162">
        <v>18</v>
      </c>
      <c r="EE99" s="162">
        <v>18</v>
      </c>
      <c r="EF99" s="162">
        <v>18</v>
      </c>
      <c r="EG99" s="162">
        <v>18</v>
      </c>
      <c r="EH99" s="162">
        <v>18</v>
      </c>
      <c r="EI99" s="162">
        <v>18</v>
      </c>
      <c r="EJ99" s="162">
        <v>18</v>
      </c>
      <c r="EK99" s="162">
        <v>18</v>
      </c>
      <c r="EL99" s="162">
        <v>18</v>
      </c>
      <c r="EM99" s="162">
        <v>18</v>
      </c>
      <c r="EN99" s="162">
        <v>18</v>
      </c>
      <c r="EO99" s="162">
        <v>18</v>
      </c>
      <c r="EP99" s="162">
        <v>18</v>
      </c>
      <c r="EQ99" s="162">
        <v>18</v>
      </c>
      <c r="ER99" s="162">
        <v>18</v>
      </c>
      <c r="ES99" s="162">
        <v>18</v>
      </c>
      <c r="ET99" s="162">
        <v>18</v>
      </c>
      <c r="EU99" s="162">
        <v>18</v>
      </c>
      <c r="EV99" s="162">
        <v>18</v>
      </c>
      <c r="EW99" s="140">
        <v>1</v>
      </c>
      <c r="EX99" s="162">
        <v>18</v>
      </c>
      <c r="EY99" s="162">
        <v>18</v>
      </c>
      <c r="EZ99" s="162">
        <v>18</v>
      </c>
      <c r="FA99" s="162">
        <v>18</v>
      </c>
      <c r="FB99" s="162">
        <v>18</v>
      </c>
      <c r="FC99" s="162">
        <v>18</v>
      </c>
      <c r="FD99" s="162">
        <v>18</v>
      </c>
      <c r="FE99" s="162">
        <v>18</v>
      </c>
      <c r="FF99" s="140">
        <v>1</v>
      </c>
      <c r="FG99" s="140">
        <v>1</v>
      </c>
      <c r="FH99" s="140">
        <v>1</v>
      </c>
      <c r="FI99" s="140">
        <v>1</v>
      </c>
      <c r="FJ99" s="140">
        <v>1</v>
      </c>
      <c r="FK99" s="140">
        <v>1</v>
      </c>
      <c r="FL99" s="140">
        <v>1</v>
      </c>
      <c r="FM99" s="140">
        <v>1</v>
      </c>
      <c r="FN99" s="162">
        <v>18</v>
      </c>
      <c r="FO99" s="162">
        <v>18</v>
      </c>
      <c r="FP99" s="162">
        <v>18</v>
      </c>
      <c r="FQ99" s="162">
        <v>18</v>
      </c>
      <c r="FR99" s="162">
        <v>18</v>
      </c>
      <c r="FS99" s="161">
        <v>18</v>
      </c>
      <c r="FT99" s="161">
        <v>18</v>
      </c>
      <c r="FU99" s="161">
        <v>18</v>
      </c>
      <c r="FV99" s="161">
        <v>18</v>
      </c>
      <c r="FW99" s="161">
        <v>18</v>
      </c>
      <c r="FX99" s="161">
        <v>18</v>
      </c>
      <c r="FY99" s="161">
        <v>18</v>
      </c>
      <c r="FZ99" s="161">
        <v>18</v>
      </c>
      <c r="GA99" s="161">
        <v>18</v>
      </c>
      <c r="GB99" s="161">
        <v>18</v>
      </c>
      <c r="GC99" s="161">
        <v>18</v>
      </c>
      <c r="GD99" s="161">
        <v>18</v>
      </c>
      <c r="GE99" s="161">
        <v>18</v>
      </c>
      <c r="GF99" s="161">
        <v>18</v>
      </c>
      <c r="GG99" s="161">
        <v>18</v>
      </c>
      <c r="GH99" s="161">
        <v>18</v>
      </c>
      <c r="GI99" s="161">
        <v>18</v>
      </c>
      <c r="GJ99" s="161">
        <v>18</v>
      </c>
      <c r="GK99" s="161">
        <v>18</v>
      </c>
      <c r="GL99" s="161">
        <v>18</v>
      </c>
      <c r="GM99" s="161">
        <v>18</v>
      </c>
      <c r="GN99" s="161">
        <v>18</v>
      </c>
      <c r="GO99" s="161">
        <v>18</v>
      </c>
      <c r="GP99" s="161">
        <v>18</v>
      </c>
      <c r="GQ99" s="161">
        <v>18</v>
      </c>
      <c r="GR99" s="161">
        <v>18</v>
      </c>
      <c r="GS99" s="161">
        <v>18</v>
      </c>
      <c r="GT99" s="161">
        <v>18</v>
      </c>
      <c r="GU99" s="161">
        <v>18</v>
      </c>
      <c r="GV99" s="161">
        <v>18</v>
      </c>
      <c r="GW99" s="161">
        <v>18</v>
      </c>
      <c r="GX99" s="161">
        <v>15</v>
      </c>
      <c r="GY99" s="161">
        <v>15</v>
      </c>
      <c r="GZ99" s="161">
        <v>15</v>
      </c>
      <c r="HA99" s="161">
        <v>15</v>
      </c>
      <c r="HB99" s="161">
        <v>15</v>
      </c>
      <c r="HC99" s="161">
        <v>15</v>
      </c>
      <c r="HD99" s="161">
        <v>15</v>
      </c>
      <c r="HE99" s="161">
        <v>15</v>
      </c>
      <c r="HF99" s="161">
        <v>15</v>
      </c>
      <c r="HG99" s="161">
        <v>15</v>
      </c>
      <c r="HH99" s="161">
        <v>15</v>
      </c>
      <c r="HI99" s="161">
        <v>15</v>
      </c>
      <c r="HJ99" s="161">
        <v>15</v>
      </c>
      <c r="HK99" s="161">
        <v>15</v>
      </c>
      <c r="HL99" s="161">
        <v>15</v>
      </c>
      <c r="HM99" s="161">
        <v>15</v>
      </c>
      <c r="HN99" s="161">
        <v>15</v>
      </c>
      <c r="HO99" s="161">
        <v>15</v>
      </c>
      <c r="HP99" s="161">
        <v>15</v>
      </c>
      <c r="HQ99" s="161">
        <v>15</v>
      </c>
      <c r="HR99" s="161">
        <v>15</v>
      </c>
      <c r="HS99" s="161">
        <v>15</v>
      </c>
      <c r="HT99" s="161">
        <v>18</v>
      </c>
      <c r="HU99" s="151"/>
      <c r="HV99" s="161">
        <v>18</v>
      </c>
      <c r="HW99" s="151"/>
      <c r="HX99" s="151"/>
      <c r="HY99" s="151"/>
      <c r="HZ99" s="151"/>
      <c r="IA99" s="151"/>
      <c r="IB99" s="151"/>
      <c r="IC99" s="151"/>
      <c r="ID99" s="151"/>
      <c r="IE99" s="151"/>
      <c r="IF99" s="151"/>
      <c r="IG99" s="151"/>
      <c r="IH99" s="151"/>
      <c r="II99" s="151"/>
      <c r="IJ99" s="151"/>
      <c r="IK99" s="151"/>
      <c r="IL99" s="151"/>
      <c r="IM99" s="151"/>
      <c r="IN99" s="151"/>
      <c r="IO99" s="151"/>
      <c r="IP99" s="151"/>
      <c r="IQ99" s="151"/>
      <c r="IR99" s="151"/>
      <c r="IS99" s="151"/>
      <c r="IT99" s="151"/>
      <c r="IU99" s="151"/>
      <c r="IV99" s="151"/>
      <c r="IW99" s="151"/>
      <c r="IX99" s="151"/>
      <c r="IY99" s="151"/>
      <c r="IZ99" s="151"/>
      <c r="JA99" s="151"/>
      <c r="JB99" s="151"/>
      <c r="JC99" s="151"/>
      <c r="JD99" s="151"/>
      <c r="JE99" s="151"/>
      <c r="JF99" s="151"/>
      <c r="JG99" s="151"/>
      <c r="JH99" s="151"/>
      <c r="JI99" s="151"/>
      <c r="JJ99" s="151"/>
      <c r="JK99" s="151"/>
      <c r="JL99" s="151"/>
      <c r="JM99" s="151"/>
      <c r="JN99" s="151"/>
      <c r="JO99" s="151"/>
      <c r="JP99" s="151"/>
      <c r="JQ99" s="151"/>
      <c r="JR99" s="151"/>
      <c r="JS99" s="151"/>
      <c r="JT99" s="151"/>
      <c r="JU99" s="151"/>
      <c r="JV99" s="151"/>
      <c r="JW99" s="151"/>
      <c r="JX99" s="151"/>
      <c r="JY99" s="151"/>
      <c r="JZ99" s="151"/>
      <c r="KA99" s="151"/>
      <c r="KB99" s="151"/>
      <c r="KC99" s="151"/>
      <c r="KD99" s="151"/>
      <c r="KE99" s="151"/>
      <c r="KF99" s="151"/>
      <c r="KG99" s="151"/>
      <c r="KH99" s="151"/>
      <c r="KI99" s="151"/>
      <c r="KJ99" s="151"/>
      <c r="KK99" s="151"/>
      <c r="KL99" s="151"/>
      <c r="KM99" s="151"/>
      <c r="KN99" s="151"/>
      <c r="KO99" s="151"/>
      <c r="KP99" s="151"/>
      <c r="KQ99" s="151"/>
      <c r="KR99" s="151"/>
      <c r="KS99" s="151"/>
      <c r="KT99" s="151"/>
      <c r="KU99" s="151"/>
      <c r="KV99" s="151"/>
      <c r="KW99" s="151"/>
      <c r="KX99" s="151"/>
      <c r="KY99" s="151"/>
      <c r="KZ99" s="151"/>
      <c r="LA99" s="151"/>
      <c r="LB99" s="151"/>
      <c r="LC99" s="151"/>
      <c r="LD99" s="151"/>
      <c r="LE99" s="151"/>
    </row>
    <row r="100" spans="1:317" x14ac:dyDescent="0.2">
      <c r="A100" s="179" t="s">
        <v>849</v>
      </c>
      <c r="B100" s="180" t="s">
        <v>999</v>
      </c>
      <c r="C100" s="181"/>
      <c r="D100" s="182">
        <v>0</v>
      </c>
      <c r="E100" s="182">
        <v>0</v>
      </c>
      <c r="F100" s="183" t="s">
        <v>1277</v>
      </c>
      <c r="G100" s="183">
        <v>0</v>
      </c>
      <c r="H100" s="183">
        <v>0</v>
      </c>
      <c r="I100" s="183">
        <v>0</v>
      </c>
      <c r="J100" s="183">
        <v>0</v>
      </c>
      <c r="K100" s="183" t="s">
        <v>1373</v>
      </c>
      <c r="L100" s="183">
        <v>0</v>
      </c>
      <c r="M100" s="183">
        <v>0</v>
      </c>
      <c r="N100" s="183" t="s">
        <v>872</v>
      </c>
      <c r="O100" s="183">
        <v>0</v>
      </c>
      <c r="P100" s="183">
        <v>0</v>
      </c>
      <c r="Q100" s="183"/>
      <c r="R100" s="183"/>
      <c r="S100" s="183"/>
      <c r="T100" s="183"/>
      <c r="U100" s="183"/>
      <c r="V100" s="183">
        <v>0</v>
      </c>
      <c r="W100" s="183">
        <v>0</v>
      </c>
      <c r="X100" s="183">
        <v>0</v>
      </c>
      <c r="Y100" s="184">
        <v>65.8</v>
      </c>
      <c r="Z100" s="184">
        <v>120.35</v>
      </c>
      <c r="AA100" s="184">
        <v>0</v>
      </c>
      <c r="AB100" s="185" t="s">
        <v>615</v>
      </c>
      <c r="AC100" s="185" t="s">
        <v>615</v>
      </c>
      <c r="AD100" s="186" t="s">
        <v>872</v>
      </c>
      <c r="AE100" s="186" t="s">
        <v>852</v>
      </c>
      <c r="AF100" s="187">
        <v>7</v>
      </c>
      <c r="AG100" s="187">
        <v>3</v>
      </c>
      <c r="AH100" s="187">
        <v>4</v>
      </c>
      <c r="AI100" s="188">
        <v>1</v>
      </c>
      <c r="AJ100" s="188" t="s">
        <v>617</v>
      </c>
      <c r="AK100" s="187" t="s">
        <v>1737</v>
      </c>
      <c r="AL100" s="87" t="s">
        <v>615</v>
      </c>
      <c r="AM100" s="189"/>
      <c r="AN100" s="187" t="s">
        <v>615</v>
      </c>
      <c r="AO100" s="13" t="s">
        <v>615</v>
      </c>
      <c r="AP100" s="187">
        <v>0</v>
      </c>
      <c r="AQ100" s="187">
        <v>0</v>
      </c>
      <c r="AR100" s="190">
        <v>0</v>
      </c>
      <c r="AS100" s="190">
        <v>0</v>
      </c>
      <c r="AT100" s="190">
        <v>0</v>
      </c>
      <c r="AU100" s="187">
        <v>0</v>
      </c>
      <c r="AV100" s="187">
        <v>0</v>
      </c>
      <c r="AW100" s="191"/>
      <c r="AX100" s="192"/>
      <c r="AY100" s="193">
        <v>42796</v>
      </c>
      <c r="AZ100" s="193">
        <v>42796</v>
      </c>
      <c r="BA100" s="193">
        <v>42796</v>
      </c>
      <c r="BB100" s="194"/>
      <c r="BC100" s="194"/>
      <c r="BD100" s="195"/>
      <c r="BE100" s="195" t="s">
        <v>532</v>
      </c>
      <c r="BF100" s="195"/>
      <c r="BG100" s="195">
        <v>6</v>
      </c>
      <c r="BH100" s="196" t="s">
        <v>547</v>
      </c>
      <c r="BI100" s="197">
        <v>1</v>
      </c>
      <c r="BJ100" s="198"/>
      <c r="BK100" s="199">
        <v>12</v>
      </c>
      <c r="BL100" s="13">
        <v>8</v>
      </c>
      <c r="BM100" s="13">
        <v>4</v>
      </c>
      <c r="BN100" s="13" t="s">
        <v>619</v>
      </c>
      <c r="BO100" s="13" t="s">
        <v>620</v>
      </c>
      <c r="BP100" s="200">
        <v>20</v>
      </c>
      <c r="BQ100" s="201"/>
      <c r="BR100" s="202"/>
      <c r="BS100" s="187">
        <v>1000000000</v>
      </c>
      <c r="BT100" s="203">
        <v>7</v>
      </c>
      <c r="BU100" s="204">
        <v>0.42</v>
      </c>
      <c r="BV100" s="203">
        <v>12</v>
      </c>
      <c r="BW100" s="205">
        <v>0</v>
      </c>
      <c r="BX100" s="205">
        <v>0</v>
      </c>
      <c r="BY100" s="205">
        <v>0</v>
      </c>
      <c r="BZ100" s="203">
        <v>0</v>
      </c>
      <c r="CA100" s="203">
        <v>0</v>
      </c>
      <c r="CB100" s="203">
        <v>19</v>
      </c>
      <c r="CC100" s="204">
        <v>-0.57999999999999996</v>
      </c>
      <c r="CD100" s="203">
        <v>0</v>
      </c>
      <c r="CE100" s="203">
        <v>0</v>
      </c>
      <c r="CF100" s="13">
        <v>0</v>
      </c>
      <c r="CG100" s="206">
        <v>0</v>
      </c>
      <c r="CH100" s="207">
        <v>7</v>
      </c>
      <c r="CI100" s="201"/>
      <c r="CJ100" s="208"/>
      <c r="CK100" s="209" t="s">
        <v>615</v>
      </c>
      <c r="CL100" s="210" t="s">
        <v>615</v>
      </c>
      <c r="CM100" s="207">
        <v>0</v>
      </c>
      <c r="CN100" s="207">
        <v>0</v>
      </c>
      <c r="CO100" s="204">
        <v>0</v>
      </c>
      <c r="CP100" s="204">
        <v>5.6847590099869727</v>
      </c>
      <c r="CQ100" s="211"/>
      <c r="CR100" s="204">
        <v>1</v>
      </c>
      <c r="CS100" s="212">
        <v>42709</v>
      </c>
      <c r="CT100" s="212">
        <v>42780</v>
      </c>
      <c r="CU100" s="213">
        <v>42780</v>
      </c>
      <c r="CV100" s="214">
        <v>42829</v>
      </c>
      <c r="CW100" s="214" t="s">
        <v>615</v>
      </c>
      <c r="CX100" s="214" t="s">
        <v>615</v>
      </c>
      <c r="CY100" s="204">
        <v>9.5031028952215921E-2</v>
      </c>
      <c r="CZ100" s="204">
        <v>0.97959183673469397</v>
      </c>
      <c r="DA100" s="203">
        <v>0</v>
      </c>
      <c r="DB100" s="204">
        <v>0</v>
      </c>
      <c r="DC100" s="204">
        <v>0</v>
      </c>
      <c r="DD100" s="204">
        <v>4.0816326530612242E-2</v>
      </c>
      <c r="DE100" s="204">
        <v>0</v>
      </c>
      <c r="DF100" s="215">
        <v>0.93877551020408168</v>
      </c>
      <c r="DG100" s="13" t="s">
        <v>615</v>
      </c>
      <c r="DH100" s="86">
        <v>98</v>
      </c>
      <c r="DI100" s="86"/>
      <c r="DJ100" s="86">
        <v>46</v>
      </c>
      <c r="DK100" s="86" t="s">
        <v>1483</v>
      </c>
      <c r="DL100" s="86" t="e">
        <v>#N/A</v>
      </c>
      <c r="DM100" s="86">
        <v>27</v>
      </c>
      <c r="DN100" s="86" t="e">
        <v>#N/A</v>
      </c>
      <c r="DO100" s="86">
        <v>47</v>
      </c>
      <c r="DP100" s="86">
        <v>2</v>
      </c>
      <c r="DQ100" s="86">
        <v>49</v>
      </c>
      <c r="DR100" s="168">
        <v>7</v>
      </c>
      <c r="DS100" s="165">
        <v>1</v>
      </c>
      <c r="DT100" s="165">
        <v>1</v>
      </c>
      <c r="DU100" s="165">
        <v>1</v>
      </c>
      <c r="DV100" s="165">
        <v>1</v>
      </c>
      <c r="DW100" s="165">
        <v>1</v>
      </c>
      <c r="DX100" s="165">
        <v>1</v>
      </c>
      <c r="DY100" s="165">
        <v>1</v>
      </c>
      <c r="DZ100" s="165">
        <v>1</v>
      </c>
      <c r="EA100" s="165">
        <v>1</v>
      </c>
      <c r="EB100" s="165">
        <v>7</v>
      </c>
      <c r="EC100" s="165">
        <v>7</v>
      </c>
      <c r="ED100" s="165">
        <v>7</v>
      </c>
      <c r="EE100" s="165">
        <v>1</v>
      </c>
      <c r="EF100" s="165">
        <v>1</v>
      </c>
      <c r="EG100" s="165">
        <v>1</v>
      </c>
      <c r="EH100" s="165">
        <v>1</v>
      </c>
      <c r="EI100" s="165">
        <v>1</v>
      </c>
      <c r="EJ100" s="165">
        <v>1</v>
      </c>
      <c r="EK100" s="165">
        <v>1</v>
      </c>
      <c r="EL100" s="165">
        <v>1</v>
      </c>
      <c r="EM100" s="165">
        <v>1</v>
      </c>
      <c r="EN100" s="165">
        <v>7</v>
      </c>
      <c r="EO100" s="165">
        <v>7</v>
      </c>
      <c r="EP100" s="165">
        <v>1</v>
      </c>
      <c r="EQ100" s="165">
        <v>1</v>
      </c>
      <c r="ER100" s="165">
        <v>1</v>
      </c>
      <c r="ES100" s="165">
        <v>1</v>
      </c>
      <c r="ET100" s="165">
        <v>1</v>
      </c>
      <c r="EU100" s="165">
        <v>1</v>
      </c>
      <c r="EV100" s="165">
        <v>1</v>
      </c>
      <c r="EW100" s="165">
        <v>7</v>
      </c>
      <c r="EX100" s="165">
        <v>7</v>
      </c>
      <c r="EY100" s="165">
        <v>1</v>
      </c>
      <c r="EZ100" s="165">
        <v>1</v>
      </c>
      <c r="FA100" s="165">
        <v>1</v>
      </c>
      <c r="FB100" s="165">
        <v>1</v>
      </c>
      <c r="FC100" s="165">
        <v>1</v>
      </c>
      <c r="FD100" s="165">
        <v>7</v>
      </c>
      <c r="FE100" s="165">
        <v>7</v>
      </c>
      <c r="FF100" s="165">
        <v>1</v>
      </c>
      <c r="FG100" s="165">
        <v>1</v>
      </c>
      <c r="FH100" s="165">
        <v>1</v>
      </c>
      <c r="FI100" s="165">
        <v>1</v>
      </c>
      <c r="FJ100" s="165">
        <v>1</v>
      </c>
      <c r="FK100" s="165">
        <v>1</v>
      </c>
      <c r="FL100" s="165">
        <v>1</v>
      </c>
      <c r="FM100" s="165">
        <v>1</v>
      </c>
      <c r="FN100" s="168">
        <v>13</v>
      </c>
      <c r="FO100" s="168">
        <v>13</v>
      </c>
      <c r="FP100" s="168">
        <v>13</v>
      </c>
      <c r="FQ100" s="168">
        <v>13</v>
      </c>
      <c r="FR100" s="168">
        <v>13</v>
      </c>
      <c r="FS100" s="167">
        <v>13</v>
      </c>
      <c r="FT100" s="167">
        <v>13</v>
      </c>
      <c r="FU100" s="167">
        <v>13</v>
      </c>
      <c r="FV100" s="167">
        <v>13</v>
      </c>
      <c r="FW100" s="167">
        <v>13</v>
      </c>
      <c r="FX100" s="167">
        <v>13</v>
      </c>
      <c r="FY100" s="167">
        <v>13</v>
      </c>
      <c r="FZ100" s="167">
        <v>13</v>
      </c>
      <c r="GA100" s="167">
        <v>13</v>
      </c>
      <c r="GB100" s="167">
        <v>13</v>
      </c>
      <c r="GC100" s="167">
        <v>13</v>
      </c>
      <c r="GD100" s="167">
        <v>13</v>
      </c>
      <c r="GE100" s="167">
        <v>13</v>
      </c>
      <c r="GF100" s="167">
        <v>13</v>
      </c>
      <c r="GG100" s="167">
        <v>13</v>
      </c>
      <c r="GH100" s="167">
        <v>13</v>
      </c>
      <c r="GI100" s="167">
        <v>13</v>
      </c>
      <c r="GJ100" s="167">
        <v>13</v>
      </c>
      <c r="GK100" s="167">
        <v>13</v>
      </c>
      <c r="GL100" s="167">
        <v>13</v>
      </c>
      <c r="GM100" s="167">
        <v>13</v>
      </c>
      <c r="GN100" s="167">
        <v>13</v>
      </c>
      <c r="GO100" s="167">
        <v>13</v>
      </c>
      <c r="GP100" s="167">
        <v>13</v>
      </c>
      <c r="GQ100" s="167">
        <v>13</v>
      </c>
      <c r="GR100" s="167">
        <v>13</v>
      </c>
      <c r="GS100" s="167">
        <v>13</v>
      </c>
      <c r="GT100" s="167">
        <v>13</v>
      </c>
      <c r="GU100" s="167">
        <v>13</v>
      </c>
      <c r="GV100" s="167">
        <v>13</v>
      </c>
      <c r="GW100" s="167">
        <v>13</v>
      </c>
      <c r="GX100" s="167">
        <v>13</v>
      </c>
      <c r="GY100" s="167">
        <v>13</v>
      </c>
      <c r="GZ100" s="167">
        <v>13</v>
      </c>
      <c r="HA100" s="167">
        <v>13</v>
      </c>
      <c r="HB100" s="167">
        <v>13</v>
      </c>
      <c r="HC100" s="167">
        <v>13</v>
      </c>
      <c r="HD100" s="167">
        <v>13</v>
      </c>
      <c r="HE100" s="167">
        <v>13</v>
      </c>
      <c r="HF100" s="167">
        <v>13</v>
      </c>
      <c r="HG100" s="167">
        <v>13</v>
      </c>
      <c r="HH100" s="167">
        <v>13</v>
      </c>
      <c r="HI100" s="167">
        <v>13</v>
      </c>
      <c r="HJ100" s="167">
        <v>13</v>
      </c>
      <c r="HK100" s="167">
        <v>13</v>
      </c>
      <c r="HL100" s="167">
        <v>13</v>
      </c>
      <c r="HM100" s="167">
        <v>13</v>
      </c>
      <c r="HN100" s="167">
        <v>13</v>
      </c>
      <c r="HO100" s="167">
        <v>13</v>
      </c>
      <c r="HP100" s="167">
        <v>13</v>
      </c>
      <c r="HQ100" s="167">
        <v>13</v>
      </c>
      <c r="HR100" s="167">
        <v>13</v>
      </c>
      <c r="HS100" s="167">
        <v>13</v>
      </c>
      <c r="HT100" s="168">
        <v>7</v>
      </c>
      <c r="HU100" s="216"/>
      <c r="HV100" s="168">
        <v>7</v>
      </c>
      <c r="HW100" s="216"/>
      <c r="HX100" s="216"/>
      <c r="HY100" s="216"/>
      <c r="HZ100" s="216"/>
      <c r="IA100" s="216"/>
      <c r="IB100" s="216"/>
      <c r="IC100" s="216"/>
      <c r="ID100" s="216"/>
      <c r="IE100" s="216"/>
      <c r="IF100" s="216"/>
      <c r="IG100" s="216"/>
      <c r="IH100" s="216"/>
      <c r="II100" s="216"/>
      <c r="IJ100" s="216"/>
      <c r="IK100" s="216"/>
      <c r="IL100" s="216"/>
      <c r="IM100" s="216"/>
      <c r="IN100" s="216"/>
      <c r="IO100" s="216"/>
      <c r="IP100" s="216"/>
      <c r="IQ100" s="216"/>
      <c r="IR100" s="216"/>
      <c r="IS100" s="216"/>
      <c r="IT100" s="216"/>
      <c r="IU100" s="216"/>
      <c r="IV100" s="216"/>
      <c r="IW100" s="216"/>
      <c r="IX100" s="216"/>
      <c r="IY100" s="216"/>
      <c r="IZ100" s="216"/>
      <c r="JA100" s="216"/>
      <c r="JB100" s="216"/>
      <c r="JC100" s="216"/>
      <c r="JD100" s="216"/>
      <c r="JE100" s="216"/>
      <c r="JF100" s="216"/>
      <c r="JG100" s="216"/>
      <c r="JH100" s="216"/>
      <c r="JI100" s="216"/>
      <c r="JJ100" s="216"/>
      <c r="JK100" s="216"/>
      <c r="JL100" s="216"/>
      <c r="JM100" s="216"/>
      <c r="JN100" s="216"/>
      <c r="JO100" s="216"/>
      <c r="JP100" s="216"/>
      <c r="JQ100" s="216"/>
      <c r="JR100" s="216"/>
      <c r="JS100" s="216"/>
      <c r="JT100" s="216"/>
      <c r="JU100" s="216"/>
      <c r="JV100" s="216"/>
      <c r="JW100" s="216"/>
      <c r="JX100" s="216"/>
      <c r="JY100" s="216"/>
      <c r="JZ100" s="216"/>
      <c r="KA100" s="216"/>
      <c r="KB100" s="216"/>
      <c r="KC100" s="216"/>
      <c r="KD100" s="216"/>
      <c r="KE100" s="216"/>
      <c r="KF100" s="216"/>
      <c r="KG100" s="216"/>
      <c r="KH100" s="216"/>
      <c r="KI100" s="216"/>
      <c r="KJ100" s="216"/>
      <c r="KK100" s="216"/>
      <c r="KL100" s="216"/>
      <c r="KM100" s="216"/>
      <c r="KN100" s="216"/>
      <c r="KO100" s="216"/>
      <c r="KP100" s="216"/>
      <c r="KQ100" s="216"/>
      <c r="KR100" s="216"/>
      <c r="KS100" s="216"/>
      <c r="KT100" s="216"/>
      <c r="KU100" s="216"/>
      <c r="KV100" s="216"/>
      <c r="KW100" s="216"/>
      <c r="KX100" s="216"/>
      <c r="KY100" s="216"/>
      <c r="KZ100" s="216"/>
      <c r="LA100" s="216"/>
      <c r="LB100" s="216"/>
      <c r="LC100" s="216"/>
      <c r="LD100" s="216"/>
      <c r="LE100" s="216"/>
    </row>
    <row r="101" spans="1:317" x14ac:dyDescent="0.2">
      <c r="A101" s="179" t="s">
        <v>849</v>
      </c>
      <c r="B101" s="180" t="s">
        <v>1000</v>
      </c>
      <c r="C101" s="181"/>
      <c r="D101" s="182">
        <v>0</v>
      </c>
      <c r="E101" s="182">
        <v>0</v>
      </c>
      <c r="F101" s="183" t="s">
        <v>1278</v>
      </c>
      <c r="G101" s="183">
        <v>0</v>
      </c>
      <c r="H101" s="183">
        <v>0</v>
      </c>
      <c r="I101" s="183">
        <v>0</v>
      </c>
      <c r="J101" s="183">
        <v>0</v>
      </c>
      <c r="K101" s="183" t="s">
        <v>1373</v>
      </c>
      <c r="L101" s="183">
        <v>0</v>
      </c>
      <c r="M101" s="183">
        <v>0</v>
      </c>
      <c r="N101" s="183" t="s">
        <v>872</v>
      </c>
      <c r="O101" s="183">
        <v>0</v>
      </c>
      <c r="P101" s="183">
        <v>0</v>
      </c>
      <c r="Q101" s="183"/>
      <c r="R101" s="183"/>
      <c r="S101" s="183"/>
      <c r="T101" s="183"/>
      <c r="U101" s="183"/>
      <c r="V101" s="183">
        <v>0</v>
      </c>
      <c r="W101" s="183">
        <v>0</v>
      </c>
      <c r="X101" s="183">
        <v>0</v>
      </c>
      <c r="Y101" s="184">
        <v>49.75</v>
      </c>
      <c r="Z101" s="184">
        <v>103.66</v>
      </c>
      <c r="AA101" s="184">
        <v>0</v>
      </c>
      <c r="AB101" s="185" t="s">
        <v>615</v>
      </c>
      <c r="AC101" s="185" t="s">
        <v>615</v>
      </c>
      <c r="AD101" s="186" t="s">
        <v>872</v>
      </c>
      <c r="AE101" s="186" t="s">
        <v>852</v>
      </c>
      <c r="AF101" s="187">
        <v>7</v>
      </c>
      <c r="AG101" s="187">
        <v>3</v>
      </c>
      <c r="AH101" s="187">
        <v>4</v>
      </c>
      <c r="AI101" s="188">
        <v>1</v>
      </c>
      <c r="AJ101" s="188" t="s">
        <v>615</v>
      </c>
      <c r="AK101" s="187" t="s">
        <v>1737</v>
      </c>
      <c r="AL101" s="87" t="s">
        <v>615</v>
      </c>
      <c r="AM101" s="189"/>
      <c r="AN101" s="187" t="s">
        <v>615</v>
      </c>
      <c r="AO101" s="13" t="s">
        <v>615</v>
      </c>
      <c r="AP101" s="187">
        <v>0.09</v>
      </c>
      <c r="AQ101" s="187">
        <v>1</v>
      </c>
      <c r="AR101" s="190">
        <v>33.333333333333336</v>
      </c>
      <c r="AS101" s="190">
        <v>83.333333333333343</v>
      </c>
      <c r="AT101" s="190">
        <v>0</v>
      </c>
      <c r="AU101" s="187">
        <v>0</v>
      </c>
      <c r="AV101" s="187">
        <v>0</v>
      </c>
      <c r="AW101" s="191"/>
      <c r="AX101" s="192"/>
      <c r="AY101" s="193">
        <v>42845</v>
      </c>
      <c r="AZ101" s="193">
        <v>42796</v>
      </c>
      <c r="BA101" s="193">
        <v>42796</v>
      </c>
      <c r="BB101" s="194"/>
      <c r="BC101" s="194"/>
      <c r="BD101" s="195"/>
      <c r="BE101" s="195" t="s">
        <v>532</v>
      </c>
      <c r="BF101" s="195"/>
      <c r="BG101" s="195">
        <v>6</v>
      </c>
      <c r="BH101" s="196" t="s">
        <v>547</v>
      </c>
      <c r="BI101" s="197">
        <v>1</v>
      </c>
      <c r="BJ101" s="198"/>
      <c r="BK101" s="199">
        <v>12</v>
      </c>
      <c r="BL101" s="13">
        <v>8</v>
      </c>
      <c r="BM101" s="13">
        <v>4</v>
      </c>
      <c r="BN101" s="13" t="s">
        <v>620</v>
      </c>
      <c r="BO101" s="13" t="s">
        <v>620</v>
      </c>
      <c r="BP101" s="200">
        <v>20</v>
      </c>
      <c r="BQ101" s="201"/>
      <c r="BR101" s="202"/>
      <c r="BS101" s="187">
        <v>1000000000</v>
      </c>
      <c r="BT101" s="203">
        <v>30</v>
      </c>
      <c r="BU101" s="204">
        <v>-1.5</v>
      </c>
      <c r="BV101" s="203">
        <v>0</v>
      </c>
      <c r="BW101" s="205">
        <v>0</v>
      </c>
      <c r="BX101" s="205">
        <v>0</v>
      </c>
      <c r="BY101" s="205">
        <v>0</v>
      </c>
      <c r="BZ101" s="203">
        <v>0</v>
      </c>
      <c r="CA101" s="203">
        <v>0</v>
      </c>
      <c r="CB101" s="203">
        <v>30</v>
      </c>
      <c r="CC101" s="204">
        <v>-1.5</v>
      </c>
      <c r="CD101" s="203">
        <v>0</v>
      </c>
      <c r="CE101" s="203">
        <v>0</v>
      </c>
      <c r="CF101" s="13">
        <v>0</v>
      </c>
      <c r="CG101" s="206">
        <v>0</v>
      </c>
      <c r="CH101" s="207">
        <v>7</v>
      </c>
      <c r="CI101" s="201"/>
      <c r="CJ101" s="208"/>
      <c r="CK101" s="209" t="s">
        <v>615</v>
      </c>
      <c r="CL101" s="210" t="s">
        <v>615</v>
      </c>
      <c r="CM101" s="207">
        <v>0</v>
      </c>
      <c r="CN101" s="207">
        <v>895.5</v>
      </c>
      <c r="CO101" s="204">
        <v>0</v>
      </c>
      <c r="CP101" s="204">
        <v>7.4305240488155055</v>
      </c>
      <c r="CQ101" s="211"/>
      <c r="CR101" s="204">
        <v>1</v>
      </c>
      <c r="CS101" s="212">
        <v>42709</v>
      </c>
      <c r="CT101" s="212">
        <v>42780</v>
      </c>
      <c r="CU101" s="213">
        <v>42780</v>
      </c>
      <c r="CV101" s="214">
        <v>42829</v>
      </c>
      <c r="CW101" s="214" t="s">
        <v>615</v>
      </c>
      <c r="CX101" s="214" t="s">
        <v>615</v>
      </c>
      <c r="CY101" s="204">
        <v>0</v>
      </c>
      <c r="CZ101" s="204">
        <v>0.97959183673469385</v>
      </c>
      <c r="DA101" s="203">
        <v>0</v>
      </c>
      <c r="DB101" s="204">
        <v>0</v>
      </c>
      <c r="DC101" s="204">
        <v>0</v>
      </c>
      <c r="DD101" s="204">
        <v>0</v>
      </c>
      <c r="DE101" s="204">
        <v>0</v>
      </c>
      <c r="DF101" s="215">
        <v>0.97959183673469385</v>
      </c>
      <c r="DG101" s="13" t="s">
        <v>615</v>
      </c>
      <c r="DH101" s="86">
        <v>99</v>
      </c>
      <c r="DI101" s="86"/>
      <c r="DJ101" s="86">
        <v>45</v>
      </c>
      <c r="DK101" s="86" t="s">
        <v>1452</v>
      </c>
      <c r="DL101" s="86">
        <v>8</v>
      </c>
      <c r="DM101" s="86">
        <v>26</v>
      </c>
      <c r="DN101" s="86" t="e">
        <v>#N/A</v>
      </c>
      <c r="DO101" s="86">
        <v>46</v>
      </c>
      <c r="DP101" s="86">
        <v>2</v>
      </c>
      <c r="DQ101" s="86">
        <v>49</v>
      </c>
      <c r="DR101" s="146">
        <v>30</v>
      </c>
      <c r="DS101" s="146">
        <v>2</v>
      </c>
      <c r="DT101" s="146">
        <v>2</v>
      </c>
      <c r="DU101" s="146">
        <v>2</v>
      </c>
      <c r="DV101" s="146">
        <v>2</v>
      </c>
      <c r="DW101" s="146">
        <v>2</v>
      </c>
      <c r="DX101" s="146">
        <v>30</v>
      </c>
      <c r="DY101" s="146">
        <v>30</v>
      </c>
      <c r="DZ101" s="146">
        <v>30</v>
      </c>
      <c r="EA101" s="161">
        <v>30</v>
      </c>
      <c r="EB101" s="161">
        <v>30</v>
      </c>
      <c r="EC101" s="161">
        <v>30</v>
      </c>
      <c r="ED101" s="161">
        <v>30</v>
      </c>
      <c r="EE101" s="140">
        <v>2</v>
      </c>
      <c r="EF101" s="140">
        <v>2</v>
      </c>
      <c r="EG101" s="140">
        <v>2</v>
      </c>
      <c r="EH101" s="140">
        <v>2</v>
      </c>
      <c r="EI101" s="140">
        <v>2</v>
      </c>
      <c r="EJ101" s="161">
        <v>30</v>
      </c>
      <c r="EK101" s="161">
        <v>30</v>
      </c>
      <c r="EL101" s="140">
        <v>2</v>
      </c>
      <c r="EM101" s="161">
        <v>30</v>
      </c>
      <c r="EN101" s="161">
        <v>30</v>
      </c>
      <c r="EO101" s="161">
        <v>30</v>
      </c>
      <c r="EP101" s="140">
        <v>2</v>
      </c>
      <c r="EQ101" s="140">
        <v>2</v>
      </c>
      <c r="ER101" s="140">
        <v>2</v>
      </c>
      <c r="ES101" s="140">
        <v>2</v>
      </c>
      <c r="ET101" s="140">
        <v>2</v>
      </c>
      <c r="EU101" s="140">
        <v>2</v>
      </c>
      <c r="EV101" s="140">
        <v>2</v>
      </c>
      <c r="EW101" s="140">
        <v>2</v>
      </c>
      <c r="EX101" s="161">
        <v>30</v>
      </c>
      <c r="EY101" s="140">
        <v>2</v>
      </c>
      <c r="EZ101" s="161">
        <v>30</v>
      </c>
      <c r="FA101" s="161">
        <v>30</v>
      </c>
      <c r="FB101" s="161">
        <v>30</v>
      </c>
      <c r="FC101" s="161">
        <v>30</v>
      </c>
      <c r="FD101" s="161">
        <v>30</v>
      </c>
      <c r="FE101" s="161">
        <v>30</v>
      </c>
      <c r="FF101" s="140">
        <v>2</v>
      </c>
      <c r="FG101" s="140">
        <v>2</v>
      </c>
      <c r="FH101" s="140">
        <v>2</v>
      </c>
      <c r="FI101" s="140">
        <v>2</v>
      </c>
      <c r="FJ101" s="140">
        <v>2</v>
      </c>
      <c r="FK101" s="140">
        <v>2</v>
      </c>
      <c r="FL101" s="140">
        <v>2</v>
      </c>
      <c r="FM101" s="140">
        <v>2</v>
      </c>
      <c r="FN101" s="161">
        <v>30</v>
      </c>
      <c r="FO101" s="161">
        <v>30</v>
      </c>
      <c r="FP101" s="161">
        <v>30</v>
      </c>
      <c r="FQ101" s="161">
        <v>30</v>
      </c>
      <c r="FR101" s="161">
        <v>30</v>
      </c>
      <c r="FS101" s="161">
        <v>30</v>
      </c>
      <c r="FT101" s="161">
        <v>30</v>
      </c>
      <c r="FU101" s="161">
        <v>30</v>
      </c>
      <c r="FV101" s="161">
        <v>30</v>
      </c>
      <c r="FW101" s="161">
        <v>30</v>
      </c>
      <c r="FX101" s="161">
        <v>30</v>
      </c>
      <c r="FY101" s="161">
        <v>30</v>
      </c>
      <c r="FZ101" s="161">
        <v>30</v>
      </c>
      <c r="GA101" s="161">
        <v>30</v>
      </c>
      <c r="GB101" s="161">
        <v>30</v>
      </c>
      <c r="GC101" s="161">
        <v>30</v>
      </c>
      <c r="GD101" s="161">
        <v>30</v>
      </c>
      <c r="GE101" s="161">
        <v>30</v>
      </c>
      <c r="GF101" s="161">
        <v>30</v>
      </c>
      <c r="GG101" s="161">
        <v>30</v>
      </c>
      <c r="GH101" s="161">
        <v>30</v>
      </c>
      <c r="GI101" s="161">
        <v>30</v>
      </c>
      <c r="GJ101" s="161">
        <v>30</v>
      </c>
      <c r="GK101" s="161">
        <v>30</v>
      </c>
      <c r="GL101" s="161">
        <v>30</v>
      </c>
      <c r="GM101" s="161">
        <v>30</v>
      </c>
      <c r="GN101" s="161">
        <v>30</v>
      </c>
      <c r="GO101" s="161">
        <v>30</v>
      </c>
      <c r="GP101" s="161">
        <v>30</v>
      </c>
      <c r="GQ101" s="161">
        <v>30</v>
      </c>
      <c r="GR101" s="161">
        <v>30</v>
      </c>
      <c r="GS101" s="161">
        <v>30</v>
      </c>
      <c r="GT101" s="161">
        <v>30</v>
      </c>
      <c r="GU101" s="161">
        <v>30</v>
      </c>
      <c r="GV101" s="161">
        <v>30</v>
      </c>
      <c r="GW101" s="161">
        <v>30</v>
      </c>
      <c r="GX101" s="161">
        <v>30</v>
      </c>
      <c r="GY101" s="161">
        <v>30</v>
      </c>
      <c r="GZ101" s="161">
        <v>30</v>
      </c>
      <c r="HA101" s="161">
        <v>30</v>
      </c>
      <c r="HB101" s="161">
        <v>30</v>
      </c>
      <c r="HC101" s="161">
        <v>30</v>
      </c>
      <c r="HD101" s="161">
        <v>30</v>
      </c>
      <c r="HE101" s="161">
        <v>30</v>
      </c>
      <c r="HF101" s="161">
        <v>30</v>
      </c>
      <c r="HG101" s="161">
        <v>30</v>
      </c>
      <c r="HH101" s="161">
        <v>30</v>
      </c>
      <c r="HI101" s="161">
        <v>30</v>
      </c>
      <c r="HJ101" s="161">
        <v>30</v>
      </c>
      <c r="HK101" s="161">
        <v>30</v>
      </c>
      <c r="HL101" s="161">
        <v>30</v>
      </c>
      <c r="HM101" s="161">
        <v>30</v>
      </c>
      <c r="HN101" s="161">
        <v>30</v>
      </c>
      <c r="HO101" s="161">
        <v>30</v>
      </c>
      <c r="HP101" s="161">
        <v>30</v>
      </c>
      <c r="HQ101" s="161">
        <v>30</v>
      </c>
      <c r="HR101" s="161">
        <v>30</v>
      </c>
      <c r="HS101" s="161">
        <v>30</v>
      </c>
      <c r="HT101" s="161">
        <v>30</v>
      </c>
      <c r="HU101" s="151"/>
      <c r="HV101" s="161">
        <v>30</v>
      </c>
      <c r="HW101" s="151"/>
      <c r="HX101" s="151"/>
      <c r="HY101" s="151"/>
      <c r="HZ101" s="151"/>
      <c r="IA101" s="151"/>
      <c r="IB101" s="151"/>
      <c r="IC101" s="151"/>
      <c r="ID101" s="151"/>
      <c r="IE101" s="151"/>
      <c r="IF101" s="151"/>
      <c r="IG101" s="151"/>
      <c r="IH101" s="151"/>
      <c r="II101" s="151"/>
      <c r="IJ101" s="151"/>
      <c r="IK101" s="151"/>
      <c r="IL101" s="151"/>
      <c r="IM101" s="151"/>
      <c r="IN101" s="151"/>
      <c r="IO101" s="151"/>
      <c r="IP101" s="151"/>
      <c r="IQ101" s="151"/>
      <c r="IR101" s="151"/>
      <c r="IS101" s="151"/>
      <c r="IT101" s="151"/>
      <c r="IU101" s="151"/>
      <c r="IV101" s="151"/>
      <c r="IW101" s="151"/>
      <c r="IX101" s="151"/>
      <c r="IY101" s="151"/>
      <c r="IZ101" s="151"/>
      <c r="JA101" s="151"/>
      <c r="JB101" s="151"/>
      <c r="JC101" s="151"/>
      <c r="JD101" s="151"/>
      <c r="JE101" s="151"/>
      <c r="JF101" s="151"/>
      <c r="JG101" s="151"/>
      <c r="JH101" s="151"/>
      <c r="JI101" s="151"/>
      <c r="JJ101" s="151"/>
      <c r="JK101" s="151"/>
      <c r="JL101" s="151"/>
      <c r="JM101" s="151"/>
      <c r="JN101" s="151"/>
      <c r="JO101" s="151"/>
      <c r="JP101" s="151"/>
      <c r="JQ101" s="151"/>
      <c r="JR101" s="151"/>
      <c r="JS101" s="151"/>
      <c r="JT101" s="151"/>
      <c r="JU101" s="151"/>
      <c r="JV101" s="151"/>
      <c r="JW101" s="151"/>
      <c r="JX101" s="151"/>
      <c r="JY101" s="151"/>
      <c r="JZ101" s="151"/>
      <c r="KA101" s="151"/>
      <c r="KB101" s="151"/>
      <c r="KC101" s="151"/>
      <c r="KD101" s="151"/>
      <c r="KE101" s="151"/>
      <c r="KF101" s="151"/>
      <c r="KG101" s="151"/>
      <c r="KH101" s="151"/>
      <c r="KI101" s="151"/>
      <c r="KJ101" s="151"/>
      <c r="KK101" s="151"/>
      <c r="KL101" s="151"/>
      <c r="KM101" s="151"/>
      <c r="KN101" s="151"/>
      <c r="KO101" s="151"/>
      <c r="KP101" s="151"/>
      <c r="KQ101" s="151"/>
      <c r="KR101" s="151"/>
      <c r="KS101" s="151"/>
      <c r="KT101" s="151"/>
      <c r="KU101" s="151"/>
      <c r="KV101" s="151"/>
      <c r="KW101" s="151"/>
      <c r="KX101" s="151"/>
      <c r="KY101" s="151"/>
      <c r="KZ101" s="151"/>
      <c r="LA101" s="151"/>
      <c r="LB101" s="151"/>
      <c r="LC101" s="151"/>
      <c r="LD101" s="151"/>
      <c r="LE101" s="151"/>
    </row>
    <row r="102" spans="1:317" x14ac:dyDescent="0.2">
      <c r="A102" s="179" t="s">
        <v>849</v>
      </c>
      <c r="B102" s="180" t="s">
        <v>1001</v>
      </c>
      <c r="C102" s="181"/>
      <c r="D102" s="182">
        <v>0</v>
      </c>
      <c r="E102" s="182">
        <v>0</v>
      </c>
      <c r="F102" s="183" t="s">
        <v>1278</v>
      </c>
      <c r="G102" s="183">
        <v>0</v>
      </c>
      <c r="H102" s="183">
        <v>0</v>
      </c>
      <c r="I102" s="183">
        <v>0</v>
      </c>
      <c r="J102" s="183">
        <v>0</v>
      </c>
      <c r="K102" s="183" t="s">
        <v>1373</v>
      </c>
      <c r="L102" s="183">
        <v>0</v>
      </c>
      <c r="M102" s="183">
        <v>0</v>
      </c>
      <c r="N102" s="183" t="s">
        <v>872</v>
      </c>
      <c r="O102" s="183">
        <v>0</v>
      </c>
      <c r="P102" s="183">
        <v>0</v>
      </c>
      <c r="Q102" s="183"/>
      <c r="R102" s="183"/>
      <c r="S102" s="183"/>
      <c r="T102" s="183"/>
      <c r="U102" s="183"/>
      <c r="V102" s="183">
        <v>0</v>
      </c>
      <c r="W102" s="183">
        <v>0</v>
      </c>
      <c r="X102" s="183">
        <v>0</v>
      </c>
      <c r="Y102" s="184">
        <v>47.61</v>
      </c>
      <c r="Z102" s="184">
        <v>103.66</v>
      </c>
      <c r="AA102" s="184">
        <v>0</v>
      </c>
      <c r="AB102" s="185" t="s">
        <v>615</v>
      </c>
      <c r="AC102" s="185" t="s">
        <v>615</v>
      </c>
      <c r="AD102" s="186" t="s">
        <v>872</v>
      </c>
      <c r="AE102" s="186" t="s">
        <v>852</v>
      </c>
      <c r="AF102" s="187">
        <v>7</v>
      </c>
      <c r="AG102" s="187">
        <v>3</v>
      </c>
      <c r="AH102" s="187">
        <v>4</v>
      </c>
      <c r="AI102" s="188">
        <v>1</v>
      </c>
      <c r="AJ102" s="188" t="s">
        <v>615</v>
      </c>
      <c r="AK102" s="187" t="s">
        <v>1737</v>
      </c>
      <c r="AL102" s="87" t="s">
        <v>615</v>
      </c>
      <c r="AM102" s="189"/>
      <c r="AN102" s="187" t="s">
        <v>615</v>
      </c>
      <c r="AO102" s="13" t="s">
        <v>615</v>
      </c>
      <c r="AP102" s="187">
        <v>0</v>
      </c>
      <c r="AQ102" s="187">
        <v>0</v>
      </c>
      <c r="AR102" s="190">
        <v>0</v>
      </c>
      <c r="AS102" s="190">
        <v>0</v>
      </c>
      <c r="AT102" s="190">
        <v>0</v>
      </c>
      <c r="AU102" s="187">
        <v>0</v>
      </c>
      <c r="AV102" s="187">
        <v>0</v>
      </c>
      <c r="AW102" s="191"/>
      <c r="AX102" s="192"/>
      <c r="AY102" s="193">
        <v>42845</v>
      </c>
      <c r="AZ102" s="193"/>
      <c r="BA102" s="193"/>
      <c r="BB102" s="194"/>
      <c r="BC102" s="194"/>
      <c r="BD102" s="195"/>
      <c r="BE102" s="195" t="s">
        <v>532</v>
      </c>
      <c r="BF102" s="195"/>
      <c r="BG102" s="195">
        <v>6</v>
      </c>
      <c r="BH102" s="196" t="s">
        <v>547</v>
      </c>
      <c r="BI102" s="197">
        <v>1</v>
      </c>
      <c r="BJ102" s="198"/>
      <c r="BK102" s="199">
        <v>6</v>
      </c>
      <c r="BL102" s="13">
        <v>4</v>
      </c>
      <c r="BM102" s="13">
        <v>2</v>
      </c>
      <c r="BN102" s="13" t="s">
        <v>620</v>
      </c>
      <c r="BO102" s="13" t="s">
        <v>620</v>
      </c>
      <c r="BP102" s="200">
        <v>0</v>
      </c>
      <c r="BQ102" s="201"/>
      <c r="BR102" s="202"/>
      <c r="BS102" s="187">
        <v>1000000000</v>
      </c>
      <c r="BT102" s="203">
        <v>10</v>
      </c>
      <c r="BU102" s="204">
        <v>-0.67</v>
      </c>
      <c r="BV102" s="203">
        <v>0</v>
      </c>
      <c r="BW102" s="205">
        <v>0</v>
      </c>
      <c r="BX102" s="205">
        <v>0</v>
      </c>
      <c r="BY102" s="205">
        <v>0</v>
      </c>
      <c r="BZ102" s="203">
        <v>0</v>
      </c>
      <c r="CA102" s="203">
        <v>0</v>
      </c>
      <c r="CB102" s="203">
        <v>10</v>
      </c>
      <c r="CC102" s="204">
        <v>-0.67</v>
      </c>
      <c r="CD102" s="203">
        <v>0</v>
      </c>
      <c r="CE102" s="203">
        <v>0</v>
      </c>
      <c r="CF102" s="13">
        <v>0</v>
      </c>
      <c r="CG102" s="206">
        <v>0</v>
      </c>
      <c r="CH102" s="207">
        <v>3</v>
      </c>
      <c r="CI102" s="201"/>
      <c r="CJ102" s="208"/>
      <c r="CK102" s="209" t="s">
        <v>615</v>
      </c>
      <c r="CL102" s="210" t="s">
        <v>615</v>
      </c>
      <c r="CM102" s="207">
        <v>0</v>
      </c>
      <c r="CN102" s="207">
        <v>190.44</v>
      </c>
      <c r="CO102" s="204">
        <v>0</v>
      </c>
      <c r="CP102" s="204">
        <v>8.0727338194256912</v>
      </c>
      <c r="CQ102" s="211"/>
      <c r="CR102" s="204">
        <v>1</v>
      </c>
      <c r="CS102" s="212">
        <v>42709</v>
      </c>
      <c r="CT102" s="212">
        <v>42780</v>
      </c>
      <c r="CU102" s="213">
        <v>42780</v>
      </c>
      <c r="CV102" s="214">
        <v>42829</v>
      </c>
      <c r="CW102" s="214" t="s">
        <v>615</v>
      </c>
      <c r="CX102" s="214" t="s">
        <v>615</v>
      </c>
      <c r="CY102" s="204">
        <v>0</v>
      </c>
      <c r="CZ102" s="204">
        <v>0.97959183673469385</v>
      </c>
      <c r="DA102" s="203">
        <v>0</v>
      </c>
      <c r="DB102" s="204">
        <v>0</v>
      </c>
      <c r="DC102" s="204">
        <v>0</v>
      </c>
      <c r="DD102" s="204">
        <v>0</v>
      </c>
      <c r="DE102" s="204">
        <v>0</v>
      </c>
      <c r="DF102" s="215">
        <v>0.97959183673469385</v>
      </c>
      <c r="DG102" s="13" t="s">
        <v>615</v>
      </c>
      <c r="DH102" s="86">
        <v>100</v>
      </c>
      <c r="DI102" s="86"/>
      <c r="DJ102" s="86">
        <v>44</v>
      </c>
      <c r="DK102" s="86" t="s">
        <v>1482</v>
      </c>
      <c r="DL102" s="86" t="e">
        <v>#N/A</v>
      </c>
      <c r="DM102" s="86">
        <v>25</v>
      </c>
      <c r="DN102" s="86" t="e">
        <v>#N/A</v>
      </c>
      <c r="DO102" s="86">
        <v>45</v>
      </c>
      <c r="DP102" s="86">
        <v>2</v>
      </c>
      <c r="DQ102" s="86">
        <v>49</v>
      </c>
      <c r="DR102" s="165">
        <v>10</v>
      </c>
      <c r="DS102" s="165">
        <v>10</v>
      </c>
      <c r="DT102" s="165">
        <v>10</v>
      </c>
      <c r="DU102" s="165">
        <v>10</v>
      </c>
      <c r="DV102" s="165">
        <v>10</v>
      </c>
      <c r="DW102" s="165">
        <v>10</v>
      </c>
      <c r="DX102" s="165">
        <v>10</v>
      </c>
      <c r="DY102" s="165">
        <v>10</v>
      </c>
      <c r="DZ102" s="165">
        <v>10</v>
      </c>
      <c r="EA102" s="152">
        <v>10</v>
      </c>
      <c r="EB102" s="152">
        <v>10</v>
      </c>
      <c r="EC102" s="152">
        <v>10</v>
      </c>
      <c r="ED102" s="152">
        <v>10</v>
      </c>
      <c r="EE102" s="152">
        <v>10</v>
      </c>
      <c r="EF102" s="152">
        <v>10</v>
      </c>
      <c r="EG102" s="152">
        <v>10</v>
      </c>
      <c r="EH102" s="152">
        <v>10</v>
      </c>
      <c r="EI102" s="152">
        <v>2</v>
      </c>
      <c r="EJ102" s="152">
        <v>10</v>
      </c>
      <c r="EK102" s="152">
        <v>10</v>
      </c>
      <c r="EL102" s="152">
        <v>10</v>
      </c>
      <c r="EM102" s="152">
        <v>10</v>
      </c>
      <c r="EN102" s="152">
        <v>10</v>
      </c>
      <c r="EO102" s="152">
        <v>10</v>
      </c>
      <c r="EP102" s="152">
        <v>10</v>
      </c>
      <c r="EQ102" s="152">
        <v>10</v>
      </c>
      <c r="ER102" s="152">
        <v>10</v>
      </c>
      <c r="ES102" s="152">
        <v>10</v>
      </c>
      <c r="ET102" s="152">
        <v>10</v>
      </c>
      <c r="EU102" s="152">
        <v>10</v>
      </c>
      <c r="EV102" s="152">
        <v>2</v>
      </c>
      <c r="EW102" s="152">
        <v>2</v>
      </c>
      <c r="EX102" s="152">
        <v>10</v>
      </c>
      <c r="EY102" s="152">
        <v>10</v>
      </c>
      <c r="EZ102" s="152">
        <v>10</v>
      </c>
      <c r="FA102" s="152">
        <v>10</v>
      </c>
      <c r="FB102" s="152">
        <v>10</v>
      </c>
      <c r="FC102" s="152">
        <v>10</v>
      </c>
      <c r="FD102" s="152">
        <v>10</v>
      </c>
      <c r="FE102" s="152">
        <v>10</v>
      </c>
      <c r="FF102" s="152">
        <v>2</v>
      </c>
      <c r="FG102" s="152">
        <v>2</v>
      </c>
      <c r="FH102" s="152">
        <v>2</v>
      </c>
      <c r="FI102" s="152">
        <v>2</v>
      </c>
      <c r="FJ102" s="152">
        <v>2</v>
      </c>
      <c r="FK102" s="152">
        <v>2</v>
      </c>
      <c r="FL102" s="152">
        <v>2</v>
      </c>
      <c r="FM102" s="152">
        <v>2</v>
      </c>
      <c r="FN102" s="152">
        <v>10</v>
      </c>
      <c r="FO102" s="152">
        <v>10</v>
      </c>
      <c r="FP102" s="152">
        <v>10</v>
      </c>
      <c r="FQ102" s="152">
        <v>10</v>
      </c>
      <c r="FR102" s="152">
        <v>10</v>
      </c>
      <c r="FS102" s="167">
        <v>10</v>
      </c>
      <c r="FT102" s="167">
        <v>10</v>
      </c>
      <c r="FU102" s="167">
        <v>10</v>
      </c>
      <c r="FV102" s="167">
        <v>10</v>
      </c>
      <c r="FW102" s="167">
        <v>10</v>
      </c>
      <c r="FX102" s="167">
        <v>10</v>
      </c>
      <c r="FY102" s="167">
        <v>10</v>
      </c>
      <c r="FZ102" s="167">
        <v>10</v>
      </c>
      <c r="GA102" s="167">
        <v>10</v>
      </c>
      <c r="GB102" s="167">
        <v>10</v>
      </c>
      <c r="GC102" s="167">
        <v>10</v>
      </c>
      <c r="GD102" s="167">
        <v>10</v>
      </c>
      <c r="GE102" s="167">
        <v>10</v>
      </c>
      <c r="GF102" s="167">
        <v>10</v>
      </c>
      <c r="GG102" s="167">
        <v>10</v>
      </c>
      <c r="GH102" s="167">
        <v>10</v>
      </c>
      <c r="GI102" s="167">
        <v>10</v>
      </c>
      <c r="GJ102" s="167">
        <v>10</v>
      </c>
      <c r="GK102" s="167">
        <v>10</v>
      </c>
      <c r="GL102" s="167">
        <v>10</v>
      </c>
      <c r="GM102" s="167">
        <v>10</v>
      </c>
      <c r="GN102" s="167">
        <v>10</v>
      </c>
      <c r="GO102" s="167">
        <v>10</v>
      </c>
      <c r="GP102" s="167">
        <v>10</v>
      </c>
      <c r="GQ102" s="167">
        <v>10</v>
      </c>
      <c r="GR102" s="167">
        <v>10</v>
      </c>
      <c r="GS102" s="167">
        <v>10</v>
      </c>
      <c r="GT102" s="167">
        <v>10</v>
      </c>
      <c r="GU102" s="167">
        <v>10</v>
      </c>
      <c r="GV102" s="167">
        <v>10</v>
      </c>
      <c r="GW102" s="167">
        <v>10</v>
      </c>
      <c r="GX102" s="167">
        <v>10</v>
      </c>
      <c r="GY102" s="167">
        <v>10</v>
      </c>
      <c r="GZ102" s="167">
        <v>10</v>
      </c>
      <c r="HA102" s="167">
        <v>10</v>
      </c>
      <c r="HB102" s="167">
        <v>10</v>
      </c>
      <c r="HC102" s="167">
        <v>10</v>
      </c>
      <c r="HD102" s="167">
        <v>10</v>
      </c>
      <c r="HE102" s="167">
        <v>10</v>
      </c>
      <c r="HF102" s="167">
        <v>10</v>
      </c>
      <c r="HG102" s="167">
        <v>10</v>
      </c>
      <c r="HH102" s="167">
        <v>10</v>
      </c>
      <c r="HI102" s="167">
        <v>10</v>
      </c>
      <c r="HJ102" s="167">
        <v>10</v>
      </c>
      <c r="HK102" s="167">
        <v>10</v>
      </c>
      <c r="HL102" s="167">
        <v>10</v>
      </c>
      <c r="HM102" s="167">
        <v>10</v>
      </c>
      <c r="HN102" s="167">
        <v>10</v>
      </c>
      <c r="HO102" s="167">
        <v>10</v>
      </c>
      <c r="HP102" s="167">
        <v>10</v>
      </c>
      <c r="HQ102" s="167">
        <v>10</v>
      </c>
      <c r="HR102" s="167">
        <v>10</v>
      </c>
      <c r="HS102" s="167">
        <v>10</v>
      </c>
      <c r="HT102" s="167">
        <v>10</v>
      </c>
      <c r="HU102" s="216"/>
      <c r="HV102" s="167">
        <v>10</v>
      </c>
      <c r="HW102" s="216"/>
      <c r="HX102" s="216"/>
      <c r="HY102" s="216"/>
      <c r="HZ102" s="216"/>
      <c r="IA102" s="216"/>
      <c r="IB102" s="216"/>
      <c r="IC102" s="216"/>
      <c r="ID102" s="216"/>
      <c r="IE102" s="216"/>
      <c r="IF102" s="216"/>
      <c r="IG102" s="216"/>
      <c r="IH102" s="216"/>
      <c r="II102" s="216"/>
      <c r="IJ102" s="216"/>
      <c r="IK102" s="216"/>
      <c r="IL102" s="216"/>
      <c r="IM102" s="216"/>
      <c r="IN102" s="216"/>
      <c r="IO102" s="216"/>
      <c r="IP102" s="216"/>
      <c r="IQ102" s="216"/>
      <c r="IR102" s="216"/>
      <c r="IS102" s="216"/>
      <c r="IT102" s="216"/>
      <c r="IU102" s="216"/>
      <c r="IV102" s="216"/>
      <c r="IW102" s="216"/>
      <c r="IX102" s="216"/>
      <c r="IY102" s="216"/>
      <c r="IZ102" s="216"/>
      <c r="JA102" s="216"/>
      <c r="JB102" s="216"/>
      <c r="JC102" s="216"/>
      <c r="JD102" s="216"/>
      <c r="JE102" s="216"/>
      <c r="JF102" s="216"/>
      <c r="JG102" s="216"/>
      <c r="JH102" s="216"/>
      <c r="JI102" s="216"/>
      <c r="JJ102" s="216"/>
      <c r="JK102" s="216"/>
      <c r="JL102" s="216"/>
      <c r="JM102" s="216"/>
      <c r="JN102" s="216"/>
      <c r="JO102" s="216"/>
      <c r="JP102" s="216"/>
      <c r="JQ102" s="216"/>
      <c r="JR102" s="216"/>
      <c r="JS102" s="216"/>
      <c r="JT102" s="216"/>
      <c r="JU102" s="216"/>
      <c r="JV102" s="216"/>
      <c r="JW102" s="216"/>
      <c r="JX102" s="216"/>
      <c r="JY102" s="216"/>
      <c r="JZ102" s="216"/>
      <c r="KA102" s="216"/>
      <c r="KB102" s="216"/>
      <c r="KC102" s="216"/>
      <c r="KD102" s="216"/>
      <c r="KE102" s="216"/>
      <c r="KF102" s="216"/>
      <c r="KG102" s="216"/>
      <c r="KH102" s="216"/>
      <c r="KI102" s="216"/>
      <c r="KJ102" s="216"/>
      <c r="KK102" s="216"/>
      <c r="KL102" s="216"/>
      <c r="KM102" s="216"/>
      <c r="KN102" s="216"/>
      <c r="KO102" s="216"/>
      <c r="KP102" s="216"/>
      <c r="KQ102" s="216"/>
      <c r="KR102" s="216"/>
      <c r="KS102" s="216"/>
      <c r="KT102" s="216"/>
      <c r="KU102" s="216"/>
      <c r="KV102" s="216"/>
      <c r="KW102" s="216"/>
      <c r="KX102" s="216"/>
      <c r="KY102" s="216"/>
      <c r="KZ102" s="216"/>
      <c r="LA102" s="216"/>
      <c r="LB102" s="216"/>
      <c r="LC102" s="216"/>
      <c r="LD102" s="216"/>
      <c r="LE102" s="216"/>
    </row>
    <row r="103" spans="1:317" x14ac:dyDescent="0.2">
      <c r="A103" s="179" t="s">
        <v>849</v>
      </c>
      <c r="B103" s="180" t="s">
        <v>1002</v>
      </c>
      <c r="C103" s="181"/>
      <c r="D103" s="182">
        <v>0</v>
      </c>
      <c r="E103" s="182">
        <v>0</v>
      </c>
      <c r="F103" s="183" t="s">
        <v>1279</v>
      </c>
      <c r="G103" s="183">
        <v>0</v>
      </c>
      <c r="H103" s="183">
        <v>0</v>
      </c>
      <c r="I103" s="183">
        <v>0</v>
      </c>
      <c r="J103" s="183">
        <v>0</v>
      </c>
      <c r="K103" s="183" t="s">
        <v>1382</v>
      </c>
      <c r="L103" s="183">
        <v>0</v>
      </c>
      <c r="M103" s="183">
        <v>0</v>
      </c>
      <c r="N103" s="183" t="s">
        <v>872</v>
      </c>
      <c r="O103" s="183">
        <v>0</v>
      </c>
      <c r="P103" s="183">
        <v>0</v>
      </c>
      <c r="Q103" s="183"/>
      <c r="R103" s="183"/>
      <c r="S103" s="183"/>
      <c r="T103" s="183"/>
      <c r="U103" s="183"/>
      <c r="V103" s="183">
        <v>0</v>
      </c>
      <c r="W103" s="183">
        <v>0</v>
      </c>
      <c r="X103" s="183">
        <v>0</v>
      </c>
      <c r="Y103" s="184">
        <v>0</v>
      </c>
      <c r="Z103" s="184">
        <v>168.48</v>
      </c>
      <c r="AA103" s="184">
        <v>0</v>
      </c>
      <c r="AB103" s="185" t="s">
        <v>615</v>
      </c>
      <c r="AC103" s="185" t="s">
        <v>615</v>
      </c>
      <c r="AD103" s="186" t="s">
        <v>872</v>
      </c>
      <c r="AE103" s="186" t="s">
        <v>852</v>
      </c>
      <c r="AF103" s="187">
        <v>7</v>
      </c>
      <c r="AG103" s="187">
        <v>3</v>
      </c>
      <c r="AH103" s="187">
        <v>4</v>
      </c>
      <c r="AI103" s="188">
        <v>1</v>
      </c>
      <c r="AJ103" s="188" t="s">
        <v>615</v>
      </c>
      <c r="AK103" s="187" t="s">
        <v>1736</v>
      </c>
      <c r="AL103" s="87" t="s">
        <v>615</v>
      </c>
      <c r="AM103" s="189"/>
      <c r="AN103" s="187" t="s">
        <v>615</v>
      </c>
      <c r="AO103" s="13" t="s">
        <v>615</v>
      </c>
      <c r="AP103" s="187">
        <v>0</v>
      </c>
      <c r="AQ103" s="187">
        <v>0</v>
      </c>
      <c r="AR103" s="190">
        <v>0</v>
      </c>
      <c r="AS103" s="190">
        <v>0</v>
      </c>
      <c r="AT103" s="190">
        <v>0</v>
      </c>
      <c r="AU103" s="187">
        <v>0</v>
      </c>
      <c r="AV103" s="187">
        <v>0</v>
      </c>
      <c r="AW103" s="191"/>
      <c r="AX103" s="192"/>
      <c r="AY103" s="193">
        <v>42666</v>
      </c>
      <c r="AZ103" s="193"/>
      <c r="BA103" s="193"/>
      <c r="BB103" s="194"/>
      <c r="BC103" s="194"/>
      <c r="BD103" s="195"/>
      <c r="BE103" s="195" t="s">
        <v>532</v>
      </c>
      <c r="BF103" s="195"/>
      <c r="BG103" s="195">
        <v>15</v>
      </c>
      <c r="BH103" s="196" t="s">
        <v>547</v>
      </c>
      <c r="BI103" s="197">
        <v>1</v>
      </c>
      <c r="BJ103" s="198"/>
      <c r="BK103" s="199">
        <v>0</v>
      </c>
      <c r="BL103" s="13">
        <v>0</v>
      </c>
      <c r="BM103" s="13">
        <v>0</v>
      </c>
      <c r="BN103" s="13" t="s">
        <v>616</v>
      </c>
      <c r="BO103" s="13" t="s">
        <v>616</v>
      </c>
      <c r="BP103" s="200">
        <v>15</v>
      </c>
      <c r="BQ103" s="201"/>
      <c r="BR103" s="202"/>
      <c r="BS103" s="187">
        <v>1000000000</v>
      </c>
      <c r="BT103" s="203">
        <v>0</v>
      </c>
      <c r="BU103" s="204">
        <v>0</v>
      </c>
      <c r="BV103" s="203">
        <v>0</v>
      </c>
      <c r="BW103" s="205">
        <v>0</v>
      </c>
      <c r="BX103" s="205">
        <v>0</v>
      </c>
      <c r="BY103" s="205">
        <v>0</v>
      </c>
      <c r="BZ103" s="203">
        <v>0</v>
      </c>
      <c r="CA103" s="203">
        <v>0</v>
      </c>
      <c r="CB103" s="203">
        <v>0</v>
      </c>
      <c r="CC103" s="204">
        <v>0</v>
      </c>
      <c r="CD103" s="203">
        <v>0</v>
      </c>
      <c r="CE103" s="203">
        <v>0</v>
      </c>
      <c r="CF103" s="13">
        <v>0</v>
      </c>
      <c r="CG103" s="206">
        <v>0</v>
      </c>
      <c r="CH103" s="207">
        <v>0</v>
      </c>
      <c r="CI103" s="201"/>
      <c r="CJ103" s="208"/>
      <c r="CK103" s="209" t="s">
        <v>615</v>
      </c>
      <c r="CL103" s="210" t="s">
        <v>615</v>
      </c>
      <c r="CM103" s="207">
        <v>0</v>
      </c>
      <c r="CN103" s="207">
        <v>0</v>
      </c>
      <c r="CO103" s="204">
        <v>0</v>
      </c>
      <c r="CP103" s="204">
        <v>0</v>
      </c>
      <c r="CQ103" s="211"/>
      <c r="CR103" s="204">
        <v>1</v>
      </c>
      <c r="CS103" s="212">
        <v>42531</v>
      </c>
      <c r="CT103" s="212">
        <v>42780</v>
      </c>
      <c r="CU103" s="213">
        <v>42780</v>
      </c>
      <c r="CV103" s="214">
        <v>42829</v>
      </c>
      <c r="CW103" s="214" t="s">
        <v>615</v>
      </c>
      <c r="CX103" s="214" t="s">
        <v>615</v>
      </c>
      <c r="CY103" s="204">
        <v>1</v>
      </c>
      <c r="CZ103" s="204">
        <v>0.97959183673469385</v>
      </c>
      <c r="DA103" s="203">
        <v>0</v>
      </c>
      <c r="DB103" s="204">
        <v>0.97959183673469385</v>
      </c>
      <c r="DC103" s="204">
        <v>0</v>
      </c>
      <c r="DD103" s="204">
        <v>0</v>
      </c>
      <c r="DE103" s="204">
        <v>0</v>
      </c>
      <c r="DF103" s="215">
        <v>0</v>
      </c>
      <c r="DG103" s="13" t="s">
        <v>615</v>
      </c>
      <c r="DH103" s="86">
        <v>101</v>
      </c>
      <c r="DI103" s="86"/>
      <c r="DJ103" s="86">
        <v>36</v>
      </c>
      <c r="DK103" s="86" t="s">
        <v>1530</v>
      </c>
      <c r="DL103" s="86" t="e">
        <v>#N/A</v>
      </c>
      <c r="DM103" s="86" t="e">
        <v>#N/A</v>
      </c>
      <c r="DN103" s="86" t="e">
        <v>#N/A</v>
      </c>
      <c r="DO103" s="86">
        <v>37</v>
      </c>
      <c r="DP103" s="86">
        <v>2</v>
      </c>
      <c r="DQ103" s="86">
        <v>49</v>
      </c>
      <c r="DR103" s="146">
        <v>0</v>
      </c>
      <c r="DS103" s="146">
        <v>0</v>
      </c>
      <c r="DT103" s="146">
        <v>0</v>
      </c>
      <c r="DU103" s="146">
        <v>0</v>
      </c>
      <c r="DV103" s="146">
        <v>0</v>
      </c>
      <c r="DW103" s="146">
        <v>0</v>
      </c>
      <c r="DX103" s="146">
        <v>0</v>
      </c>
      <c r="DY103" s="146">
        <v>0</v>
      </c>
      <c r="DZ103" s="146">
        <v>0</v>
      </c>
      <c r="EA103" s="146">
        <v>0</v>
      </c>
      <c r="EB103" s="146">
        <v>0</v>
      </c>
      <c r="EC103" s="146">
        <v>0</v>
      </c>
      <c r="ED103" s="146">
        <v>0</v>
      </c>
      <c r="EE103" s="146">
        <v>0</v>
      </c>
      <c r="EF103" s="146">
        <v>0</v>
      </c>
      <c r="EG103" s="146">
        <v>0</v>
      </c>
      <c r="EH103" s="146">
        <v>0</v>
      </c>
      <c r="EI103" s="146">
        <v>0</v>
      </c>
      <c r="EJ103" s="146">
        <v>0</v>
      </c>
      <c r="EK103" s="146">
        <v>0</v>
      </c>
      <c r="EL103" s="146">
        <v>0</v>
      </c>
      <c r="EM103" s="146">
        <v>0</v>
      </c>
      <c r="EN103" s="146">
        <v>0</v>
      </c>
      <c r="EO103" s="146">
        <v>0</v>
      </c>
      <c r="EP103" s="146">
        <v>0</v>
      </c>
      <c r="EQ103" s="146">
        <v>0</v>
      </c>
      <c r="ER103" s="146">
        <v>0</v>
      </c>
      <c r="ES103" s="146">
        <v>0</v>
      </c>
      <c r="ET103" s="146">
        <v>0</v>
      </c>
      <c r="EU103" s="146">
        <v>0</v>
      </c>
      <c r="EV103" s="146">
        <v>0</v>
      </c>
      <c r="EW103" s="146">
        <v>0</v>
      </c>
      <c r="EX103" s="146">
        <v>0</v>
      </c>
      <c r="EY103" s="146">
        <v>13</v>
      </c>
      <c r="EZ103" s="146">
        <v>13</v>
      </c>
      <c r="FA103" s="146">
        <v>13</v>
      </c>
      <c r="FB103" s="146">
        <v>13</v>
      </c>
      <c r="FC103" s="146">
        <v>13</v>
      </c>
      <c r="FD103" s="146">
        <v>13</v>
      </c>
      <c r="FE103" s="146">
        <v>13</v>
      </c>
      <c r="FF103" s="146">
        <v>13</v>
      </c>
      <c r="FG103" s="146">
        <v>13</v>
      </c>
      <c r="FH103" s="146">
        <v>13</v>
      </c>
      <c r="FI103" s="146">
        <v>13</v>
      </c>
      <c r="FJ103" s="146">
        <v>13</v>
      </c>
      <c r="FK103" s="146">
        <v>13</v>
      </c>
      <c r="FL103" s="146">
        <v>13</v>
      </c>
      <c r="FM103" s="146">
        <v>13</v>
      </c>
      <c r="FN103" s="146">
        <v>0</v>
      </c>
      <c r="FO103" s="146">
        <v>0</v>
      </c>
      <c r="FP103" s="146">
        <v>0</v>
      </c>
      <c r="FQ103" s="146">
        <v>0</v>
      </c>
      <c r="FR103" s="146">
        <v>0</v>
      </c>
      <c r="FS103" s="160">
        <v>0</v>
      </c>
      <c r="FT103" s="160">
        <v>0</v>
      </c>
      <c r="FU103" s="160">
        <v>0</v>
      </c>
      <c r="FV103" s="160">
        <v>0</v>
      </c>
      <c r="FW103" s="160">
        <v>0</v>
      </c>
      <c r="FX103" s="160">
        <v>0</v>
      </c>
      <c r="FY103" s="160">
        <v>0</v>
      </c>
      <c r="FZ103" s="160">
        <v>0</v>
      </c>
      <c r="GA103" s="160">
        <v>0</v>
      </c>
      <c r="GB103" s="160">
        <v>0</v>
      </c>
      <c r="GC103" s="160">
        <v>0</v>
      </c>
      <c r="GD103" s="160">
        <v>0</v>
      </c>
      <c r="GE103" s="160">
        <v>0</v>
      </c>
      <c r="GF103" s="160">
        <v>0</v>
      </c>
      <c r="GG103" s="160">
        <v>0</v>
      </c>
      <c r="GH103" s="160">
        <v>0</v>
      </c>
      <c r="GI103" s="160">
        <v>0</v>
      </c>
      <c r="GJ103" s="160">
        <v>0</v>
      </c>
      <c r="GK103" s="160">
        <v>0</v>
      </c>
      <c r="GL103" s="160">
        <v>0</v>
      </c>
      <c r="GM103" s="160">
        <v>0</v>
      </c>
      <c r="GN103" s="160">
        <v>0</v>
      </c>
      <c r="GO103" s="160">
        <v>0</v>
      </c>
      <c r="GP103" s="160">
        <v>0</v>
      </c>
      <c r="GQ103" s="160">
        <v>0</v>
      </c>
      <c r="GR103" s="160">
        <v>0</v>
      </c>
      <c r="GS103" s="160">
        <v>0</v>
      </c>
      <c r="GT103" s="160">
        <v>0</v>
      </c>
      <c r="GU103" s="160">
        <v>0</v>
      </c>
      <c r="GV103" s="160">
        <v>0</v>
      </c>
      <c r="GW103" s="160">
        <v>0</v>
      </c>
      <c r="GX103" s="160">
        <v>0</v>
      </c>
      <c r="GY103" s="160">
        <v>0</v>
      </c>
      <c r="GZ103" s="160">
        <v>0</v>
      </c>
      <c r="HA103" s="160">
        <v>0</v>
      </c>
      <c r="HB103" s="160">
        <v>0</v>
      </c>
      <c r="HC103" s="160">
        <v>0</v>
      </c>
      <c r="HD103" s="160">
        <v>0</v>
      </c>
      <c r="HE103" s="160">
        <v>0</v>
      </c>
      <c r="HF103" s="160">
        <v>0</v>
      </c>
      <c r="HG103" s="160">
        <v>0</v>
      </c>
      <c r="HH103" s="146">
        <v>0</v>
      </c>
      <c r="HI103" s="146">
        <v>0</v>
      </c>
      <c r="HJ103" s="146">
        <v>0</v>
      </c>
      <c r="HK103" s="146">
        <v>0</v>
      </c>
      <c r="HL103" s="146">
        <v>0</v>
      </c>
      <c r="HM103" s="146">
        <v>0</v>
      </c>
      <c r="HN103" s="146">
        <v>0</v>
      </c>
      <c r="HO103" s="146">
        <v>0</v>
      </c>
      <c r="HP103" s="146">
        <v>0</v>
      </c>
      <c r="HQ103" s="146">
        <v>0</v>
      </c>
      <c r="HR103" s="146">
        <v>0</v>
      </c>
      <c r="HS103" s="146">
        <v>0</v>
      </c>
      <c r="HT103" s="146">
        <v>0</v>
      </c>
      <c r="HU103" s="151"/>
      <c r="HV103" s="146">
        <v>0</v>
      </c>
      <c r="HW103" s="151"/>
      <c r="HX103" s="151"/>
      <c r="HY103" s="151"/>
      <c r="HZ103" s="151"/>
      <c r="IA103" s="151"/>
      <c r="IB103" s="151"/>
      <c r="IC103" s="151"/>
      <c r="ID103" s="151"/>
      <c r="IE103" s="151"/>
      <c r="IF103" s="151"/>
      <c r="IG103" s="151"/>
      <c r="IH103" s="151"/>
      <c r="II103" s="151"/>
      <c r="IJ103" s="151"/>
      <c r="IK103" s="151"/>
      <c r="IL103" s="151"/>
      <c r="IM103" s="151"/>
      <c r="IN103" s="151"/>
      <c r="IO103" s="151"/>
      <c r="IP103" s="151"/>
      <c r="IQ103" s="151"/>
      <c r="IR103" s="151"/>
      <c r="IS103" s="151"/>
      <c r="IT103" s="151"/>
      <c r="IU103" s="151"/>
      <c r="IV103" s="151"/>
      <c r="IW103" s="151"/>
      <c r="IX103" s="151"/>
      <c r="IY103" s="151"/>
      <c r="IZ103" s="151"/>
      <c r="JA103" s="151"/>
      <c r="JB103" s="151"/>
      <c r="JC103" s="151"/>
      <c r="JD103" s="151"/>
      <c r="JE103" s="151"/>
      <c r="JF103" s="151"/>
      <c r="JG103" s="151"/>
      <c r="JH103" s="151"/>
      <c r="JI103" s="151"/>
      <c r="JJ103" s="151"/>
      <c r="JK103" s="151"/>
      <c r="JL103" s="151"/>
      <c r="JM103" s="151"/>
      <c r="JN103" s="151"/>
      <c r="JO103" s="151"/>
      <c r="JP103" s="151"/>
      <c r="JQ103" s="151"/>
      <c r="JR103" s="151"/>
      <c r="JS103" s="151"/>
      <c r="JT103" s="151"/>
      <c r="JU103" s="151"/>
      <c r="JV103" s="151"/>
      <c r="JW103" s="151"/>
      <c r="JX103" s="151"/>
      <c r="JY103" s="151"/>
      <c r="JZ103" s="151"/>
      <c r="KA103" s="151"/>
      <c r="KB103" s="151"/>
      <c r="KC103" s="151"/>
      <c r="KD103" s="151"/>
      <c r="KE103" s="151"/>
      <c r="KF103" s="151"/>
      <c r="KG103" s="151"/>
      <c r="KH103" s="151"/>
      <c r="KI103" s="151"/>
      <c r="KJ103" s="151"/>
      <c r="KK103" s="151"/>
      <c r="KL103" s="151"/>
      <c r="KM103" s="151"/>
      <c r="KN103" s="151"/>
      <c r="KO103" s="151"/>
      <c r="KP103" s="151"/>
      <c r="KQ103" s="151"/>
      <c r="KR103" s="151"/>
      <c r="KS103" s="151"/>
      <c r="KT103" s="151"/>
      <c r="KU103" s="151"/>
      <c r="KV103" s="151"/>
      <c r="KW103" s="151"/>
      <c r="KX103" s="151"/>
      <c r="KY103" s="151"/>
      <c r="KZ103" s="151"/>
      <c r="LA103" s="151"/>
      <c r="LB103" s="151"/>
      <c r="LC103" s="151"/>
      <c r="LD103" s="151"/>
      <c r="LE103" s="151"/>
    </row>
    <row r="104" spans="1:317" x14ac:dyDescent="0.2">
      <c r="A104" s="179" t="s">
        <v>849</v>
      </c>
      <c r="B104" s="180" t="s">
        <v>1003</v>
      </c>
      <c r="C104" s="181"/>
      <c r="D104" s="182">
        <v>0</v>
      </c>
      <c r="E104" s="182">
        <v>0</v>
      </c>
      <c r="F104" s="183" t="s">
        <v>1280</v>
      </c>
      <c r="G104" s="183">
        <v>0</v>
      </c>
      <c r="H104" s="183">
        <v>0</v>
      </c>
      <c r="I104" s="183">
        <v>0</v>
      </c>
      <c r="J104" s="183">
        <v>0</v>
      </c>
      <c r="K104" s="183" t="s">
        <v>1382</v>
      </c>
      <c r="L104" s="183">
        <v>0</v>
      </c>
      <c r="M104" s="183">
        <v>0</v>
      </c>
      <c r="N104" s="183" t="s">
        <v>872</v>
      </c>
      <c r="O104" s="183">
        <v>0</v>
      </c>
      <c r="P104" s="183">
        <v>0</v>
      </c>
      <c r="Q104" s="183"/>
      <c r="R104" s="183"/>
      <c r="S104" s="183"/>
      <c r="T104" s="183"/>
      <c r="U104" s="183"/>
      <c r="V104" s="183">
        <v>0</v>
      </c>
      <c r="W104" s="183">
        <v>0</v>
      </c>
      <c r="X104" s="183">
        <v>0</v>
      </c>
      <c r="Y104" s="184">
        <v>50.04</v>
      </c>
      <c r="Z104" s="184">
        <v>157.94999999999999</v>
      </c>
      <c r="AA104" s="184">
        <v>0</v>
      </c>
      <c r="AB104" s="185" t="s">
        <v>615</v>
      </c>
      <c r="AC104" s="185" t="s">
        <v>615</v>
      </c>
      <c r="AD104" s="186" t="s">
        <v>872</v>
      </c>
      <c r="AE104" s="186" t="s">
        <v>852</v>
      </c>
      <c r="AF104" s="187">
        <v>7</v>
      </c>
      <c r="AG104" s="187">
        <v>3</v>
      </c>
      <c r="AH104" s="187">
        <v>4</v>
      </c>
      <c r="AI104" s="188">
        <v>1</v>
      </c>
      <c r="AJ104" s="188" t="s">
        <v>615</v>
      </c>
      <c r="AK104" s="187" t="s">
        <v>1733</v>
      </c>
      <c r="AL104" s="87" t="s">
        <v>615</v>
      </c>
      <c r="AM104" s="189"/>
      <c r="AN104" s="187" t="s">
        <v>615</v>
      </c>
      <c r="AO104" s="13" t="s">
        <v>615</v>
      </c>
      <c r="AP104" s="187">
        <v>0</v>
      </c>
      <c r="AQ104" s="187">
        <v>0</v>
      </c>
      <c r="AR104" s="190">
        <v>0</v>
      </c>
      <c r="AS104" s="190">
        <v>0</v>
      </c>
      <c r="AT104" s="190">
        <v>0</v>
      </c>
      <c r="AU104" s="187">
        <v>0</v>
      </c>
      <c r="AV104" s="187">
        <v>0</v>
      </c>
      <c r="AW104" s="191"/>
      <c r="AX104" s="192"/>
      <c r="AY104" s="193">
        <v>42666</v>
      </c>
      <c r="AZ104" s="193"/>
      <c r="BA104" s="193"/>
      <c r="BB104" s="194"/>
      <c r="BC104" s="194"/>
      <c r="BD104" s="195"/>
      <c r="BE104" s="195" t="s">
        <v>532</v>
      </c>
      <c r="BF104" s="195"/>
      <c r="BG104" s="195">
        <v>15</v>
      </c>
      <c r="BH104" s="196" t="s">
        <v>547</v>
      </c>
      <c r="BI104" s="197">
        <v>1</v>
      </c>
      <c r="BJ104" s="198"/>
      <c r="BK104" s="199">
        <v>0</v>
      </c>
      <c r="BL104" s="13">
        <v>0</v>
      </c>
      <c r="BM104" s="13">
        <v>0</v>
      </c>
      <c r="BN104" s="13" t="s">
        <v>616</v>
      </c>
      <c r="BO104" s="13" t="s">
        <v>616</v>
      </c>
      <c r="BP104" s="200">
        <v>15</v>
      </c>
      <c r="BQ104" s="201"/>
      <c r="BR104" s="202"/>
      <c r="BS104" s="187">
        <v>1000000000</v>
      </c>
      <c r="BT104" s="203">
        <v>34</v>
      </c>
      <c r="BU104" s="204">
        <v>0</v>
      </c>
      <c r="BV104" s="203">
        <v>0</v>
      </c>
      <c r="BW104" s="205">
        <v>0</v>
      </c>
      <c r="BX104" s="205">
        <v>0</v>
      </c>
      <c r="BY104" s="205">
        <v>0</v>
      </c>
      <c r="BZ104" s="203">
        <v>0</v>
      </c>
      <c r="CA104" s="203">
        <v>0</v>
      </c>
      <c r="CB104" s="203">
        <v>34</v>
      </c>
      <c r="CC104" s="204">
        <v>0</v>
      </c>
      <c r="CD104" s="203">
        <v>0</v>
      </c>
      <c r="CE104" s="203">
        <v>0</v>
      </c>
      <c r="CF104" s="13">
        <v>0</v>
      </c>
      <c r="CG104" s="206">
        <v>0</v>
      </c>
      <c r="CH104" s="207">
        <v>0</v>
      </c>
      <c r="CI104" s="201"/>
      <c r="CJ104" s="208"/>
      <c r="CK104" s="209" t="s">
        <v>615</v>
      </c>
      <c r="CL104" s="210" t="s">
        <v>615</v>
      </c>
      <c r="CM104" s="207">
        <v>0</v>
      </c>
      <c r="CN104" s="207">
        <v>0</v>
      </c>
      <c r="CO104" s="204">
        <v>0</v>
      </c>
      <c r="CP104" s="204">
        <v>0</v>
      </c>
      <c r="CQ104" s="211"/>
      <c r="CR104" s="204">
        <v>1</v>
      </c>
      <c r="CS104" s="212">
        <v>42592</v>
      </c>
      <c r="CT104" s="212">
        <v>42780</v>
      </c>
      <c r="CU104" s="213">
        <v>42780</v>
      </c>
      <c r="CV104" s="214">
        <v>42829</v>
      </c>
      <c r="CW104" s="214" t="s">
        <v>615</v>
      </c>
      <c r="CX104" s="214" t="s">
        <v>615</v>
      </c>
      <c r="CY104" s="204">
        <v>0</v>
      </c>
      <c r="CZ104" s="204">
        <v>0.97959183673469385</v>
      </c>
      <c r="DA104" s="203">
        <v>0</v>
      </c>
      <c r="DB104" s="204">
        <v>0</v>
      </c>
      <c r="DC104" s="204">
        <v>0</v>
      </c>
      <c r="DD104" s="204">
        <v>0</v>
      </c>
      <c r="DE104" s="204">
        <v>0</v>
      </c>
      <c r="DF104" s="215">
        <v>0.97959183673469385</v>
      </c>
      <c r="DG104" s="13" t="s">
        <v>615</v>
      </c>
      <c r="DH104" s="86">
        <v>102</v>
      </c>
      <c r="DI104" s="86"/>
      <c r="DJ104" s="86">
        <v>33</v>
      </c>
      <c r="DK104" s="86" t="s">
        <v>1481</v>
      </c>
      <c r="DL104" s="86" t="e">
        <v>#N/A</v>
      </c>
      <c r="DM104" s="86">
        <v>24</v>
      </c>
      <c r="DN104" s="86" t="e">
        <v>#N/A</v>
      </c>
      <c r="DO104" s="86">
        <v>34</v>
      </c>
      <c r="DP104" s="86">
        <v>2</v>
      </c>
      <c r="DQ104" s="86">
        <v>49</v>
      </c>
      <c r="DR104" s="152">
        <v>34</v>
      </c>
      <c r="DS104" s="152">
        <v>34</v>
      </c>
      <c r="DT104" s="152">
        <v>34</v>
      </c>
      <c r="DU104" s="152">
        <v>34</v>
      </c>
      <c r="DV104" s="152">
        <v>34</v>
      </c>
      <c r="DW104" s="152">
        <v>34</v>
      </c>
      <c r="DX104" s="152">
        <v>34</v>
      </c>
      <c r="DY104" s="152">
        <v>34</v>
      </c>
      <c r="DZ104" s="152">
        <v>34</v>
      </c>
      <c r="EA104" s="152">
        <v>34</v>
      </c>
      <c r="EB104" s="152">
        <v>34</v>
      </c>
      <c r="EC104" s="152">
        <v>34</v>
      </c>
      <c r="ED104" s="152">
        <v>34</v>
      </c>
      <c r="EE104" s="152">
        <v>34</v>
      </c>
      <c r="EF104" s="152">
        <v>34</v>
      </c>
      <c r="EG104" s="152">
        <v>34</v>
      </c>
      <c r="EH104" s="152">
        <v>34</v>
      </c>
      <c r="EI104" s="152">
        <v>34</v>
      </c>
      <c r="EJ104" s="152">
        <v>34</v>
      </c>
      <c r="EK104" s="152">
        <v>34</v>
      </c>
      <c r="EL104" s="152">
        <v>34</v>
      </c>
      <c r="EM104" s="152">
        <v>34</v>
      </c>
      <c r="EN104" s="152">
        <v>34</v>
      </c>
      <c r="EO104" s="152">
        <v>34</v>
      </c>
      <c r="EP104" s="152">
        <v>34</v>
      </c>
      <c r="EQ104" s="152">
        <v>34</v>
      </c>
      <c r="ER104" s="152">
        <v>34</v>
      </c>
      <c r="ES104" s="152">
        <v>34</v>
      </c>
      <c r="ET104" s="152">
        <v>34</v>
      </c>
      <c r="EU104" s="152">
        <v>34</v>
      </c>
      <c r="EV104" s="152">
        <v>34</v>
      </c>
      <c r="EW104" s="152">
        <v>34</v>
      </c>
      <c r="EX104" s="152">
        <v>34</v>
      </c>
      <c r="EY104" s="152">
        <v>34</v>
      </c>
      <c r="EZ104" s="152">
        <v>34</v>
      </c>
      <c r="FA104" s="152">
        <v>34</v>
      </c>
      <c r="FB104" s="152">
        <v>34</v>
      </c>
      <c r="FC104" s="152">
        <v>34</v>
      </c>
      <c r="FD104" s="152">
        <v>34</v>
      </c>
      <c r="FE104" s="152">
        <v>34</v>
      </c>
      <c r="FF104" s="152">
        <v>34</v>
      </c>
      <c r="FG104" s="152">
        <v>34</v>
      </c>
      <c r="FH104" s="152">
        <v>34</v>
      </c>
      <c r="FI104" s="152">
        <v>34</v>
      </c>
      <c r="FJ104" s="152">
        <v>34</v>
      </c>
      <c r="FK104" s="152">
        <v>34</v>
      </c>
      <c r="FL104" s="152">
        <v>34</v>
      </c>
      <c r="FM104" s="152">
        <v>34</v>
      </c>
      <c r="FN104" s="152">
        <v>34</v>
      </c>
      <c r="FO104" s="152">
        <v>34</v>
      </c>
      <c r="FP104" s="152">
        <v>34</v>
      </c>
      <c r="FQ104" s="152">
        <v>34</v>
      </c>
      <c r="FR104" s="152">
        <v>34</v>
      </c>
      <c r="FS104" s="167">
        <v>34</v>
      </c>
      <c r="FT104" s="167">
        <v>34</v>
      </c>
      <c r="FU104" s="167">
        <v>34</v>
      </c>
      <c r="FV104" s="167">
        <v>34</v>
      </c>
      <c r="FW104" s="167">
        <v>34</v>
      </c>
      <c r="FX104" s="167">
        <v>34</v>
      </c>
      <c r="FY104" s="167">
        <v>34</v>
      </c>
      <c r="FZ104" s="167">
        <v>34</v>
      </c>
      <c r="GA104" s="167">
        <v>34</v>
      </c>
      <c r="GB104" s="167">
        <v>34</v>
      </c>
      <c r="GC104" s="167">
        <v>34</v>
      </c>
      <c r="GD104" s="167">
        <v>34</v>
      </c>
      <c r="GE104" s="167">
        <v>34</v>
      </c>
      <c r="GF104" s="167">
        <v>34</v>
      </c>
      <c r="GG104" s="167">
        <v>34</v>
      </c>
      <c r="GH104" s="167">
        <v>34</v>
      </c>
      <c r="GI104" s="167">
        <v>34</v>
      </c>
      <c r="GJ104" s="167">
        <v>34</v>
      </c>
      <c r="GK104" s="167">
        <v>34</v>
      </c>
      <c r="GL104" s="167">
        <v>34</v>
      </c>
      <c r="GM104" s="167">
        <v>34</v>
      </c>
      <c r="GN104" s="167">
        <v>34</v>
      </c>
      <c r="GO104" s="167">
        <v>34</v>
      </c>
      <c r="GP104" s="167">
        <v>34</v>
      </c>
      <c r="GQ104" s="167">
        <v>34</v>
      </c>
      <c r="GR104" s="167">
        <v>34</v>
      </c>
      <c r="GS104" s="167">
        <v>34</v>
      </c>
      <c r="GT104" s="167">
        <v>34</v>
      </c>
      <c r="GU104" s="167">
        <v>34</v>
      </c>
      <c r="GV104" s="167">
        <v>34</v>
      </c>
      <c r="GW104" s="167">
        <v>34</v>
      </c>
      <c r="GX104" s="167">
        <v>34</v>
      </c>
      <c r="GY104" s="167">
        <v>34</v>
      </c>
      <c r="GZ104" s="167">
        <v>34</v>
      </c>
      <c r="HA104" s="167">
        <v>34</v>
      </c>
      <c r="HB104" s="167">
        <v>34</v>
      </c>
      <c r="HC104" s="167">
        <v>34</v>
      </c>
      <c r="HD104" s="167">
        <v>34</v>
      </c>
      <c r="HE104" s="167">
        <v>34</v>
      </c>
      <c r="HF104" s="167">
        <v>34</v>
      </c>
      <c r="HG104" s="167">
        <v>34</v>
      </c>
      <c r="HH104" s="167">
        <v>34</v>
      </c>
      <c r="HI104" s="152">
        <v>34</v>
      </c>
      <c r="HJ104" s="152">
        <v>34</v>
      </c>
      <c r="HK104" s="152">
        <v>34</v>
      </c>
      <c r="HL104" s="152">
        <v>34</v>
      </c>
      <c r="HM104" s="152">
        <v>34</v>
      </c>
      <c r="HN104" s="152">
        <v>34</v>
      </c>
      <c r="HO104" s="152">
        <v>34</v>
      </c>
      <c r="HP104" s="152">
        <v>34</v>
      </c>
      <c r="HQ104" s="152">
        <v>34</v>
      </c>
      <c r="HR104" s="152">
        <v>34</v>
      </c>
      <c r="HS104" s="152">
        <v>34</v>
      </c>
      <c r="HT104" s="152">
        <v>34</v>
      </c>
      <c r="HU104" s="216"/>
      <c r="HV104" s="152">
        <v>34</v>
      </c>
      <c r="HW104" s="216"/>
      <c r="HX104" s="216"/>
      <c r="HY104" s="216"/>
      <c r="HZ104" s="216"/>
      <c r="IA104" s="216"/>
      <c r="IB104" s="216"/>
      <c r="IC104" s="216"/>
      <c r="ID104" s="216"/>
      <c r="IE104" s="216"/>
      <c r="IF104" s="216"/>
      <c r="IG104" s="216"/>
      <c r="IH104" s="216"/>
      <c r="II104" s="216"/>
      <c r="IJ104" s="216"/>
      <c r="IK104" s="216"/>
      <c r="IL104" s="216"/>
      <c r="IM104" s="216"/>
      <c r="IN104" s="216"/>
      <c r="IO104" s="216"/>
      <c r="IP104" s="216"/>
      <c r="IQ104" s="216"/>
      <c r="IR104" s="216"/>
      <c r="IS104" s="216"/>
      <c r="IT104" s="216"/>
      <c r="IU104" s="216"/>
      <c r="IV104" s="216"/>
      <c r="IW104" s="216"/>
      <c r="IX104" s="216"/>
      <c r="IY104" s="216"/>
      <c r="IZ104" s="216"/>
      <c r="JA104" s="216"/>
      <c r="JB104" s="216"/>
      <c r="JC104" s="216"/>
      <c r="JD104" s="216"/>
      <c r="JE104" s="216"/>
      <c r="JF104" s="216"/>
      <c r="JG104" s="216"/>
      <c r="JH104" s="216"/>
      <c r="JI104" s="216"/>
      <c r="JJ104" s="216"/>
      <c r="JK104" s="216"/>
      <c r="JL104" s="216"/>
      <c r="JM104" s="216"/>
      <c r="JN104" s="216"/>
      <c r="JO104" s="216"/>
      <c r="JP104" s="216"/>
      <c r="JQ104" s="216"/>
      <c r="JR104" s="216"/>
      <c r="JS104" s="216"/>
      <c r="JT104" s="216"/>
      <c r="JU104" s="216"/>
      <c r="JV104" s="216"/>
      <c r="JW104" s="216"/>
      <c r="JX104" s="216"/>
      <c r="JY104" s="216"/>
      <c r="JZ104" s="216"/>
      <c r="KA104" s="216"/>
      <c r="KB104" s="216"/>
      <c r="KC104" s="216"/>
      <c r="KD104" s="216"/>
      <c r="KE104" s="216"/>
      <c r="KF104" s="216"/>
      <c r="KG104" s="216"/>
      <c r="KH104" s="216"/>
      <c r="KI104" s="216"/>
      <c r="KJ104" s="216"/>
      <c r="KK104" s="216"/>
      <c r="KL104" s="216"/>
      <c r="KM104" s="216"/>
      <c r="KN104" s="216"/>
      <c r="KO104" s="216"/>
      <c r="KP104" s="216"/>
      <c r="KQ104" s="216"/>
      <c r="KR104" s="216"/>
      <c r="KS104" s="216"/>
      <c r="KT104" s="216"/>
      <c r="KU104" s="216"/>
      <c r="KV104" s="216"/>
      <c r="KW104" s="216"/>
      <c r="KX104" s="216"/>
      <c r="KY104" s="216"/>
      <c r="KZ104" s="216"/>
      <c r="LA104" s="216"/>
      <c r="LB104" s="216"/>
      <c r="LC104" s="216"/>
      <c r="LD104" s="216"/>
      <c r="LE104" s="216"/>
    </row>
    <row r="105" spans="1:317" x14ac:dyDescent="0.2">
      <c r="A105" s="179" t="s">
        <v>849</v>
      </c>
      <c r="B105" s="180" t="s">
        <v>1004</v>
      </c>
      <c r="C105" s="181"/>
      <c r="D105" s="182">
        <v>0</v>
      </c>
      <c r="E105" s="182">
        <v>0</v>
      </c>
      <c r="F105" s="183" t="s">
        <v>1281</v>
      </c>
      <c r="G105" s="183">
        <v>0</v>
      </c>
      <c r="H105" s="183">
        <v>0</v>
      </c>
      <c r="I105" s="183">
        <v>0</v>
      </c>
      <c r="J105" s="183">
        <v>0</v>
      </c>
      <c r="K105" s="183" t="s">
        <v>1383</v>
      </c>
      <c r="L105" s="183">
        <v>0</v>
      </c>
      <c r="M105" s="183">
        <v>0</v>
      </c>
      <c r="N105" s="183" t="s">
        <v>872</v>
      </c>
      <c r="O105" s="183">
        <v>0</v>
      </c>
      <c r="P105" s="183">
        <v>0</v>
      </c>
      <c r="Q105" s="183"/>
      <c r="R105" s="183"/>
      <c r="S105" s="183"/>
      <c r="T105" s="183"/>
      <c r="U105" s="183"/>
      <c r="V105" s="183">
        <v>0</v>
      </c>
      <c r="W105" s="183">
        <v>0</v>
      </c>
      <c r="X105" s="183">
        <v>0</v>
      </c>
      <c r="Y105" s="184">
        <v>7.69</v>
      </c>
      <c r="Z105" s="184">
        <v>21.06</v>
      </c>
      <c r="AA105" s="184">
        <v>0</v>
      </c>
      <c r="AB105" s="185" t="s">
        <v>615</v>
      </c>
      <c r="AC105" s="185" t="s">
        <v>615</v>
      </c>
      <c r="AD105" s="186" t="s">
        <v>872</v>
      </c>
      <c r="AE105" s="186" t="s">
        <v>852</v>
      </c>
      <c r="AF105" s="187">
        <v>7</v>
      </c>
      <c r="AG105" s="187">
        <v>3</v>
      </c>
      <c r="AH105" s="187">
        <v>4</v>
      </c>
      <c r="AI105" s="188">
        <v>1</v>
      </c>
      <c r="AJ105" s="188" t="s">
        <v>615</v>
      </c>
      <c r="AK105" s="187" t="s">
        <v>1733</v>
      </c>
      <c r="AL105" s="87" t="s">
        <v>615</v>
      </c>
      <c r="AM105" s="189"/>
      <c r="AN105" s="187" t="s">
        <v>615</v>
      </c>
      <c r="AO105" s="13" t="s">
        <v>615</v>
      </c>
      <c r="AP105" s="187">
        <v>0</v>
      </c>
      <c r="AQ105" s="187">
        <v>0</v>
      </c>
      <c r="AR105" s="190">
        <v>0</v>
      </c>
      <c r="AS105" s="190">
        <v>0</v>
      </c>
      <c r="AT105" s="190">
        <v>0</v>
      </c>
      <c r="AU105" s="187">
        <v>0</v>
      </c>
      <c r="AV105" s="187">
        <v>0</v>
      </c>
      <c r="AW105" s="191"/>
      <c r="AX105" s="192"/>
      <c r="AY105" s="193">
        <v>42666</v>
      </c>
      <c r="AZ105" s="193"/>
      <c r="BA105" s="193"/>
      <c r="BB105" s="194"/>
      <c r="BC105" s="194"/>
      <c r="BD105" s="195"/>
      <c r="BE105" s="195" t="s">
        <v>532</v>
      </c>
      <c r="BF105" s="195"/>
      <c r="BG105" s="195">
        <v>36</v>
      </c>
      <c r="BH105" s="196" t="s">
        <v>547</v>
      </c>
      <c r="BI105" s="197">
        <v>1</v>
      </c>
      <c r="BJ105" s="198"/>
      <c r="BK105" s="199">
        <v>0</v>
      </c>
      <c r="BL105" s="13">
        <v>0</v>
      </c>
      <c r="BM105" s="13">
        <v>0</v>
      </c>
      <c r="BN105" s="13" t="s">
        <v>616</v>
      </c>
      <c r="BO105" s="13" t="s">
        <v>616</v>
      </c>
      <c r="BP105" s="200">
        <v>36</v>
      </c>
      <c r="BQ105" s="201"/>
      <c r="BR105" s="202"/>
      <c r="BS105" s="187">
        <v>1000000000</v>
      </c>
      <c r="BT105" s="203">
        <v>24</v>
      </c>
      <c r="BU105" s="204">
        <v>0</v>
      </c>
      <c r="BV105" s="203">
        <v>0</v>
      </c>
      <c r="BW105" s="205">
        <v>0</v>
      </c>
      <c r="BX105" s="205">
        <v>0</v>
      </c>
      <c r="BY105" s="205">
        <v>0</v>
      </c>
      <c r="BZ105" s="203">
        <v>0</v>
      </c>
      <c r="CA105" s="203">
        <v>0</v>
      </c>
      <c r="CB105" s="203">
        <v>24</v>
      </c>
      <c r="CC105" s="204">
        <v>0</v>
      </c>
      <c r="CD105" s="203">
        <v>0</v>
      </c>
      <c r="CE105" s="203">
        <v>0</v>
      </c>
      <c r="CF105" s="13">
        <v>0</v>
      </c>
      <c r="CG105" s="206">
        <v>0</v>
      </c>
      <c r="CH105" s="207">
        <v>0</v>
      </c>
      <c r="CI105" s="201"/>
      <c r="CJ105" s="208"/>
      <c r="CK105" s="209" t="s">
        <v>615</v>
      </c>
      <c r="CL105" s="210" t="s">
        <v>615</v>
      </c>
      <c r="CM105" s="207">
        <v>0</v>
      </c>
      <c r="CN105" s="207">
        <v>0</v>
      </c>
      <c r="CO105" s="204">
        <v>0</v>
      </c>
      <c r="CP105" s="204">
        <v>0</v>
      </c>
      <c r="CQ105" s="211"/>
      <c r="CR105" s="204">
        <v>1</v>
      </c>
      <c r="CS105" s="212">
        <v>42592</v>
      </c>
      <c r="CT105" s="212">
        <v>42780</v>
      </c>
      <c r="CU105" s="213">
        <v>42780</v>
      </c>
      <c r="CV105" s="214">
        <v>42829</v>
      </c>
      <c r="CW105" s="214" t="s">
        <v>615</v>
      </c>
      <c r="CX105" s="214" t="s">
        <v>615</v>
      </c>
      <c r="CY105" s="204">
        <v>0</v>
      </c>
      <c r="CZ105" s="204">
        <v>0.97959183673469385</v>
      </c>
      <c r="DA105" s="203">
        <v>0</v>
      </c>
      <c r="DB105" s="204">
        <v>0</v>
      </c>
      <c r="DC105" s="204">
        <v>0</v>
      </c>
      <c r="DD105" s="204">
        <v>0</v>
      </c>
      <c r="DE105" s="204">
        <v>0</v>
      </c>
      <c r="DF105" s="215">
        <v>0.97959183673469385</v>
      </c>
      <c r="DG105" s="13" t="s">
        <v>615</v>
      </c>
      <c r="DH105" s="86">
        <v>103</v>
      </c>
      <c r="DI105" s="86"/>
      <c r="DJ105" s="86">
        <v>31</v>
      </c>
      <c r="DK105" s="86" t="s">
        <v>1479</v>
      </c>
      <c r="DL105" s="86" t="e">
        <v>#N/A</v>
      </c>
      <c r="DM105" s="86">
        <v>22</v>
      </c>
      <c r="DN105" s="86" t="e">
        <v>#N/A</v>
      </c>
      <c r="DO105" s="86">
        <v>32</v>
      </c>
      <c r="DP105" s="86">
        <v>2</v>
      </c>
      <c r="DQ105" s="86">
        <v>49</v>
      </c>
      <c r="DR105" s="146">
        <v>24</v>
      </c>
      <c r="DS105" s="146">
        <v>24</v>
      </c>
      <c r="DT105" s="146">
        <v>24</v>
      </c>
      <c r="DU105" s="146">
        <v>24</v>
      </c>
      <c r="DV105" s="146">
        <v>24</v>
      </c>
      <c r="DW105" s="146">
        <v>24</v>
      </c>
      <c r="DX105" s="146">
        <v>24</v>
      </c>
      <c r="DY105" s="146">
        <v>24</v>
      </c>
      <c r="DZ105" s="146">
        <v>24</v>
      </c>
      <c r="EA105" s="146">
        <v>24</v>
      </c>
      <c r="EB105" s="146">
        <v>24</v>
      </c>
      <c r="EC105" s="146">
        <v>24</v>
      </c>
      <c r="ED105" s="146">
        <v>24</v>
      </c>
      <c r="EE105" s="146">
        <v>24</v>
      </c>
      <c r="EF105" s="146">
        <v>24</v>
      </c>
      <c r="EG105" s="146">
        <v>24</v>
      </c>
      <c r="EH105" s="146">
        <v>24</v>
      </c>
      <c r="EI105" s="146">
        <v>24</v>
      </c>
      <c r="EJ105" s="146">
        <v>24</v>
      </c>
      <c r="EK105" s="146">
        <v>24</v>
      </c>
      <c r="EL105" s="146">
        <v>24</v>
      </c>
      <c r="EM105" s="146">
        <v>24</v>
      </c>
      <c r="EN105" s="146">
        <v>24</v>
      </c>
      <c r="EO105" s="146">
        <v>24</v>
      </c>
      <c r="EP105" s="146">
        <v>24</v>
      </c>
      <c r="EQ105" s="146">
        <v>24</v>
      </c>
      <c r="ER105" s="146">
        <v>24</v>
      </c>
      <c r="ES105" s="146">
        <v>24</v>
      </c>
      <c r="ET105" s="146">
        <v>24</v>
      </c>
      <c r="EU105" s="146">
        <v>24</v>
      </c>
      <c r="EV105" s="146">
        <v>24</v>
      </c>
      <c r="EW105" s="146">
        <v>24</v>
      </c>
      <c r="EX105" s="146">
        <v>24</v>
      </c>
      <c r="EY105" s="146">
        <v>24</v>
      </c>
      <c r="EZ105" s="146">
        <v>24</v>
      </c>
      <c r="FA105" s="146">
        <v>24</v>
      </c>
      <c r="FB105" s="146">
        <v>24</v>
      </c>
      <c r="FC105" s="146">
        <v>24</v>
      </c>
      <c r="FD105" s="146">
        <v>24</v>
      </c>
      <c r="FE105" s="146">
        <v>24</v>
      </c>
      <c r="FF105" s="146">
        <v>24</v>
      </c>
      <c r="FG105" s="146">
        <v>24</v>
      </c>
      <c r="FH105" s="146">
        <v>24</v>
      </c>
      <c r="FI105" s="146">
        <v>24</v>
      </c>
      <c r="FJ105" s="146">
        <v>24</v>
      </c>
      <c r="FK105" s="146">
        <v>24</v>
      </c>
      <c r="FL105" s="146">
        <v>24</v>
      </c>
      <c r="FM105" s="146">
        <v>24</v>
      </c>
      <c r="FN105" s="146">
        <v>24</v>
      </c>
      <c r="FO105" s="146">
        <v>24</v>
      </c>
      <c r="FP105" s="146">
        <v>24</v>
      </c>
      <c r="FQ105" s="146">
        <v>24</v>
      </c>
      <c r="FR105" s="146">
        <v>24</v>
      </c>
      <c r="FS105" s="163">
        <v>24</v>
      </c>
      <c r="FT105" s="163">
        <v>24</v>
      </c>
      <c r="FU105" s="163">
        <v>24</v>
      </c>
      <c r="FV105" s="163">
        <v>24</v>
      </c>
      <c r="FW105" s="163">
        <v>24</v>
      </c>
      <c r="FX105" s="163">
        <v>24</v>
      </c>
      <c r="FY105" s="163">
        <v>24</v>
      </c>
      <c r="FZ105" s="163">
        <v>24</v>
      </c>
      <c r="GA105" s="163">
        <v>24</v>
      </c>
      <c r="GB105" s="163">
        <v>24</v>
      </c>
      <c r="GC105" s="163">
        <v>24</v>
      </c>
      <c r="GD105" s="163">
        <v>24</v>
      </c>
      <c r="GE105" s="163">
        <v>24</v>
      </c>
      <c r="GF105" s="163">
        <v>24</v>
      </c>
      <c r="GG105" s="163">
        <v>24</v>
      </c>
      <c r="GH105" s="163">
        <v>24</v>
      </c>
      <c r="GI105" s="163">
        <v>24</v>
      </c>
      <c r="GJ105" s="163">
        <v>24</v>
      </c>
      <c r="GK105" s="163">
        <v>24</v>
      </c>
      <c r="GL105" s="163">
        <v>24</v>
      </c>
      <c r="GM105" s="163">
        <v>24</v>
      </c>
      <c r="GN105" s="163">
        <v>24</v>
      </c>
      <c r="GO105" s="163">
        <v>24</v>
      </c>
      <c r="GP105" s="163">
        <v>24</v>
      </c>
      <c r="GQ105" s="163">
        <v>24</v>
      </c>
      <c r="GR105" s="163">
        <v>24</v>
      </c>
      <c r="GS105" s="163">
        <v>24</v>
      </c>
      <c r="GT105" s="163">
        <v>24</v>
      </c>
      <c r="GU105" s="163">
        <v>24</v>
      </c>
      <c r="GV105" s="163">
        <v>24</v>
      </c>
      <c r="GW105" s="163">
        <v>24</v>
      </c>
      <c r="GX105" s="163">
        <v>24</v>
      </c>
      <c r="GY105" s="163">
        <v>24</v>
      </c>
      <c r="GZ105" s="163">
        <v>24</v>
      </c>
      <c r="HA105" s="163">
        <v>24</v>
      </c>
      <c r="HB105" s="163">
        <v>24</v>
      </c>
      <c r="HC105" s="163">
        <v>24</v>
      </c>
      <c r="HD105" s="163">
        <v>24</v>
      </c>
      <c r="HE105" s="163">
        <v>24</v>
      </c>
      <c r="HF105" s="163">
        <v>24</v>
      </c>
      <c r="HG105" s="163">
        <v>24</v>
      </c>
      <c r="HH105" s="163">
        <v>24</v>
      </c>
      <c r="HI105" s="146">
        <v>24</v>
      </c>
      <c r="HJ105" s="146">
        <v>24</v>
      </c>
      <c r="HK105" s="146">
        <v>24</v>
      </c>
      <c r="HL105" s="146">
        <v>24</v>
      </c>
      <c r="HM105" s="146">
        <v>24</v>
      </c>
      <c r="HN105" s="146">
        <v>24</v>
      </c>
      <c r="HO105" s="146">
        <v>24</v>
      </c>
      <c r="HP105" s="146">
        <v>24</v>
      </c>
      <c r="HQ105" s="146">
        <v>24</v>
      </c>
      <c r="HR105" s="146">
        <v>24</v>
      </c>
      <c r="HS105" s="146">
        <v>24</v>
      </c>
      <c r="HT105" s="146">
        <v>24</v>
      </c>
      <c r="HU105" s="151"/>
      <c r="HV105" s="146">
        <v>24</v>
      </c>
      <c r="HW105" s="151"/>
      <c r="HX105" s="151"/>
      <c r="HY105" s="151"/>
      <c r="HZ105" s="151"/>
      <c r="IA105" s="151"/>
      <c r="IB105" s="151"/>
      <c r="IC105" s="151"/>
      <c r="ID105" s="151"/>
      <c r="IE105" s="151"/>
      <c r="IF105" s="151"/>
      <c r="IG105" s="151"/>
      <c r="IH105" s="151"/>
      <c r="II105" s="151"/>
      <c r="IJ105" s="151"/>
      <c r="IK105" s="151"/>
      <c r="IL105" s="151"/>
      <c r="IM105" s="151"/>
      <c r="IN105" s="151"/>
      <c r="IO105" s="151"/>
      <c r="IP105" s="151"/>
      <c r="IQ105" s="151"/>
      <c r="IR105" s="151"/>
      <c r="IS105" s="151"/>
      <c r="IT105" s="151"/>
      <c r="IU105" s="151"/>
      <c r="IV105" s="151"/>
      <c r="IW105" s="151"/>
      <c r="IX105" s="151"/>
      <c r="IY105" s="151"/>
      <c r="IZ105" s="151"/>
      <c r="JA105" s="151"/>
      <c r="JB105" s="151"/>
      <c r="JC105" s="151"/>
      <c r="JD105" s="151"/>
      <c r="JE105" s="151"/>
      <c r="JF105" s="151"/>
      <c r="JG105" s="151"/>
      <c r="JH105" s="151"/>
      <c r="JI105" s="151"/>
      <c r="JJ105" s="151"/>
      <c r="JK105" s="151"/>
      <c r="JL105" s="151"/>
      <c r="JM105" s="151"/>
      <c r="JN105" s="151"/>
      <c r="JO105" s="151"/>
      <c r="JP105" s="151"/>
      <c r="JQ105" s="151"/>
      <c r="JR105" s="151"/>
      <c r="JS105" s="151"/>
      <c r="JT105" s="151"/>
      <c r="JU105" s="151"/>
      <c r="JV105" s="151"/>
      <c r="JW105" s="151"/>
      <c r="JX105" s="151"/>
      <c r="JY105" s="151"/>
      <c r="JZ105" s="151"/>
      <c r="KA105" s="151"/>
      <c r="KB105" s="151"/>
      <c r="KC105" s="151"/>
      <c r="KD105" s="151"/>
      <c r="KE105" s="151"/>
      <c r="KF105" s="151"/>
      <c r="KG105" s="151"/>
      <c r="KH105" s="151"/>
      <c r="KI105" s="151"/>
      <c r="KJ105" s="151"/>
      <c r="KK105" s="151"/>
      <c r="KL105" s="151"/>
      <c r="KM105" s="151"/>
      <c r="KN105" s="151"/>
      <c r="KO105" s="151"/>
      <c r="KP105" s="151"/>
      <c r="KQ105" s="151"/>
      <c r="KR105" s="151"/>
      <c r="KS105" s="151"/>
      <c r="KT105" s="151"/>
      <c r="KU105" s="151"/>
      <c r="KV105" s="151"/>
      <c r="KW105" s="151"/>
      <c r="KX105" s="151"/>
      <c r="KY105" s="151"/>
      <c r="KZ105" s="151"/>
      <c r="LA105" s="151"/>
      <c r="LB105" s="151"/>
      <c r="LC105" s="151"/>
      <c r="LD105" s="151"/>
      <c r="LE105" s="151"/>
    </row>
    <row r="106" spans="1:317" x14ac:dyDescent="0.2">
      <c r="A106" s="179" t="s">
        <v>849</v>
      </c>
      <c r="B106" s="180" t="s">
        <v>1005</v>
      </c>
      <c r="C106" s="181"/>
      <c r="D106" s="182">
        <v>0</v>
      </c>
      <c r="E106" s="182">
        <v>0</v>
      </c>
      <c r="F106" s="183" t="s">
        <v>1282</v>
      </c>
      <c r="G106" s="183">
        <v>0</v>
      </c>
      <c r="H106" s="183">
        <v>0</v>
      </c>
      <c r="I106" s="183">
        <v>0</v>
      </c>
      <c r="J106" s="183">
        <v>0</v>
      </c>
      <c r="K106" s="183" t="s">
        <v>1384</v>
      </c>
      <c r="L106" s="183">
        <v>0</v>
      </c>
      <c r="M106" s="183">
        <v>0</v>
      </c>
      <c r="N106" s="183" t="s">
        <v>872</v>
      </c>
      <c r="O106" s="183">
        <v>0</v>
      </c>
      <c r="P106" s="183">
        <v>0</v>
      </c>
      <c r="Q106" s="183"/>
      <c r="R106" s="183"/>
      <c r="S106" s="183"/>
      <c r="T106" s="183"/>
      <c r="U106" s="183"/>
      <c r="V106" s="183">
        <v>0</v>
      </c>
      <c r="W106" s="183">
        <v>0</v>
      </c>
      <c r="X106" s="183">
        <v>0</v>
      </c>
      <c r="Y106" s="184">
        <v>11.93</v>
      </c>
      <c r="Z106" s="184">
        <v>34.24</v>
      </c>
      <c r="AA106" s="184">
        <v>0</v>
      </c>
      <c r="AB106" s="185" t="s">
        <v>615</v>
      </c>
      <c r="AC106" s="185" t="s">
        <v>615</v>
      </c>
      <c r="AD106" s="186" t="s">
        <v>872</v>
      </c>
      <c r="AE106" s="186" t="s">
        <v>852</v>
      </c>
      <c r="AF106" s="187">
        <v>7</v>
      </c>
      <c r="AG106" s="187">
        <v>3</v>
      </c>
      <c r="AH106" s="187">
        <v>4</v>
      </c>
      <c r="AI106" s="188">
        <v>1</v>
      </c>
      <c r="AJ106" s="188" t="s">
        <v>615</v>
      </c>
      <c r="AK106" s="187" t="s">
        <v>1733</v>
      </c>
      <c r="AL106" s="87" t="s">
        <v>615</v>
      </c>
      <c r="AM106" s="189"/>
      <c r="AN106" s="187" t="s">
        <v>615</v>
      </c>
      <c r="AO106" s="13" t="s">
        <v>615</v>
      </c>
      <c r="AP106" s="187">
        <v>0</v>
      </c>
      <c r="AQ106" s="187">
        <v>0</v>
      </c>
      <c r="AR106" s="190">
        <v>0</v>
      </c>
      <c r="AS106" s="190">
        <v>0</v>
      </c>
      <c r="AT106" s="190">
        <v>0</v>
      </c>
      <c r="AU106" s="187">
        <v>0</v>
      </c>
      <c r="AV106" s="187">
        <v>0</v>
      </c>
      <c r="AW106" s="191"/>
      <c r="AX106" s="192"/>
      <c r="AY106" s="193">
        <v>42666</v>
      </c>
      <c r="AZ106" s="193"/>
      <c r="BA106" s="193"/>
      <c r="BB106" s="194"/>
      <c r="BC106" s="194"/>
      <c r="BD106" s="195"/>
      <c r="BE106" s="195" t="s">
        <v>532</v>
      </c>
      <c r="BF106" s="195"/>
      <c r="BG106" s="195">
        <v>10</v>
      </c>
      <c r="BH106" s="196" t="s">
        <v>547</v>
      </c>
      <c r="BI106" s="197">
        <v>1</v>
      </c>
      <c r="BJ106" s="198"/>
      <c r="BK106" s="199">
        <v>10</v>
      </c>
      <c r="BL106" s="13">
        <v>7</v>
      </c>
      <c r="BM106" s="13">
        <v>3</v>
      </c>
      <c r="BN106" s="13" t="s">
        <v>620</v>
      </c>
      <c r="BO106" s="13" t="s">
        <v>620</v>
      </c>
      <c r="BP106" s="200">
        <v>0</v>
      </c>
      <c r="BQ106" s="201"/>
      <c r="BR106" s="202"/>
      <c r="BS106" s="187">
        <v>1000000000</v>
      </c>
      <c r="BT106" s="203">
        <v>19</v>
      </c>
      <c r="BU106" s="204">
        <v>-0.9</v>
      </c>
      <c r="BV106" s="203">
        <v>0</v>
      </c>
      <c r="BW106" s="205">
        <v>0</v>
      </c>
      <c r="BX106" s="205">
        <v>0</v>
      </c>
      <c r="BY106" s="205">
        <v>0</v>
      </c>
      <c r="BZ106" s="203">
        <v>0</v>
      </c>
      <c r="CA106" s="203">
        <v>0</v>
      </c>
      <c r="CB106" s="203">
        <v>19</v>
      </c>
      <c r="CC106" s="204">
        <v>-0.9</v>
      </c>
      <c r="CD106" s="203">
        <v>0</v>
      </c>
      <c r="CE106" s="203">
        <v>0</v>
      </c>
      <c r="CF106" s="13">
        <v>0</v>
      </c>
      <c r="CG106" s="206">
        <v>0</v>
      </c>
      <c r="CH106" s="207">
        <v>6</v>
      </c>
      <c r="CI106" s="201"/>
      <c r="CJ106" s="208"/>
      <c r="CK106" s="209" t="s">
        <v>615</v>
      </c>
      <c r="CL106" s="210" t="s">
        <v>615</v>
      </c>
      <c r="CM106" s="207">
        <v>0</v>
      </c>
      <c r="CN106" s="207">
        <v>107.37</v>
      </c>
      <c r="CO106" s="204">
        <v>0</v>
      </c>
      <c r="CP106" s="204">
        <v>12.823374446174114</v>
      </c>
      <c r="CQ106" s="211"/>
      <c r="CR106" s="204">
        <v>1</v>
      </c>
      <c r="CS106" s="212">
        <v>42592</v>
      </c>
      <c r="CT106" s="212">
        <v>42780</v>
      </c>
      <c r="CU106" s="213">
        <v>42780</v>
      </c>
      <c r="CV106" s="214">
        <v>42829</v>
      </c>
      <c r="CW106" s="214" t="s">
        <v>615</v>
      </c>
      <c r="CX106" s="214" t="s">
        <v>615</v>
      </c>
      <c r="CY106" s="204">
        <v>0</v>
      </c>
      <c r="CZ106" s="204">
        <v>0.97959183673469385</v>
      </c>
      <c r="DA106" s="203">
        <v>0</v>
      </c>
      <c r="DB106" s="204">
        <v>0</v>
      </c>
      <c r="DC106" s="204">
        <v>0</v>
      </c>
      <c r="DD106" s="204">
        <v>0</v>
      </c>
      <c r="DE106" s="204">
        <v>0</v>
      </c>
      <c r="DF106" s="215">
        <v>0.97959183673469385</v>
      </c>
      <c r="DG106" s="13" t="s">
        <v>615</v>
      </c>
      <c r="DH106" s="86">
        <v>104</v>
      </c>
      <c r="DI106" s="86"/>
      <c r="DJ106" s="86">
        <v>30</v>
      </c>
      <c r="DK106" s="86" t="s">
        <v>1478</v>
      </c>
      <c r="DL106" s="86" t="e">
        <v>#N/A</v>
      </c>
      <c r="DM106" s="86">
        <v>21</v>
      </c>
      <c r="DN106" s="86" t="e">
        <v>#N/A</v>
      </c>
      <c r="DO106" s="86">
        <v>31</v>
      </c>
      <c r="DP106" s="86">
        <v>2</v>
      </c>
      <c r="DQ106" s="86">
        <v>49</v>
      </c>
      <c r="DR106" s="152">
        <v>19</v>
      </c>
      <c r="DS106" s="152">
        <v>19</v>
      </c>
      <c r="DT106" s="152">
        <v>19</v>
      </c>
      <c r="DU106" s="152">
        <v>19</v>
      </c>
      <c r="DV106" s="152">
        <v>19</v>
      </c>
      <c r="DW106" s="152">
        <v>19</v>
      </c>
      <c r="DX106" s="152">
        <v>19</v>
      </c>
      <c r="DY106" s="152">
        <v>19</v>
      </c>
      <c r="DZ106" s="152">
        <v>19</v>
      </c>
      <c r="EA106" s="152">
        <v>19</v>
      </c>
      <c r="EB106" s="152">
        <v>19</v>
      </c>
      <c r="EC106" s="152">
        <v>19</v>
      </c>
      <c r="ED106" s="152">
        <v>19</v>
      </c>
      <c r="EE106" s="152">
        <v>19</v>
      </c>
      <c r="EF106" s="152">
        <v>19</v>
      </c>
      <c r="EG106" s="152">
        <v>19</v>
      </c>
      <c r="EH106" s="152">
        <v>19</v>
      </c>
      <c r="EI106" s="152">
        <v>19</v>
      </c>
      <c r="EJ106" s="152">
        <v>19</v>
      </c>
      <c r="EK106" s="152">
        <v>19</v>
      </c>
      <c r="EL106" s="152">
        <v>19</v>
      </c>
      <c r="EM106" s="152">
        <v>19</v>
      </c>
      <c r="EN106" s="152">
        <v>19</v>
      </c>
      <c r="EO106" s="152">
        <v>19</v>
      </c>
      <c r="EP106" s="152">
        <v>19</v>
      </c>
      <c r="EQ106" s="152">
        <v>19</v>
      </c>
      <c r="ER106" s="152">
        <v>19</v>
      </c>
      <c r="ES106" s="152">
        <v>19</v>
      </c>
      <c r="ET106" s="152">
        <v>19</v>
      </c>
      <c r="EU106" s="152">
        <v>19</v>
      </c>
      <c r="EV106" s="152">
        <v>19</v>
      </c>
      <c r="EW106" s="152">
        <v>19</v>
      </c>
      <c r="EX106" s="152">
        <v>19</v>
      </c>
      <c r="EY106" s="152">
        <v>19</v>
      </c>
      <c r="EZ106" s="152">
        <v>19</v>
      </c>
      <c r="FA106" s="152">
        <v>19</v>
      </c>
      <c r="FB106" s="152">
        <v>19</v>
      </c>
      <c r="FC106" s="152">
        <v>19</v>
      </c>
      <c r="FD106" s="152">
        <v>19</v>
      </c>
      <c r="FE106" s="152">
        <v>19</v>
      </c>
      <c r="FF106" s="152">
        <v>19</v>
      </c>
      <c r="FG106" s="152">
        <v>19</v>
      </c>
      <c r="FH106" s="152">
        <v>19</v>
      </c>
      <c r="FI106" s="152">
        <v>19</v>
      </c>
      <c r="FJ106" s="152">
        <v>19</v>
      </c>
      <c r="FK106" s="152">
        <v>19</v>
      </c>
      <c r="FL106" s="152">
        <v>19</v>
      </c>
      <c r="FM106" s="152">
        <v>19</v>
      </c>
      <c r="FN106" s="152">
        <v>19</v>
      </c>
      <c r="FO106" s="152">
        <v>19</v>
      </c>
      <c r="FP106" s="152">
        <v>19</v>
      </c>
      <c r="FQ106" s="152">
        <v>19</v>
      </c>
      <c r="FR106" s="152">
        <v>19</v>
      </c>
      <c r="FS106" s="167">
        <v>19</v>
      </c>
      <c r="FT106" s="167">
        <v>19</v>
      </c>
      <c r="FU106" s="167">
        <v>19</v>
      </c>
      <c r="FV106" s="167">
        <v>19</v>
      </c>
      <c r="FW106" s="167">
        <v>19</v>
      </c>
      <c r="FX106" s="167">
        <v>19</v>
      </c>
      <c r="FY106" s="167">
        <v>19</v>
      </c>
      <c r="FZ106" s="167">
        <v>19</v>
      </c>
      <c r="GA106" s="167">
        <v>19</v>
      </c>
      <c r="GB106" s="167">
        <v>19</v>
      </c>
      <c r="GC106" s="167">
        <v>19</v>
      </c>
      <c r="GD106" s="167">
        <v>19</v>
      </c>
      <c r="GE106" s="167">
        <v>19</v>
      </c>
      <c r="GF106" s="167">
        <v>19</v>
      </c>
      <c r="GG106" s="167">
        <v>19</v>
      </c>
      <c r="GH106" s="167">
        <v>19</v>
      </c>
      <c r="GI106" s="167">
        <v>19</v>
      </c>
      <c r="GJ106" s="167">
        <v>19</v>
      </c>
      <c r="GK106" s="167">
        <v>19</v>
      </c>
      <c r="GL106" s="167">
        <v>19</v>
      </c>
      <c r="GM106" s="167">
        <v>19</v>
      </c>
      <c r="GN106" s="167">
        <v>19</v>
      </c>
      <c r="GO106" s="167">
        <v>19</v>
      </c>
      <c r="GP106" s="167">
        <v>19</v>
      </c>
      <c r="GQ106" s="167">
        <v>19</v>
      </c>
      <c r="GR106" s="167">
        <v>19</v>
      </c>
      <c r="GS106" s="167">
        <v>19</v>
      </c>
      <c r="GT106" s="167">
        <v>19</v>
      </c>
      <c r="GU106" s="167">
        <v>19</v>
      </c>
      <c r="GV106" s="167">
        <v>19</v>
      </c>
      <c r="GW106" s="167">
        <v>19</v>
      </c>
      <c r="GX106" s="167">
        <v>19</v>
      </c>
      <c r="GY106" s="167">
        <v>19</v>
      </c>
      <c r="GZ106" s="167">
        <v>19</v>
      </c>
      <c r="HA106" s="167">
        <v>19</v>
      </c>
      <c r="HB106" s="167">
        <v>19</v>
      </c>
      <c r="HC106" s="167">
        <v>19</v>
      </c>
      <c r="HD106" s="167">
        <v>19</v>
      </c>
      <c r="HE106" s="167">
        <v>19</v>
      </c>
      <c r="HF106" s="167">
        <v>19</v>
      </c>
      <c r="HG106" s="167">
        <v>19</v>
      </c>
      <c r="HH106" s="167">
        <v>19</v>
      </c>
      <c r="HI106" s="167">
        <v>19</v>
      </c>
      <c r="HJ106" s="167">
        <v>19</v>
      </c>
      <c r="HK106" s="167">
        <v>19</v>
      </c>
      <c r="HL106" s="167">
        <v>19</v>
      </c>
      <c r="HM106" s="167">
        <v>19</v>
      </c>
      <c r="HN106" s="167">
        <v>19</v>
      </c>
      <c r="HO106" s="167">
        <v>19</v>
      </c>
      <c r="HP106" s="167">
        <v>19</v>
      </c>
      <c r="HQ106" s="167">
        <v>19</v>
      </c>
      <c r="HR106" s="167">
        <v>19</v>
      </c>
      <c r="HS106" s="167">
        <v>19</v>
      </c>
      <c r="HT106" s="167">
        <v>19</v>
      </c>
      <c r="HU106" s="216"/>
      <c r="HV106" s="167">
        <v>19</v>
      </c>
      <c r="HW106" s="216"/>
      <c r="HX106" s="216"/>
      <c r="HY106" s="216"/>
      <c r="HZ106" s="216"/>
      <c r="IA106" s="216"/>
      <c r="IB106" s="216"/>
      <c r="IC106" s="216"/>
      <c r="ID106" s="216"/>
      <c r="IE106" s="216"/>
      <c r="IF106" s="216"/>
      <c r="IG106" s="216"/>
      <c r="IH106" s="216"/>
      <c r="II106" s="216"/>
      <c r="IJ106" s="216"/>
      <c r="IK106" s="216"/>
      <c r="IL106" s="216"/>
      <c r="IM106" s="216"/>
      <c r="IN106" s="216"/>
      <c r="IO106" s="216"/>
      <c r="IP106" s="216"/>
      <c r="IQ106" s="216"/>
      <c r="IR106" s="216"/>
      <c r="IS106" s="216"/>
      <c r="IT106" s="216"/>
      <c r="IU106" s="216"/>
      <c r="IV106" s="216"/>
      <c r="IW106" s="216"/>
      <c r="IX106" s="216"/>
      <c r="IY106" s="216"/>
      <c r="IZ106" s="216"/>
      <c r="JA106" s="216"/>
      <c r="JB106" s="216"/>
      <c r="JC106" s="216"/>
      <c r="JD106" s="216"/>
      <c r="JE106" s="216"/>
      <c r="JF106" s="216"/>
      <c r="JG106" s="216"/>
      <c r="JH106" s="216"/>
      <c r="JI106" s="216"/>
      <c r="JJ106" s="216"/>
      <c r="JK106" s="216"/>
      <c r="JL106" s="216"/>
      <c r="JM106" s="216"/>
      <c r="JN106" s="216"/>
      <c r="JO106" s="216"/>
      <c r="JP106" s="216"/>
      <c r="JQ106" s="216"/>
      <c r="JR106" s="216"/>
      <c r="JS106" s="216"/>
      <c r="JT106" s="216"/>
      <c r="JU106" s="216"/>
      <c r="JV106" s="216"/>
      <c r="JW106" s="216"/>
      <c r="JX106" s="216"/>
      <c r="JY106" s="216"/>
      <c r="JZ106" s="216"/>
      <c r="KA106" s="216"/>
      <c r="KB106" s="216"/>
      <c r="KC106" s="216"/>
      <c r="KD106" s="216"/>
      <c r="KE106" s="216"/>
      <c r="KF106" s="216"/>
      <c r="KG106" s="216"/>
      <c r="KH106" s="216"/>
      <c r="KI106" s="216"/>
      <c r="KJ106" s="216"/>
      <c r="KK106" s="216"/>
      <c r="KL106" s="216"/>
      <c r="KM106" s="216"/>
      <c r="KN106" s="216"/>
      <c r="KO106" s="216"/>
      <c r="KP106" s="216"/>
      <c r="KQ106" s="216"/>
      <c r="KR106" s="216"/>
      <c r="KS106" s="216"/>
      <c r="KT106" s="216"/>
      <c r="KU106" s="216"/>
      <c r="KV106" s="216"/>
      <c r="KW106" s="216"/>
      <c r="KX106" s="216"/>
      <c r="KY106" s="216"/>
      <c r="KZ106" s="216"/>
      <c r="LA106" s="216"/>
      <c r="LB106" s="216"/>
      <c r="LC106" s="216"/>
      <c r="LD106" s="216"/>
      <c r="LE106" s="216"/>
    </row>
    <row r="107" spans="1:317" x14ac:dyDescent="0.2">
      <c r="A107" s="179" t="s">
        <v>849</v>
      </c>
      <c r="B107" s="180" t="s">
        <v>1006</v>
      </c>
      <c r="C107" s="181"/>
      <c r="D107" s="182">
        <v>0</v>
      </c>
      <c r="E107" s="182">
        <v>0</v>
      </c>
      <c r="F107" s="183" t="s">
        <v>1283</v>
      </c>
      <c r="G107" s="183">
        <v>0</v>
      </c>
      <c r="H107" s="183">
        <v>0</v>
      </c>
      <c r="I107" s="183">
        <v>0</v>
      </c>
      <c r="J107" s="183">
        <v>0</v>
      </c>
      <c r="K107" s="183" t="s">
        <v>1384</v>
      </c>
      <c r="L107" s="183">
        <v>0</v>
      </c>
      <c r="M107" s="183">
        <v>0</v>
      </c>
      <c r="N107" s="183" t="s">
        <v>872</v>
      </c>
      <c r="O107" s="183">
        <v>0</v>
      </c>
      <c r="P107" s="183">
        <v>0</v>
      </c>
      <c r="Q107" s="183"/>
      <c r="R107" s="183"/>
      <c r="S107" s="183"/>
      <c r="T107" s="183"/>
      <c r="U107" s="183"/>
      <c r="V107" s="183">
        <v>0</v>
      </c>
      <c r="W107" s="183">
        <v>0</v>
      </c>
      <c r="X107" s="183">
        <v>0</v>
      </c>
      <c r="Y107" s="184">
        <v>9.61</v>
      </c>
      <c r="Z107" s="184">
        <v>26.33</v>
      </c>
      <c r="AA107" s="184">
        <v>0</v>
      </c>
      <c r="AB107" s="185" t="s">
        <v>615</v>
      </c>
      <c r="AC107" s="185" t="s">
        <v>615</v>
      </c>
      <c r="AD107" s="186" t="s">
        <v>872</v>
      </c>
      <c r="AE107" s="186" t="s">
        <v>852</v>
      </c>
      <c r="AF107" s="187">
        <v>7</v>
      </c>
      <c r="AG107" s="187">
        <v>3</v>
      </c>
      <c r="AH107" s="187">
        <v>4</v>
      </c>
      <c r="AI107" s="188">
        <v>1</v>
      </c>
      <c r="AJ107" s="188" t="s">
        <v>615</v>
      </c>
      <c r="AK107" s="187" t="s">
        <v>1733</v>
      </c>
      <c r="AL107" s="87" t="s">
        <v>615</v>
      </c>
      <c r="AM107" s="189"/>
      <c r="AN107" s="187" t="s">
        <v>615</v>
      </c>
      <c r="AO107" s="13" t="s">
        <v>615</v>
      </c>
      <c r="AP107" s="187">
        <v>0</v>
      </c>
      <c r="AQ107" s="187">
        <v>0</v>
      </c>
      <c r="AR107" s="190">
        <v>0</v>
      </c>
      <c r="AS107" s="190">
        <v>0</v>
      </c>
      <c r="AT107" s="190">
        <v>0</v>
      </c>
      <c r="AU107" s="187">
        <v>0</v>
      </c>
      <c r="AV107" s="187">
        <v>0</v>
      </c>
      <c r="AW107" s="191"/>
      <c r="AX107" s="192"/>
      <c r="AY107" s="193">
        <v>42666</v>
      </c>
      <c r="AZ107" s="193"/>
      <c r="BA107" s="193"/>
      <c r="BB107" s="194"/>
      <c r="BC107" s="194"/>
      <c r="BD107" s="195"/>
      <c r="BE107" s="195" t="s">
        <v>532</v>
      </c>
      <c r="BF107" s="195"/>
      <c r="BG107" s="195">
        <v>50</v>
      </c>
      <c r="BH107" s="196" t="s">
        <v>547</v>
      </c>
      <c r="BI107" s="197">
        <v>1</v>
      </c>
      <c r="BJ107" s="198"/>
      <c r="BK107" s="199">
        <v>0</v>
      </c>
      <c r="BL107" s="13">
        <v>0</v>
      </c>
      <c r="BM107" s="13">
        <v>0</v>
      </c>
      <c r="BN107" s="13" t="s">
        <v>616</v>
      </c>
      <c r="BO107" s="13" t="s">
        <v>616</v>
      </c>
      <c r="BP107" s="200">
        <v>35</v>
      </c>
      <c r="BQ107" s="201"/>
      <c r="BR107" s="202"/>
      <c r="BS107" s="187">
        <v>1000000000</v>
      </c>
      <c r="BT107" s="203">
        <v>36</v>
      </c>
      <c r="BU107" s="204">
        <v>0</v>
      </c>
      <c r="BV107" s="203">
        <v>0</v>
      </c>
      <c r="BW107" s="205">
        <v>0</v>
      </c>
      <c r="BX107" s="205">
        <v>0</v>
      </c>
      <c r="BY107" s="205">
        <v>0</v>
      </c>
      <c r="BZ107" s="203">
        <v>0</v>
      </c>
      <c r="CA107" s="203">
        <v>0</v>
      </c>
      <c r="CB107" s="203">
        <v>36</v>
      </c>
      <c r="CC107" s="204">
        <v>0</v>
      </c>
      <c r="CD107" s="203">
        <v>0</v>
      </c>
      <c r="CE107" s="203">
        <v>0</v>
      </c>
      <c r="CF107" s="13">
        <v>0</v>
      </c>
      <c r="CG107" s="206">
        <v>0</v>
      </c>
      <c r="CH107" s="207">
        <v>0</v>
      </c>
      <c r="CI107" s="201"/>
      <c r="CJ107" s="208"/>
      <c r="CK107" s="209" t="s">
        <v>615</v>
      </c>
      <c r="CL107" s="210" t="s">
        <v>615</v>
      </c>
      <c r="CM107" s="207">
        <v>0</v>
      </c>
      <c r="CN107" s="207">
        <v>0</v>
      </c>
      <c r="CO107" s="204">
        <v>0</v>
      </c>
      <c r="CP107" s="204">
        <v>0</v>
      </c>
      <c r="CQ107" s="211"/>
      <c r="CR107" s="204">
        <v>1</v>
      </c>
      <c r="CS107" s="212">
        <v>42592</v>
      </c>
      <c r="CT107" s="212">
        <v>42780</v>
      </c>
      <c r="CU107" s="213">
        <v>42780</v>
      </c>
      <c r="CV107" s="214">
        <v>42829</v>
      </c>
      <c r="CW107" s="214" t="s">
        <v>615</v>
      </c>
      <c r="CX107" s="214" t="s">
        <v>615</v>
      </c>
      <c r="CY107" s="204">
        <v>0</v>
      </c>
      <c r="CZ107" s="204">
        <v>0.97959183673469385</v>
      </c>
      <c r="DA107" s="203">
        <v>0</v>
      </c>
      <c r="DB107" s="204">
        <v>0</v>
      </c>
      <c r="DC107" s="204">
        <v>0</v>
      </c>
      <c r="DD107" s="204">
        <v>0</v>
      </c>
      <c r="DE107" s="204">
        <v>0</v>
      </c>
      <c r="DF107" s="215">
        <v>0.97959183673469385</v>
      </c>
      <c r="DG107" s="13" t="s">
        <v>615</v>
      </c>
      <c r="DH107" s="86">
        <v>105</v>
      </c>
      <c r="DI107" s="86"/>
      <c r="DJ107" s="86">
        <v>29</v>
      </c>
      <c r="DK107" s="86" t="s">
        <v>1477</v>
      </c>
      <c r="DL107" s="86" t="e">
        <v>#N/A</v>
      </c>
      <c r="DM107" s="86">
        <v>20</v>
      </c>
      <c r="DN107" s="86" t="e">
        <v>#N/A</v>
      </c>
      <c r="DO107" s="86">
        <v>30</v>
      </c>
      <c r="DP107" s="86">
        <v>2</v>
      </c>
      <c r="DQ107" s="86">
        <v>49</v>
      </c>
      <c r="DR107" s="146">
        <v>36</v>
      </c>
      <c r="DS107" s="146">
        <v>36</v>
      </c>
      <c r="DT107" s="146">
        <v>36</v>
      </c>
      <c r="DU107" s="146">
        <v>36</v>
      </c>
      <c r="DV107" s="146">
        <v>36</v>
      </c>
      <c r="DW107" s="146">
        <v>36</v>
      </c>
      <c r="DX107" s="146">
        <v>36</v>
      </c>
      <c r="DY107" s="146">
        <v>36</v>
      </c>
      <c r="DZ107" s="146">
        <v>36</v>
      </c>
      <c r="EA107" s="146">
        <v>36</v>
      </c>
      <c r="EB107" s="146">
        <v>36</v>
      </c>
      <c r="EC107" s="146">
        <v>36</v>
      </c>
      <c r="ED107" s="146">
        <v>36</v>
      </c>
      <c r="EE107" s="146">
        <v>36</v>
      </c>
      <c r="EF107" s="146">
        <v>36</v>
      </c>
      <c r="EG107" s="146">
        <v>36</v>
      </c>
      <c r="EH107" s="146">
        <v>36</v>
      </c>
      <c r="EI107" s="146">
        <v>36</v>
      </c>
      <c r="EJ107" s="146">
        <v>36</v>
      </c>
      <c r="EK107" s="146">
        <v>36</v>
      </c>
      <c r="EL107" s="146">
        <v>36</v>
      </c>
      <c r="EM107" s="146">
        <v>36</v>
      </c>
      <c r="EN107" s="146">
        <v>36</v>
      </c>
      <c r="EO107" s="146">
        <v>36</v>
      </c>
      <c r="EP107" s="146">
        <v>36</v>
      </c>
      <c r="EQ107" s="146">
        <v>36</v>
      </c>
      <c r="ER107" s="146">
        <v>36</v>
      </c>
      <c r="ES107" s="146">
        <v>36</v>
      </c>
      <c r="ET107" s="146">
        <v>36</v>
      </c>
      <c r="EU107" s="146">
        <v>36</v>
      </c>
      <c r="EV107" s="146">
        <v>36</v>
      </c>
      <c r="EW107" s="146">
        <v>36</v>
      </c>
      <c r="EX107" s="146">
        <v>36</v>
      </c>
      <c r="EY107" s="146">
        <v>36</v>
      </c>
      <c r="EZ107" s="146">
        <v>36</v>
      </c>
      <c r="FA107" s="146">
        <v>36</v>
      </c>
      <c r="FB107" s="146">
        <v>36</v>
      </c>
      <c r="FC107" s="146">
        <v>36</v>
      </c>
      <c r="FD107" s="146">
        <v>36</v>
      </c>
      <c r="FE107" s="146">
        <v>36</v>
      </c>
      <c r="FF107" s="146">
        <v>36</v>
      </c>
      <c r="FG107" s="146">
        <v>36</v>
      </c>
      <c r="FH107" s="146">
        <v>36</v>
      </c>
      <c r="FI107" s="146">
        <v>36</v>
      </c>
      <c r="FJ107" s="146">
        <v>36</v>
      </c>
      <c r="FK107" s="146">
        <v>36</v>
      </c>
      <c r="FL107" s="146">
        <v>36</v>
      </c>
      <c r="FM107" s="146">
        <v>36</v>
      </c>
      <c r="FN107" s="146">
        <v>36</v>
      </c>
      <c r="FO107" s="146">
        <v>36</v>
      </c>
      <c r="FP107" s="146">
        <v>36</v>
      </c>
      <c r="FQ107" s="146">
        <v>36</v>
      </c>
      <c r="FR107" s="146">
        <v>36</v>
      </c>
      <c r="FS107" s="162">
        <v>36</v>
      </c>
      <c r="FT107" s="162">
        <v>36</v>
      </c>
      <c r="FU107" s="162">
        <v>36</v>
      </c>
      <c r="FV107" s="162">
        <v>36</v>
      </c>
      <c r="FW107" s="162">
        <v>36</v>
      </c>
      <c r="FX107" s="162">
        <v>36</v>
      </c>
      <c r="FY107" s="162">
        <v>36</v>
      </c>
      <c r="FZ107" s="162">
        <v>36</v>
      </c>
      <c r="GA107" s="162">
        <v>36</v>
      </c>
      <c r="GB107" s="162">
        <v>36</v>
      </c>
      <c r="GC107" s="162">
        <v>36</v>
      </c>
      <c r="GD107" s="162">
        <v>36</v>
      </c>
      <c r="GE107" s="162">
        <v>36</v>
      </c>
      <c r="GF107" s="162">
        <v>36</v>
      </c>
      <c r="GG107" s="162">
        <v>36</v>
      </c>
      <c r="GH107" s="162">
        <v>36</v>
      </c>
      <c r="GI107" s="162">
        <v>36</v>
      </c>
      <c r="GJ107" s="162">
        <v>36</v>
      </c>
      <c r="GK107" s="162">
        <v>36</v>
      </c>
      <c r="GL107" s="162">
        <v>36</v>
      </c>
      <c r="GM107" s="162">
        <v>36</v>
      </c>
      <c r="GN107" s="162">
        <v>36</v>
      </c>
      <c r="GO107" s="162">
        <v>36</v>
      </c>
      <c r="GP107" s="162">
        <v>36</v>
      </c>
      <c r="GQ107" s="162">
        <v>36</v>
      </c>
      <c r="GR107" s="162">
        <v>36</v>
      </c>
      <c r="GS107" s="162">
        <v>36</v>
      </c>
      <c r="GT107" s="162">
        <v>36</v>
      </c>
      <c r="GU107" s="162">
        <v>36</v>
      </c>
      <c r="GV107" s="162">
        <v>36</v>
      </c>
      <c r="GW107" s="162">
        <v>36</v>
      </c>
      <c r="GX107" s="162">
        <v>36</v>
      </c>
      <c r="GY107" s="162">
        <v>36</v>
      </c>
      <c r="GZ107" s="162">
        <v>36</v>
      </c>
      <c r="HA107" s="162">
        <v>36</v>
      </c>
      <c r="HB107" s="162">
        <v>36</v>
      </c>
      <c r="HC107" s="162">
        <v>36</v>
      </c>
      <c r="HD107" s="162">
        <v>36</v>
      </c>
      <c r="HE107" s="162">
        <v>36</v>
      </c>
      <c r="HF107" s="162">
        <v>36</v>
      </c>
      <c r="HG107" s="161">
        <v>36</v>
      </c>
      <c r="HH107" s="161">
        <v>36</v>
      </c>
      <c r="HI107" s="146">
        <v>36</v>
      </c>
      <c r="HJ107" s="146">
        <v>36</v>
      </c>
      <c r="HK107" s="146">
        <v>36</v>
      </c>
      <c r="HL107" s="146">
        <v>36</v>
      </c>
      <c r="HM107" s="146">
        <v>36</v>
      </c>
      <c r="HN107" s="146">
        <v>36</v>
      </c>
      <c r="HO107" s="146">
        <v>36</v>
      </c>
      <c r="HP107" s="146">
        <v>36</v>
      </c>
      <c r="HQ107" s="146">
        <v>36</v>
      </c>
      <c r="HR107" s="146">
        <v>36</v>
      </c>
      <c r="HS107" s="146">
        <v>36</v>
      </c>
      <c r="HT107" s="146">
        <v>36</v>
      </c>
      <c r="HU107" s="151"/>
      <c r="HV107" s="146">
        <v>36</v>
      </c>
      <c r="HW107" s="151"/>
      <c r="HX107" s="151"/>
      <c r="HY107" s="151"/>
      <c r="HZ107" s="151"/>
      <c r="IA107" s="151"/>
      <c r="IB107" s="151"/>
      <c r="IC107" s="151"/>
      <c r="ID107" s="151"/>
      <c r="IE107" s="151"/>
      <c r="IF107" s="151"/>
      <c r="IG107" s="151"/>
      <c r="IH107" s="151"/>
      <c r="II107" s="151"/>
      <c r="IJ107" s="151"/>
      <c r="IK107" s="151"/>
      <c r="IL107" s="151"/>
      <c r="IM107" s="151"/>
      <c r="IN107" s="151"/>
      <c r="IO107" s="151"/>
      <c r="IP107" s="151"/>
      <c r="IQ107" s="151"/>
      <c r="IR107" s="151"/>
      <c r="IS107" s="151"/>
      <c r="IT107" s="151"/>
      <c r="IU107" s="151"/>
      <c r="IV107" s="151"/>
      <c r="IW107" s="151"/>
      <c r="IX107" s="151"/>
      <c r="IY107" s="151"/>
      <c r="IZ107" s="151"/>
      <c r="JA107" s="151"/>
      <c r="JB107" s="151"/>
      <c r="JC107" s="151"/>
      <c r="JD107" s="151"/>
      <c r="JE107" s="151"/>
      <c r="JF107" s="151"/>
      <c r="JG107" s="151"/>
      <c r="JH107" s="151"/>
      <c r="JI107" s="151"/>
      <c r="JJ107" s="151"/>
      <c r="JK107" s="151"/>
      <c r="JL107" s="151"/>
      <c r="JM107" s="151"/>
      <c r="JN107" s="151"/>
      <c r="JO107" s="151"/>
      <c r="JP107" s="151"/>
      <c r="JQ107" s="151"/>
      <c r="JR107" s="151"/>
      <c r="JS107" s="151"/>
      <c r="JT107" s="151"/>
      <c r="JU107" s="151"/>
      <c r="JV107" s="151"/>
      <c r="JW107" s="151"/>
      <c r="JX107" s="151"/>
      <c r="JY107" s="151"/>
      <c r="JZ107" s="151"/>
      <c r="KA107" s="151"/>
      <c r="KB107" s="151"/>
      <c r="KC107" s="151"/>
      <c r="KD107" s="151"/>
      <c r="KE107" s="151"/>
      <c r="KF107" s="151"/>
      <c r="KG107" s="151"/>
      <c r="KH107" s="151"/>
      <c r="KI107" s="151"/>
      <c r="KJ107" s="151"/>
      <c r="KK107" s="151"/>
      <c r="KL107" s="151"/>
      <c r="KM107" s="151"/>
      <c r="KN107" s="151"/>
      <c r="KO107" s="151"/>
      <c r="KP107" s="151"/>
      <c r="KQ107" s="151"/>
      <c r="KR107" s="151"/>
      <c r="KS107" s="151"/>
      <c r="KT107" s="151"/>
      <c r="KU107" s="151"/>
      <c r="KV107" s="151"/>
      <c r="KW107" s="151"/>
      <c r="KX107" s="151"/>
      <c r="KY107" s="151"/>
      <c r="KZ107" s="151"/>
      <c r="LA107" s="151"/>
      <c r="LB107" s="151"/>
      <c r="LC107" s="151"/>
      <c r="LD107" s="151"/>
      <c r="LE107" s="151"/>
    </row>
    <row r="108" spans="1:317" x14ac:dyDescent="0.2">
      <c r="A108" s="179" t="s">
        <v>849</v>
      </c>
      <c r="B108" s="180" t="s">
        <v>1007</v>
      </c>
      <c r="C108" s="181"/>
      <c r="D108" s="182">
        <v>0</v>
      </c>
      <c r="E108" s="182">
        <v>0</v>
      </c>
      <c r="F108" s="183" t="s">
        <v>1284</v>
      </c>
      <c r="G108" s="183">
        <v>0</v>
      </c>
      <c r="H108" s="183">
        <v>0</v>
      </c>
      <c r="I108" s="183">
        <v>0</v>
      </c>
      <c r="J108" s="183">
        <v>0</v>
      </c>
      <c r="K108" s="183" t="s">
        <v>1383</v>
      </c>
      <c r="L108" s="183">
        <v>0</v>
      </c>
      <c r="M108" s="183">
        <v>0</v>
      </c>
      <c r="N108" s="183" t="s">
        <v>872</v>
      </c>
      <c r="O108" s="183">
        <v>0</v>
      </c>
      <c r="P108" s="183">
        <v>0</v>
      </c>
      <c r="Q108" s="183"/>
      <c r="R108" s="183"/>
      <c r="S108" s="183"/>
      <c r="T108" s="183"/>
      <c r="U108" s="183"/>
      <c r="V108" s="183">
        <v>0</v>
      </c>
      <c r="W108" s="183">
        <v>0</v>
      </c>
      <c r="X108" s="183">
        <v>0</v>
      </c>
      <c r="Y108" s="184">
        <v>0</v>
      </c>
      <c r="Z108" s="184">
        <v>0</v>
      </c>
      <c r="AA108" s="184">
        <v>0</v>
      </c>
      <c r="AB108" s="185" t="s">
        <v>615</v>
      </c>
      <c r="AC108" s="185" t="s">
        <v>615</v>
      </c>
      <c r="AD108" s="186" t="s">
        <v>872</v>
      </c>
      <c r="AE108" s="186" t="s">
        <v>852</v>
      </c>
      <c r="AF108" s="187">
        <v>7</v>
      </c>
      <c r="AG108" s="187">
        <v>3</v>
      </c>
      <c r="AH108" s="187">
        <v>4</v>
      </c>
      <c r="AI108" s="188">
        <v>1</v>
      </c>
      <c r="AJ108" s="188" t="s">
        <v>615</v>
      </c>
      <c r="AK108" s="187" t="s">
        <v>1736</v>
      </c>
      <c r="AL108" s="87" t="s">
        <v>615</v>
      </c>
      <c r="AM108" s="189"/>
      <c r="AN108" s="187" t="s">
        <v>615</v>
      </c>
      <c r="AO108" s="13" t="s">
        <v>615</v>
      </c>
      <c r="AP108" s="187">
        <v>0</v>
      </c>
      <c r="AQ108" s="187">
        <v>0</v>
      </c>
      <c r="AR108" s="190">
        <v>0</v>
      </c>
      <c r="AS108" s="190">
        <v>0</v>
      </c>
      <c r="AT108" s="190">
        <v>0</v>
      </c>
      <c r="AU108" s="187">
        <v>0</v>
      </c>
      <c r="AV108" s="187">
        <v>0</v>
      </c>
      <c r="AW108" s="191"/>
      <c r="AX108" s="192"/>
      <c r="AY108" s="193">
        <v>42666</v>
      </c>
      <c r="AZ108" s="193"/>
      <c r="BA108" s="193"/>
      <c r="BB108" s="194"/>
      <c r="BC108" s="194"/>
      <c r="BD108" s="195"/>
      <c r="BE108" s="195" t="s">
        <v>532</v>
      </c>
      <c r="BF108" s="195"/>
      <c r="BG108" s="195">
        <v>1</v>
      </c>
      <c r="BH108" s="196" t="s">
        <v>547</v>
      </c>
      <c r="BI108" s="197">
        <v>1</v>
      </c>
      <c r="BJ108" s="198"/>
      <c r="BK108" s="199">
        <v>0</v>
      </c>
      <c r="BL108" s="13">
        <v>0</v>
      </c>
      <c r="BM108" s="13">
        <v>0</v>
      </c>
      <c r="BN108" s="13" t="s">
        <v>616</v>
      </c>
      <c r="BO108" s="13" t="s">
        <v>616</v>
      </c>
      <c r="BP108" s="200">
        <v>1</v>
      </c>
      <c r="BQ108" s="201"/>
      <c r="BR108" s="202"/>
      <c r="BS108" s="187">
        <v>1000000000</v>
      </c>
      <c r="BT108" s="203">
        <v>0</v>
      </c>
      <c r="BU108" s="204">
        <v>0</v>
      </c>
      <c r="BV108" s="203">
        <v>0</v>
      </c>
      <c r="BW108" s="205">
        <v>0</v>
      </c>
      <c r="BX108" s="205">
        <v>0</v>
      </c>
      <c r="BY108" s="205">
        <v>0</v>
      </c>
      <c r="BZ108" s="203">
        <v>0</v>
      </c>
      <c r="CA108" s="203">
        <v>0</v>
      </c>
      <c r="CB108" s="203">
        <v>0</v>
      </c>
      <c r="CC108" s="204">
        <v>0</v>
      </c>
      <c r="CD108" s="203">
        <v>0</v>
      </c>
      <c r="CE108" s="203">
        <v>0</v>
      </c>
      <c r="CF108" s="13">
        <v>0</v>
      </c>
      <c r="CG108" s="206">
        <v>0</v>
      </c>
      <c r="CH108" s="207">
        <v>0</v>
      </c>
      <c r="CI108" s="201"/>
      <c r="CJ108" s="208"/>
      <c r="CK108" s="209" t="s">
        <v>615</v>
      </c>
      <c r="CL108" s="210" t="s">
        <v>615</v>
      </c>
      <c r="CM108" s="207">
        <v>0</v>
      </c>
      <c r="CN108" s="207">
        <v>0</v>
      </c>
      <c r="CO108" s="204">
        <v>0</v>
      </c>
      <c r="CP108" s="204">
        <v>0</v>
      </c>
      <c r="CQ108" s="211"/>
      <c r="CR108" s="204">
        <v>1</v>
      </c>
      <c r="CS108" s="212">
        <v>42531</v>
      </c>
      <c r="CT108" s="212">
        <v>42780</v>
      </c>
      <c r="CU108" s="213">
        <v>42780</v>
      </c>
      <c r="CV108" s="214">
        <v>42829</v>
      </c>
      <c r="CW108" s="214" t="s">
        <v>615</v>
      </c>
      <c r="CX108" s="214" t="s">
        <v>615</v>
      </c>
      <c r="CY108" s="204">
        <v>1</v>
      </c>
      <c r="CZ108" s="204">
        <v>0.97959183673469385</v>
      </c>
      <c r="DA108" s="203">
        <v>0</v>
      </c>
      <c r="DB108" s="204">
        <v>0.97959183673469385</v>
      </c>
      <c r="DC108" s="204">
        <v>0</v>
      </c>
      <c r="DD108" s="204">
        <v>0</v>
      </c>
      <c r="DE108" s="204">
        <v>0</v>
      </c>
      <c r="DF108" s="215">
        <v>0</v>
      </c>
      <c r="DG108" s="13" t="s">
        <v>615</v>
      </c>
      <c r="DH108" s="86">
        <v>106</v>
      </c>
      <c r="DI108" s="86"/>
      <c r="DJ108" s="86">
        <v>25</v>
      </c>
      <c r="DK108" s="86" t="s">
        <v>1526</v>
      </c>
      <c r="DL108" s="86" t="e">
        <v>#N/A</v>
      </c>
      <c r="DM108" s="86" t="e">
        <v>#N/A</v>
      </c>
      <c r="DN108" s="86" t="e">
        <v>#N/A</v>
      </c>
      <c r="DO108" s="86">
        <v>26</v>
      </c>
      <c r="DP108" s="86">
        <v>2</v>
      </c>
      <c r="DQ108" s="86">
        <v>49</v>
      </c>
      <c r="DR108" s="152">
        <v>0</v>
      </c>
      <c r="DS108" s="152">
        <v>0</v>
      </c>
      <c r="DT108" s="152">
        <v>0</v>
      </c>
      <c r="DU108" s="152">
        <v>0</v>
      </c>
      <c r="DV108" s="152">
        <v>0</v>
      </c>
      <c r="DW108" s="152">
        <v>0</v>
      </c>
      <c r="DX108" s="152">
        <v>0</v>
      </c>
      <c r="DY108" s="152">
        <v>0</v>
      </c>
      <c r="DZ108" s="152">
        <v>0</v>
      </c>
      <c r="EA108" s="152">
        <v>0</v>
      </c>
      <c r="EB108" s="152">
        <v>0</v>
      </c>
      <c r="EC108" s="152">
        <v>0</v>
      </c>
      <c r="ED108" s="152">
        <v>0</v>
      </c>
      <c r="EE108" s="152">
        <v>0</v>
      </c>
      <c r="EF108" s="152">
        <v>0</v>
      </c>
      <c r="EG108" s="152">
        <v>0</v>
      </c>
      <c r="EH108" s="152">
        <v>0</v>
      </c>
      <c r="EI108" s="152">
        <v>0</v>
      </c>
      <c r="EJ108" s="152">
        <v>0</v>
      </c>
      <c r="EK108" s="152">
        <v>0</v>
      </c>
      <c r="EL108" s="152">
        <v>0</v>
      </c>
      <c r="EM108" s="152">
        <v>0</v>
      </c>
      <c r="EN108" s="152">
        <v>0</v>
      </c>
      <c r="EO108" s="152">
        <v>0</v>
      </c>
      <c r="EP108" s="152">
        <v>0</v>
      </c>
      <c r="EQ108" s="152">
        <v>0</v>
      </c>
      <c r="ER108" s="152">
        <v>0</v>
      </c>
      <c r="ES108" s="152">
        <v>0</v>
      </c>
      <c r="ET108" s="152">
        <v>0</v>
      </c>
      <c r="EU108" s="152">
        <v>0</v>
      </c>
      <c r="EV108" s="152">
        <v>0</v>
      </c>
      <c r="EW108" s="152">
        <v>0</v>
      </c>
      <c r="EX108" s="152">
        <v>0</v>
      </c>
      <c r="EY108" s="152">
        <v>0</v>
      </c>
      <c r="EZ108" s="152">
        <v>0</v>
      </c>
      <c r="FA108" s="152">
        <v>0</v>
      </c>
      <c r="FB108" s="152">
        <v>0</v>
      </c>
      <c r="FC108" s="152">
        <v>0</v>
      </c>
      <c r="FD108" s="152">
        <v>0</v>
      </c>
      <c r="FE108" s="152">
        <v>0</v>
      </c>
      <c r="FF108" s="152">
        <v>0</v>
      </c>
      <c r="FG108" s="152">
        <v>0</v>
      </c>
      <c r="FH108" s="152">
        <v>0</v>
      </c>
      <c r="FI108" s="152">
        <v>0</v>
      </c>
      <c r="FJ108" s="152">
        <v>0</v>
      </c>
      <c r="FK108" s="152">
        <v>0</v>
      </c>
      <c r="FL108" s="152">
        <v>0</v>
      </c>
      <c r="FM108" s="152">
        <v>0</v>
      </c>
      <c r="FN108" s="152">
        <v>0</v>
      </c>
      <c r="FO108" s="152">
        <v>0</v>
      </c>
      <c r="FP108" s="152">
        <v>0</v>
      </c>
      <c r="FQ108" s="152">
        <v>0</v>
      </c>
      <c r="FR108" s="152">
        <v>0</v>
      </c>
      <c r="FS108" s="166">
        <v>0</v>
      </c>
      <c r="FT108" s="166">
        <v>0</v>
      </c>
      <c r="FU108" s="166">
        <v>0</v>
      </c>
      <c r="FV108" s="166">
        <v>0</v>
      </c>
      <c r="FW108" s="166">
        <v>0</v>
      </c>
      <c r="FX108" s="166">
        <v>0</v>
      </c>
      <c r="FY108" s="166">
        <v>0</v>
      </c>
      <c r="FZ108" s="166">
        <v>0</v>
      </c>
      <c r="GA108" s="166">
        <v>0</v>
      </c>
      <c r="GB108" s="166">
        <v>0</v>
      </c>
      <c r="GC108" s="166">
        <v>0</v>
      </c>
      <c r="GD108" s="166">
        <v>0</v>
      </c>
      <c r="GE108" s="166">
        <v>0</v>
      </c>
      <c r="GF108" s="166">
        <v>0</v>
      </c>
      <c r="GG108" s="166">
        <v>0</v>
      </c>
      <c r="GH108" s="166">
        <v>0</v>
      </c>
      <c r="GI108" s="166">
        <v>0</v>
      </c>
      <c r="GJ108" s="166">
        <v>0</v>
      </c>
      <c r="GK108" s="166">
        <v>0</v>
      </c>
      <c r="GL108" s="166">
        <v>0</v>
      </c>
      <c r="GM108" s="166">
        <v>0</v>
      </c>
      <c r="GN108" s="166">
        <v>0</v>
      </c>
      <c r="GO108" s="166">
        <v>0</v>
      </c>
      <c r="GP108" s="166">
        <v>0</v>
      </c>
      <c r="GQ108" s="166">
        <v>0</v>
      </c>
      <c r="GR108" s="166">
        <v>0</v>
      </c>
      <c r="GS108" s="166">
        <v>0</v>
      </c>
      <c r="GT108" s="166">
        <v>0</v>
      </c>
      <c r="GU108" s="166">
        <v>0</v>
      </c>
      <c r="GV108" s="166">
        <v>0</v>
      </c>
      <c r="GW108" s="166">
        <v>0</v>
      </c>
      <c r="GX108" s="166">
        <v>0</v>
      </c>
      <c r="GY108" s="166">
        <v>0</v>
      </c>
      <c r="GZ108" s="166">
        <v>0</v>
      </c>
      <c r="HA108" s="166">
        <v>0</v>
      </c>
      <c r="HB108" s="166">
        <v>0</v>
      </c>
      <c r="HC108" s="166">
        <v>0</v>
      </c>
      <c r="HD108" s="166">
        <v>0</v>
      </c>
      <c r="HE108" s="166">
        <v>0</v>
      </c>
      <c r="HF108" s="166">
        <v>0</v>
      </c>
      <c r="HG108" s="166">
        <v>0</v>
      </c>
      <c r="HH108" s="152">
        <v>0</v>
      </c>
      <c r="HI108" s="152">
        <v>0</v>
      </c>
      <c r="HJ108" s="152">
        <v>0</v>
      </c>
      <c r="HK108" s="152">
        <v>0</v>
      </c>
      <c r="HL108" s="152">
        <v>0</v>
      </c>
      <c r="HM108" s="152">
        <v>0</v>
      </c>
      <c r="HN108" s="152">
        <v>0</v>
      </c>
      <c r="HO108" s="152">
        <v>0</v>
      </c>
      <c r="HP108" s="152">
        <v>0</v>
      </c>
      <c r="HQ108" s="152">
        <v>0</v>
      </c>
      <c r="HR108" s="152">
        <v>0</v>
      </c>
      <c r="HS108" s="152">
        <v>0</v>
      </c>
      <c r="HT108" s="152">
        <v>0</v>
      </c>
      <c r="HU108" s="216"/>
      <c r="HV108" s="152">
        <v>0</v>
      </c>
      <c r="HW108" s="216"/>
      <c r="HX108" s="216"/>
      <c r="HY108" s="216"/>
      <c r="HZ108" s="216"/>
      <c r="IA108" s="216"/>
      <c r="IB108" s="216"/>
      <c r="IC108" s="216"/>
      <c r="ID108" s="216"/>
      <c r="IE108" s="216"/>
      <c r="IF108" s="216"/>
      <c r="IG108" s="216"/>
      <c r="IH108" s="216"/>
      <c r="II108" s="216"/>
      <c r="IJ108" s="216"/>
      <c r="IK108" s="216"/>
      <c r="IL108" s="216"/>
      <c r="IM108" s="216"/>
      <c r="IN108" s="216"/>
      <c r="IO108" s="216"/>
      <c r="IP108" s="216"/>
      <c r="IQ108" s="216"/>
      <c r="IR108" s="216"/>
      <c r="IS108" s="216"/>
      <c r="IT108" s="216"/>
      <c r="IU108" s="216"/>
      <c r="IV108" s="216"/>
      <c r="IW108" s="216"/>
      <c r="IX108" s="216"/>
      <c r="IY108" s="216"/>
      <c r="IZ108" s="216"/>
      <c r="JA108" s="216"/>
      <c r="JB108" s="216"/>
      <c r="JC108" s="216"/>
      <c r="JD108" s="216"/>
      <c r="JE108" s="216"/>
      <c r="JF108" s="216"/>
      <c r="JG108" s="216"/>
      <c r="JH108" s="216"/>
      <c r="JI108" s="216"/>
      <c r="JJ108" s="216"/>
      <c r="JK108" s="216"/>
      <c r="JL108" s="216"/>
      <c r="JM108" s="216"/>
      <c r="JN108" s="216"/>
      <c r="JO108" s="216"/>
      <c r="JP108" s="216"/>
      <c r="JQ108" s="216"/>
      <c r="JR108" s="216"/>
      <c r="JS108" s="216"/>
      <c r="JT108" s="216"/>
      <c r="JU108" s="216"/>
      <c r="JV108" s="216"/>
      <c r="JW108" s="216"/>
      <c r="JX108" s="216"/>
      <c r="JY108" s="216"/>
      <c r="JZ108" s="216"/>
      <c r="KA108" s="216"/>
      <c r="KB108" s="216"/>
      <c r="KC108" s="216"/>
      <c r="KD108" s="216"/>
      <c r="KE108" s="216"/>
      <c r="KF108" s="216"/>
      <c r="KG108" s="216"/>
      <c r="KH108" s="216"/>
      <c r="KI108" s="216"/>
      <c r="KJ108" s="216"/>
      <c r="KK108" s="216"/>
      <c r="KL108" s="216"/>
      <c r="KM108" s="216"/>
      <c r="KN108" s="216"/>
      <c r="KO108" s="216"/>
      <c r="KP108" s="216"/>
      <c r="KQ108" s="216"/>
      <c r="KR108" s="216"/>
      <c r="KS108" s="216"/>
      <c r="KT108" s="216"/>
      <c r="KU108" s="216"/>
      <c r="KV108" s="216"/>
      <c r="KW108" s="216"/>
      <c r="KX108" s="216"/>
      <c r="KY108" s="216"/>
      <c r="KZ108" s="216"/>
      <c r="LA108" s="216"/>
      <c r="LB108" s="216"/>
      <c r="LC108" s="216"/>
      <c r="LD108" s="216"/>
      <c r="LE108" s="216"/>
    </row>
    <row r="109" spans="1:317" x14ac:dyDescent="0.2">
      <c r="A109" s="179" t="s">
        <v>849</v>
      </c>
      <c r="B109" s="180" t="s">
        <v>1008</v>
      </c>
      <c r="C109" s="181"/>
      <c r="D109" s="182">
        <v>0</v>
      </c>
      <c r="E109" s="182">
        <v>0</v>
      </c>
      <c r="F109" s="183" t="s">
        <v>1285</v>
      </c>
      <c r="G109" s="183">
        <v>0</v>
      </c>
      <c r="H109" s="183">
        <v>0</v>
      </c>
      <c r="I109" s="183">
        <v>0</v>
      </c>
      <c r="J109" s="183">
        <v>0</v>
      </c>
      <c r="K109" s="183" t="s">
        <v>1383</v>
      </c>
      <c r="L109" s="183">
        <v>0</v>
      </c>
      <c r="M109" s="183">
        <v>0</v>
      </c>
      <c r="N109" s="183" t="s">
        <v>872</v>
      </c>
      <c r="O109" s="183">
        <v>0</v>
      </c>
      <c r="P109" s="183">
        <v>0</v>
      </c>
      <c r="Q109" s="183"/>
      <c r="R109" s="183"/>
      <c r="S109" s="183"/>
      <c r="T109" s="183"/>
      <c r="U109" s="183"/>
      <c r="V109" s="183">
        <v>0</v>
      </c>
      <c r="W109" s="183">
        <v>0</v>
      </c>
      <c r="X109" s="183">
        <v>0</v>
      </c>
      <c r="Y109" s="184">
        <v>1268.8499999999999</v>
      </c>
      <c r="Z109" s="184">
        <v>3178.12</v>
      </c>
      <c r="AA109" s="184">
        <v>0</v>
      </c>
      <c r="AB109" s="185" t="s">
        <v>615</v>
      </c>
      <c r="AC109" s="185" t="s">
        <v>615</v>
      </c>
      <c r="AD109" s="186" t="s">
        <v>872</v>
      </c>
      <c r="AE109" s="186" t="s">
        <v>852</v>
      </c>
      <c r="AF109" s="187">
        <v>7</v>
      </c>
      <c r="AG109" s="187">
        <v>3</v>
      </c>
      <c r="AH109" s="187">
        <v>4</v>
      </c>
      <c r="AI109" s="188">
        <v>1</v>
      </c>
      <c r="AJ109" s="188" t="s">
        <v>615</v>
      </c>
      <c r="AK109" s="187" t="s">
        <v>1736</v>
      </c>
      <c r="AL109" s="87" t="s">
        <v>615</v>
      </c>
      <c r="AM109" s="189"/>
      <c r="AN109" s="187" t="s">
        <v>615</v>
      </c>
      <c r="AO109" s="13" t="s">
        <v>615</v>
      </c>
      <c r="AP109" s="187">
        <v>0</v>
      </c>
      <c r="AQ109" s="187">
        <v>0</v>
      </c>
      <c r="AR109" s="190">
        <v>0</v>
      </c>
      <c r="AS109" s="190">
        <v>0</v>
      </c>
      <c r="AT109" s="190">
        <v>0</v>
      </c>
      <c r="AU109" s="187">
        <v>0</v>
      </c>
      <c r="AV109" s="187">
        <v>0</v>
      </c>
      <c r="AW109" s="191"/>
      <c r="AX109" s="192"/>
      <c r="AY109" s="193">
        <v>42666</v>
      </c>
      <c r="AZ109" s="193"/>
      <c r="BA109" s="193"/>
      <c r="BB109" s="194"/>
      <c r="BC109" s="194"/>
      <c r="BD109" s="195"/>
      <c r="BE109" s="195" t="s">
        <v>532</v>
      </c>
      <c r="BF109" s="195"/>
      <c r="BG109" s="195">
        <v>1</v>
      </c>
      <c r="BH109" s="196" t="s">
        <v>547</v>
      </c>
      <c r="BI109" s="197">
        <v>1</v>
      </c>
      <c r="BJ109" s="198"/>
      <c r="BK109" s="199">
        <v>0</v>
      </c>
      <c r="BL109" s="13">
        <v>0</v>
      </c>
      <c r="BM109" s="13">
        <v>0</v>
      </c>
      <c r="BN109" s="13" t="s">
        <v>616</v>
      </c>
      <c r="BO109" s="13" t="s">
        <v>616</v>
      </c>
      <c r="BP109" s="200">
        <v>1</v>
      </c>
      <c r="BQ109" s="201"/>
      <c r="BR109" s="202"/>
      <c r="BS109" s="187">
        <v>1000000000</v>
      </c>
      <c r="BT109" s="203">
        <v>0</v>
      </c>
      <c r="BU109" s="204">
        <v>0</v>
      </c>
      <c r="BV109" s="203">
        <v>0</v>
      </c>
      <c r="BW109" s="205">
        <v>0</v>
      </c>
      <c r="BX109" s="205">
        <v>0</v>
      </c>
      <c r="BY109" s="205">
        <v>0</v>
      </c>
      <c r="BZ109" s="203">
        <v>0</v>
      </c>
      <c r="CA109" s="203">
        <v>0</v>
      </c>
      <c r="CB109" s="203">
        <v>0</v>
      </c>
      <c r="CC109" s="204">
        <v>0</v>
      </c>
      <c r="CD109" s="203">
        <v>0</v>
      </c>
      <c r="CE109" s="203">
        <v>0</v>
      </c>
      <c r="CF109" s="13">
        <v>0</v>
      </c>
      <c r="CG109" s="206">
        <v>0</v>
      </c>
      <c r="CH109" s="207">
        <v>0</v>
      </c>
      <c r="CI109" s="201"/>
      <c r="CJ109" s="208"/>
      <c r="CK109" s="209" t="s">
        <v>615</v>
      </c>
      <c r="CL109" s="210" t="s">
        <v>615</v>
      </c>
      <c r="CM109" s="207">
        <v>0</v>
      </c>
      <c r="CN109" s="207">
        <v>0</v>
      </c>
      <c r="CO109" s="204">
        <v>0</v>
      </c>
      <c r="CP109" s="204">
        <v>0</v>
      </c>
      <c r="CQ109" s="211"/>
      <c r="CR109" s="204">
        <v>1</v>
      </c>
      <c r="CS109" s="212">
        <v>42531</v>
      </c>
      <c r="CT109" s="212">
        <v>42780</v>
      </c>
      <c r="CU109" s="213">
        <v>42780</v>
      </c>
      <c r="CV109" s="214">
        <v>42829</v>
      </c>
      <c r="CW109" s="214" t="s">
        <v>615</v>
      </c>
      <c r="CX109" s="214" t="s">
        <v>615</v>
      </c>
      <c r="CY109" s="204">
        <v>1</v>
      </c>
      <c r="CZ109" s="204">
        <v>0.97959183673469385</v>
      </c>
      <c r="DA109" s="203">
        <v>0</v>
      </c>
      <c r="DB109" s="204">
        <v>0.97959183673469385</v>
      </c>
      <c r="DC109" s="204">
        <v>0</v>
      </c>
      <c r="DD109" s="204">
        <v>0</v>
      </c>
      <c r="DE109" s="204">
        <v>0</v>
      </c>
      <c r="DF109" s="215">
        <v>0</v>
      </c>
      <c r="DG109" s="13" t="s">
        <v>615</v>
      </c>
      <c r="DH109" s="86">
        <v>107</v>
      </c>
      <c r="DI109" s="86"/>
      <c r="DJ109" s="86">
        <v>24</v>
      </c>
      <c r="DK109" s="86" t="s">
        <v>1525</v>
      </c>
      <c r="DL109" s="86" t="e">
        <v>#N/A</v>
      </c>
      <c r="DM109" s="86" t="e">
        <v>#N/A</v>
      </c>
      <c r="DN109" s="86" t="e">
        <v>#N/A</v>
      </c>
      <c r="DO109" s="86">
        <v>25</v>
      </c>
      <c r="DP109" s="86">
        <v>2</v>
      </c>
      <c r="DQ109" s="86">
        <v>49</v>
      </c>
      <c r="DR109" s="146">
        <v>0</v>
      </c>
      <c r="DS109" s="146">
        <v>0</v>
      </c>
      <c r="DT109" s="146">
        <v>0</v>
      </c>
      <c r="DU109" s="146">
        <v>0</v>
      </c>
      <c r="DV109" s="146">
        <v>0</v>
      </c>
      <c r="DW109" s="146">
        <v>0</v>
      </c>
      <c r="DX109" s="146">
        <v>0</v>
      </c>
      <c r="DY109" s="146">
        <v>0</v>
      </c>
      <c r="DZ109" s="146">
        <v>0</v>
      </c>
      <c r="EA109" s="146">
        <v>0</v>
      </c>
      <c r="EB109" s="146">
        <v>0</v>
      </c>
      <c r="EC109" s="146">
        <v>0</v>
      </c>
      <c r="ED109" s="146">
        <v>0</v>
      </c>
      <c r="EE109" s="146">
        <v>0</v>
      </c>
      <c r="EF109" s="146">
        <v>0</v>
      </c>
      <c r="EG109" s="146">
        <v>0</v>
      </c>
      <c r="EH109" s="146">
        <v>0</v>
      </c>
      <c r="EI109" s="146">
        <v>0</v>
      </c>
      <c r="EJ109" s="146">
        <v>0</v>
      </c>
      <c r="EK109" s="146">
        <v>0</v>
      </c>
      <c r="EL109" s="146">
        <v>0</v>
      </c>
      <c r="EM109" s="146">
        <v>0</v>
      </c>
      <c r="EN109" s="146">
        <v>0</v>
      </c>
      <c r="EO109" s="146">
        <v>0</v>
      </c>
      <c r="EP109" s="146">
        <v>0</v>
      </c>
      <c r="EQ109" s="146">
        <v>0</v>
      </c>
      <c r="ER109" s="146">
        <v>0</v>
      </c>
      <c r="ES109" s="146">
        <v>0</v>
      </c>
      <c r="ET109" s="146">
        <v>0</v>
      </c>
      <c r="EU109" s="146">
        <v>0</v>
      </c>
      <c r="EV109" s="146">
        <v>0</v>
      </c>
      <c r="EW109" s="146">
        <v>0</v>
      </c>
      <c r="EX109" s="146">
        <v>0</v>
      </c>
      <c r="EY109" s="146">
        <v>0</v>
      </c>
      <c r="EZ109" s="146">
        <v>0</v>
      </c>
      <c r="FA109" s="146">
        <v>0</v>
      </c>
      <c r="FB109" s="146">
        <v>0</v>
      </c>
      <c r="FC109" s="146">
        <v>0</v>
      </c>
      <c r="FD109" s="146">
        <v>0</v>
      </c>
      <c r="FE109" s="146">
        <v>0</v>
      </c>
      <c r="FF109" s="146">
        <v>0</v>
      </c>
      <c r="FG109" s="146">
        <v>0</v>
      </c>
      <c r="FH109" s="146">
        <v>0</v>
      </c>
      <c r="FI109" s="146">
        <v>0</v>
      </c>
      <c r="FJ109" s="146">
        <v>0</v>
      </c>
      <c r="FK109" s="146">
        <v>0</v>
      </c>
      <c r="FL109" s="146">
        <v>0</v>
      </c>
      <c r="FM109" s="146">
        <v>0</v>
      </c>
      <c r="FN109" s="146">
        <v>0</v>
      </c>
      <c r="FO109" s="146">
        <v>0</v>
      </c>
      <c r="FP109" s="146">
        <v>0</v>
      </c>
      <c r="FQ109" s="146">
        <v>0</v>
      </c>
      <c r="FR109" s="146">
        <v>0</v>
      </c>
      <c r="FS109" s="160">
        <v>0</v>
      </c>
      <c r="FT109" s="160">
        <v>0</v>
      </c>
      <c r="FU109" s="160">
        <v>0</v>
      </c>
      <c r="FV109" s="160">
        <v>0</v>
      </c>
      <c r="FW109" s="160">
        <v>0</v>
      </c>
      <c r="FX109" s="160">
        <v>0</v>
      </c>
      <c r="FY109" s="160">
        <v>0</v>
      </c>
      <c r="FZ109" s="160">
        <v>0</v>
      </c>
      <c r="GA109" s="160">
        <v>0</v>
      </c>
      <c r="GB109" s="160">
        <v>0</v>
      </c>
      <c r="GC109" s="160">
        <v>0</v>
      </c>
      <c r="GD109" s="160">
        <v>0</v>
      </c>
      <c r="GE109" s="160">
        <v>0</v>
      </c>
      <c r="GF109" s="160">
        <v>0</v>
      </c>
      <c r="GG109" s="160">
        <v>0</v>
      </c>
      <c r="GH109" s="160">
        <v>0</v>
      </c>
      <c r="GI109" s="160">
        <v>0</v>
      </c>
      <c r="GJ109" s="160">
        <v>0</v>
      </c>
      <c r="GK109" s="160">
        <v>0</v>
      </c>
      <c r="GL109" s="160">
        <v>0</v>
      </c>
      <c r="GM109" s="160">
        <v>0</v>
      </c>
      <c r="GN109" s="160">
        <v>0</v>
      </c>
      <c r="GO109" s="160">
        <v>0</v>
      </c>
      <c r="GP109" s="160">
        <v>0</v>
      </c>
      <c r="GQ109" s="160">
        <v>0</v>
      </c>
      <c r="GR109" s="160">
        <v>0</v>
      </c>
      <c r="GS109" s="160">
        <v>0</v>
      </c>
      <c r="GT109" s="160">
        <v>0</v>
      </c>
      <c r="GU109" s="160">
        <v>0</v>
      </c>
      <c r="GV109" s="160">
        <v>0</v>
      </c>
      <c r="GW109" s="160">
        <v>0</v>
      </c>
      <c r="GX109" s="160">
        <v>0</v>
      </c>
      <c r="GY109" s="160">
        <v>0</v>
      </c>
      <c r="GZ109" s="160">
        <v>0</v>
      </c>
      <c r="HA109" s="160">
        <v>0</v>
      </c>
      <c r="HB109" s="160">
        <v>0</v>
      </c>
      <c r="HC109" s="160">
        <v>0</v>
      </c>
      <c r="HD109" s="160">
        <v>0</v>
      </c>
      <c r="HE109" s="160">
        <v>0</v>
      </c>
      <c r="HF109" s="160">
        <v>0</v>
      </c>
      <c r="HG109" s="160">
        <v>0</v>
      </c>
      <c r="HH109" s="146">
        <v>0</v>
      </c>
      <c r="HI109" s="146">
        <v>0</v>
      </c>
      <c r="HJ109" s="146">
        <v>0</v>
      </c>
      <c r="HK109" s="146">
        <v>0</v>
      </c>
      <c r="HL109" s="146">
        <v>0</v>
      </c>
      <c r="HM109" s="146">
        <v>0</v>
      </c>
      <c r="HN109" s="146">
        <v>0</v>
      </c>
      <c r="HO109" s="146">
        <v>0</v>
      </c>
      <c r="HP109" s="146">
        <v>0</v>
      </c>
      <c r="HQ109" s="146">
        <v>0</v>
      </c>
      <c r="HR109" s="146">
        <v>0</v>
      </c>
      <c r="HS109" s="146">
        <v>0</v>
      </c>
      <c r="HT109" s="146">
        <v>0</v>
      </c>
      <c r="HU109" s="151"/>
      <c r="HV109" s="146">
        <v>0</v>
      </c>
      <c r="HW109" s="151"/>
      <c r="HX109" s="151"/>
      <c r="HY109" s="151"/>
      <c r="HZ109" s="151"/>
      <c r="IA109" s="151"/>
      <c r="IB109" s="151"/>
      <c r="IC109" s="151"/>
      <c r="ID109" s="151"/>
      <c r="IE109" s="151"/>
      <c r="IF109" s="151"/>
      <c r="IG109" s="151"/>
      <c r="IH109" s="151"/>
      <c r="II109" s="151"/>
      <c r="IJ109" s="151"/>
      <c r="IK109" s="151"/>
      <c r="IL109" s="151"/>
      <c r="IM109" s="151"/>
      <c r="IN109" s="151"/>
      <c r="IO109" s="151"/>
      <c r="IP109" s="151"/>
      <c r="IQ109" s="151"/>
      <c r="IR109" s="151"/>
      <c r="IS109" s="151"/>
      <c r="IT109" s="151"/>
      <c r="IU109" s="151"/>
      <c r="IV109" s="151"/>
      <c r="IW109" s="151"/>
      <c r="IX109" s="151"/>
      <c r="IY109" s="151"/>
      <c r="IZ109" s="151"/>
      <c r="JA109" s="151"/>
      <c r="JB109" s="151"/>
      <c r="JC109" s="151"/>
      <c r="JD109" s="151"/>
      <c r="JE109" s="151"/>
      <c r="JF109" s="151"/>
      <c r="JG109" s="151"/>
      <c r="JH109" s="151"/>
      <c r="JI109" s="151"/>
      <c r="JJ109" s="151"/>
      <c r="JK109" s="151"/>
      <c r="JL109" s="151"/>
      <c r="JM109" s="151"/>
      <c r="JN109" s="151"/>
      <c r="JO109" s="151"/>
      <c r="JP109" s="151"/>
      <c r="JQ109" s="151"/>
      <c r="JR109" s="151"/>
      <c r="JS109" s="151"/>
      <c r="JT109" s="151"/>
      <c r="JU109" s="151"/>
      <c r="JV109" s="151"/>
      <c r="JW109" s="151"/>
      <c r="JX109" s="151"/>
      <c r="JY109" s="151"/>
      <c r="JZ109" s="151"/>
      <c r="KA109" s="151"/>
      <c r="KB109" s="151"/>
      <c r="KC109" s="151"/>
      <c r="KD109" s="151"/>
      <c r="KE109" s="151"/>
      <c r="KF109" s="151"/>
      <c r="KG109" s="151"/>
      <c r="KH109" s="151"/>
      <c r="KI109" s="151"/>
      <c r="KJ109" s="151"/>
      <c r="KK109" s="151"/>
      <c r="KL109" s="151"/>
      <c r="KM109" s="151"/>
      <c r="KN109" s="151"/>
      <c r="KO109" s="151"/>
      <c r="KP109" s="151"/>
      <c r="KQ109" s="151"/>
      <c r="KR109" s="151"/>
      <c r="KS109" s="151"/>
      <c r="KT109" s="151"/>
      <c r="KU109" s="151"/>
      <c r="KV109" s="151"/>
      <c r="KW109" s="151"/>
      <c r="KX109" s="151"/>
      <c r="KY109" s="151"/>
      <c r="KZ109" s="151"/>
      <c r="LA109" s="151"/>
      <c r="LB109" s="151"/>
      <c r="LC109" s="151"/>
      <c r="LD109" s="151"/>
      <c r="LE109" s="151"/>
    </row>
    <row r="110" spans="1:317" x14ac:dyDescent="0.2">
      <c r="A110" s="179" t="s">
        <v>849</v>
      </c>
      <c r="B110" s="180" t="s">
        <v>1009</v>
      </c>
      <c r="C110" s="181"/>
      <c r="D110" s="182">
        <v>0</v>
      </c>
      <c r="E110" s="182">
        <v>0</v>
      </c>
      <c r="F110" s="183" t="s">
        <v>1286</v>
      </c>
      <c r="G110" s="183">
        <v>0</v>
      </c>
      <c r="H110" s="183">
        <v>0</v>
      </c>
      <c r="I110" s="183">
        <v>0</v>
      </c>
      <c r="J110" s="183">
        <v>0</v>
      </c>
      <c r="K110" s="183" t="s">
        <v>1385</v>
      </c>
      <c r="L110" s="183">
        <v>0</v>
      </c>
      <c r="M110" s="183">
        <v>0</v>
      </c>
      <c r="N110" s="183" t="s">
        <v>872</v>
      </c>
      <c r="O110" s="183">
        <v>0</v>
      </c>
      <c r="P110" s="183">
        <v>0</v>
      </c>
      <c r="Q110" s="183"/>
      <c r="R110" s="183"/>
      <c r="S110" s="183"/>
      <c r="T110" s="183"/>
      <c r="U110" s="183"/>
      <c r="V110" s="183">
        <v>0</v>
      </c>
      <c r="W110" s="183">
        <v>0</v>
      </c>
      <c r="X110" s="183">
        <v>0</v>
      </c>
      <c r="Y110" s="184">
        <v>16.63</v>
      </c>
      <c r="Z110" s="184">
        <v>34.96</v>
      </c>
      <c r="AA110" s="184">
        <v>0</v>
      </c>
      <c r="AB110" s="185" t="s">
        <v>615</v>
      </c>
      <c r="AC110" s="185" t="s">
        <v>615</v>
      </c>
      <c r="AD110" s="186" t="s">
        <v>872</v>
      </c>
      <c r="AE110" s="186" t="s">
        <v>852</v>
      </c>
      <c r="AF110" s="187">
        <v>7</v>
      </c>
      <c r="AG110" s="187">
        <v>3</v>
      </c>
      <c r="AH110" s="187">
        <v>4</v>
      </c>
      <c r="AI110" s="188">
        <v>1</v>
      </c>
      <c r="AJ110" s="188" t="s">
        <v>615</v>
      </c>
      <c r="AK110" s="187" t="s">
        <v>1737</v>
      </c>
      <c r="AL110" s="87" t="s">
        <v>615</v>
      </c>
      <c r="AM110" s="189"/>
      <c r="AN110" s="187" t="s">
        <v>615</v>
      </c>
      <c r="AO110" s="13" t="s">
        <v>615</v>
      </c>
      <c r="AP110" s="187">
        <v>0</v>
      </c>
      <c r="AQ110" s="187">
        <v>0</v>
      </c>
      <c r="AR110" s="190">
        <v>0</v>
      </c>
      <c r="AS110" s="190">
        <v>0</v>
      </c>
      <c r="AT110" s="190">
        <v>0</v>
      </c>
      <c r="AU110" s="187">
        <v>0</v>
      </c>
      <c r="AV110" s="187">
        <v>0</v>
      </c>
      <c r="AW110" s="191"/>
      <c r="AX110" s="192"/>
      <c r="AY110" s="193">
        <v>42796</v>
      </c>
      <c r="AZ110" s="193">
        <v>42796</v>
      </c>
      <c r="BA110" s="193">
        <v>42796</v>
      </c>
      <c r="BB110" s="194"/>
      <c r="BC110" s="194"/>
      <c r="BD110" s="195"/>
      <c r="BE110" s="195" t="s">
        <v>532</v>
      </c>
      <c r="BF110" s="195"/>
      <c r="BG110" s="195">
        <v>6</v>
      </c>
      <c r="BH110" s="196" t="s">
        <v>547</v>
      </c>
      <c r="BI110" s="197">
        <v>1</v>
      </c>
      <c r="BJ110" s="198"/>
      <c r="BK110" s="199">
        <v>4</v>
      </c>
      <c r="BL110" s="13">
        <v>3</v>
      </c>
      <c r="BM110" s="13">
        <v>1</v>
      </c>
      <c r="BN110" s="13" t="s">
        <v>620</v>
      </c>
      <c r="BO110" s="13" t="s">
        <v>620</v>
      </c>
      <c r="BP110" s="200">
        <v>5</v>
      </c>
      <c r="BQ110" s="201"/>
      <c r="BR110" s="202"/>
      <c r="BS110" s="187">
        <v>1000000000</v>
      </c>
      <c r="BT110" s="203">
        <v>8</v>
      </c>
      <c r="BU110" s="204">
        <v>-1</v>
      </c>
      <c r="BV110" s="203">
        <v>0</v>
      </c>
      <c r="BW110" s="205">
        <v>0</v>
      </c>
      <c r="BX110" s="205">
        <v>0</v>
      </c>
      <c r="BY110" s="205">
        <v>0</v>
      </c>
      <c r="BZ110" s="203">
        <v>0</v>
      </c>
      <c r="CA110" s="203">
        <v>0</v>
      </c>
      <c r="CB110" s="203">
        <v>8</v>
      </c>
      <c r="CC110" s="204">
        <v>-1</v>
      </c>
      <c r="CD110" s="203">
        <v>0</v>
      </c>
      <c r="CE110" s="203">
        <v>0</v>
      </c>
      <c r="CF110" s="13">
        <v>0</v>
      </c>
      <c r="CG110" s="206">
        <v>0</v>
      </c>
      <c r="CH110" s="207">
        <v>2</v>
      </c>
      <c r="CI110" s="201"/>
      <c r="CJ110" s="208"/>
      <c r="CK110" s="209" t="s">
        <v>615</v>
      </c>
      <c r="CL110" s="210" t="s">
        <v>615</v>
      </c>
      <c r="CM110" s="207">
        <v>0</v>
      </c>
      <c r="CN110" s="207">
        <v>66.52</v>
      </c>
      <c r="CO110" s="204">
        <v>0</v>
      </c>
      <c r="CP110" s="204">
        <v>7.5581135641267947</v>
      </c>
      <c r="CQ110" s="211"/>
      <c r="CR110" s="204">
        <v>1</v>
      </c>
      <c r="CS110" s="212">
        <v>42709</v>
      </c>
      <c r="CT110" s="212">
        <v>42780</v>
      </c>
      <c r="CU110" s="213">
        <v>42780</v>
      </c>
      <c r="CV110" s="214">
        <v>42829</v>
      </c>
      <c r="CW110" s="214" t="s">
        <v>615</v>
      </c>
      <c r="CX110" s="214" t="s">
        <v>615</v>
      </c>
      <c r="CY110" s="204">
        <v>0</v>
      </c>
      <c r="CZ110" s="204">
        <v>0.97959183673469385</v>
      </c>
      <c r="DA110" s="203">
        <v>0</v>
      </c>
      <c r="DB110" s="204">
        <v>0</v>
      </c>
      <c r="DC110" s="204">
        <v>0</v>
      </c>
      <c r="DD110" s="204">
        <v>0</v>
      </c>
      <c r="DE110" s="204">
        <v>0</v>
      </c>
      <c r="DF110" s="215">
        <v>0.97959183673469385</v>
      </c>
      <c r="DG110" s="13" t="s">
        <v>615</v>
      </c>
      <c r="DH110" s="86">
        <v>108</v>
      </c>
      <c r="DI110" s="86"/>
      <c r="DJ110" s="86">
        <v>23</v>
      </c>
      <c r="DK110" s="86" t="s">
        <v>1476</v>
      </c>
      <c r="DL110" s="86" t="e">
        <v>#N/A</v>
      </c>
      <c r="DM110" s="86">
        <v>17</v>
      </c>
      <c r="DN110" s="86" t="e">
        <v>#N/A</v>
      </c>
      <c r="DO110" s="86">
        <v>24</v>
      </c>
      <c r="DP110" s="86">
        <v>2</v>
      </c>
      <c r="DQ110" s="86">
        <v>49</v>
      </c>
      <c r="DR110" s="152">
        <v>8</v>
      </c>
      <c r="DS110" s="152">
        <v>8</v>
      </c>
      <c r="DT110" s="152">
        <v>8</v>
      </c>
      <c r="DU110" s="152">
        <v>8</v>
      </c>
      <c r="DV110" s="152">
        <v>8</v>
      </c>
      <c r="DW110" s="152">
        <v>8</v>
      </c>
      <c r="DX110" s="152">
        <v>8</v>
      </c>
      <c r="DY110" s="152">
        <v>8</v>
      </c>
      <c r="DZ110" s="152">
        <v>8</v>
      </c>
      <c r="EA110" s="164">
        <v>8</v>
      </c>
      <c r="EB110" s="164">
        <v>8</v>
      </c>
      <c r="EC110" s="164">
        <v>8</v>
      </c>
      <c r="ED110" s="164">
        <v>8</v>
      </c>
      <c r="EE110" s="164">
        <v>8</v>
      </c>
      <c r="EF110" s="164">
        <v>8</v>
      </c>
      <c r="EG110" s="164">
        <v>8</v>
      </c>
      <c r="EH110" s="164">
        <v>8</v>
      </c>
      <c r="EI110" s="164">
        <v>8</v>
      </c>
      <c r="EJ110" s="164">
        <v>8</v>
      </c>
      <c r="EK110" s="164">
        <v>8</v>
      </c>
      <c r="EL110" s="164">
        <v>8</v>
      </c>
      <c r="EM110" s="164">
        <v>8</v>
      </c>
      <c r="EN110" s="164">
        <v>8</v>
      </c>
      <c r="EO110" s="164">
        <v>8</v>
      </c>
      <c r="EP110" s="164">
        <v>8</v>
      </c>
      <c r="EQ110" s="164">
        <v>8</v>
      </c>
      <c r="ER110" s="164">
        <v>8</v>
      </c>
      <c r="ES110" s="164">
        <v>8</v>
      </c>
      <c r="ET110" s="164">
        <v>8</v>
      </c>
      <c r="EU110" s="164">
        <v>8</v>
      </c>
      <c r="EV110" s="164">
        <v>8</v>
      </c>
      <c r="EW110" s="164">
        <v>8</v>
      </c>
      <c r="EX110" s="164">
        <v>8</v>
      </c>
      <c r="EY110" s="164">
        <v>8</v>
      </c>
      <c r="EZ110" s="164">
        <v>8</v>
      </c>
      <c r="FA110" s="164">
        <v>8</v>
      </c>
      <c r="FB110" s="164">
        <v>8</v>
      </c>
      <c r="FC110" s="164">
        <v>8</v>
      </c>
      <c r="FD110" s="164">
        <v>8</v>
      </c>
      <c r="FE110" s="164">
        <v>8</v>
      </c>
      <c r="FF110" s="164">
        <v>8</v>
      </c>
      <c r="FG110" s="164">
        <v>8</v>
      </c>
      <c r="FH110" s="164">
        <v>8</v>
      </c>
      <c r="FI110" s="164">
        <v>8</v>
      </c>
      <c r="FJ110" s="164">
        <v>8</v>
      </c>
      <c r="FK110" s="164">
        <v>8</v>
      </c>
      <c r="FL110" s="164">
        <v>8</v>
      </c>
      <c r="FM110" s="164">
        <v>8</v>
      </c>
      <c r="FN110" s="164">
        <v>8</v>
      </c>
      <c r="FO110" s="164">
        <v>8</v>
      </c>
      <c r="FP110" s="164">
        <v>8</v>
      </c>
      <c r="FQ110" s="164">
        <v>8</v>
      </c>
      <c r="FR110" s="164">
        <v>8</v>
      </c>
      <c r="FS110" s="164">
        <v>8</v>
      </c>
      <c r="FT110" s="164">
        <v>8</v>
      </c>
      <c r="FU110" s="164">
        <v>8</v>
      </c>
      <c r="FV110" s="164">
        <v>8</v>
      </c>
      <c r="FW110" s="164">
        <v>8</v>
      </c>
      <c r="FX110" s="164">
        <v>8</v>
      </c>
      <c r="FY110" s="164">
        <v>8</v>
      </c>
      <c r="FZ110" s="164">
        <v>8</v>
      </c>
      <c r="GA110" s="164">
        <v>8</v>
      </c>
      <c r="GB110" s="164">
        <v>8</v>
      </c>
      <c r="GC110" s="164">
        <v>8</v>
      </c>
      <c r="GD110" s="164">
        <v>8</v>
      </c>
      <c r="GE110" s="164">
        <v>8</v>
      </c>
      <c r="GF110" s="164">
        <v>8</v>
      </c>
      <c r="GG110" s="164">
        <v>8</v>
      </c>
      <c r="GH110" s="164">
        <v>8</v>
      </c>
      <c r="GI110" s="164">
        <v>8</v>
      </c>
      <c r="GJ110" s="164">
        <v>8</v>
      </c>
      <c r="GK110" s="164">
        <v>8</v>
      </c>
      <c r="GL110" s="164">
        <v>8</v>
      </c>
      <c r="GM110" s="164">
        <v>8</v>
      </c>
      <c r="GN110" s="164">
        <v>8</v>
      </c>
      <c r="GO110" s="164">
        <v>8</v>
      </c>
      <c r="GP110" s="164">
        <v>8</v>
      </c>
      <c r="GQ110" s="164">
        <v>8</v>
      </c>
      <c r="GR110" s="164">
        <v>8</v>
      </c>
      <c r="GS110" s="164">
        <v>8</v>
      </c>
      <c r="GT110" s="164">
        <v>8</v>
      </c>
      <c r="GU110" s="164">
        <v>8</v>
      </c>
      <c r="GV110" s="164">
        <v>8</v>
      </c>
      <c r="GW110" s="164">
        <v>8</v>
      </c>
      <c r="GX110" s="164">
        <v>8</v>
      </c>
      <c r="GY110" s="164">
        <v>8</v>
      </c>
      <c r="GZ110" s="164">
        <v>8</v>
      </c>
      <c r="HA110" s="164">
        <v>8</v>
      </c>
      <c r="HB110" s="164">
        <v>8</v>
      </c>
      <c r="HC110" s="164">
        <v>8</v>
      </c>
      <c r="HD110" s="164">
        <v>8</v>
      </c>
      <c r="HE110" s="164">
        <v>8</v>
      </c>
      <c r="HF110" s="164">
        <v>8</v>
      </c>
      <c r="HG110" s="167">
        <v>8</v>
      </c>
      <c r="HH110" s="167">
        <v>8</v>
      </c>
      <c r="HI110" s="167">
        <v>8</v>
      </c>
      <c r="HJ110" s="167">
        <v>8</v>
      </c>
      <c r="HK110" s="167">
        <v>8</v>
      </c>
      <c r="HL110" s="167">
        <v>8</v>
      </c>
      <c r="HM110" s="167">
        <v>8</v>
      </c>
      <c r="HN110" s="167">
        <v>8</v>
      </c>
      <c r="HO110" s="167">
        <v>8</v>
      </c>
      <c r="HP110" s="167">
        <v>8</v>
      </c>
      <c r="HQ110" s="167">
        <v>8</v>
      </c>
      <c r="HR110" s="167">
        <v>8</v>
      </c>
      <c r="HS110" s="167">
        <v>8</v>
      </c>
      <c r="HT110" s="167">
        <v>8</v>
      </c>
      <c r="HU110" s="216"/>
      <c r="HV110" s="167">
        <v>8</v>
      </c>
      <c r="HW110" s="216"/>
      <c r="HX110" s="216"/>
      <c r="HY110" s="216"/>
      <c r="HZ110" s="216"/>
      <c r="IA110" s="216"/>
      <c r="IB110" s="216"/>
      <c r="IC110" s="216"/>
      <c r="ID110" s="216"/>
      <c r="IE110" s="216"/>
      <c r="IF110" s="216"/>
      <c r="IG110" s="216"/>
      <c r="IH110" s="216"/>
      <c r="II110" s="216"/>
      <c r="IJ110" s="216"/>
      <c r="IK110" s="216"/>
      <c r="IL110" s="216"/>
      <c r="IM110" s="216"/>
      <c r="IN110" s="216"/>
      <c r="IO110" s="216"/>
      <c r="IP110" s="216"/>
      <c r="IQ110" s="216"/>
      <c r="IR110" s="216"/>
      <c r="IS110" s="216"/>
      <c r="IT110" s="216"/>
      <c r="IU110" s="216"/>
      <c r="IV110" s="216"/>
      <c r="IW110" s="216"/>
      <c r="IX110" s="216"/>
      <c r="IY110" s="216"/>
      <c r="IZ110" s="216"/>
      <c r="JA110" s="216"/>
      <c r="JB110" s="216"/>
      <c r="JC110" s="216"/>
      <c r="JD110" s="216"/>
      <c r="JE110" s="216"/>
      <c r="JF110" s="216"/>
      <c r="JG110" s="216"/>
      <c r="JH110" s="216"/>
      <c r="JI110" s="216"/>
      <c r="JJ110" s="216"/>
      <c r="JK110" s="216"/>
      <c r="JL110" s="216"/>
      <c r="JM110" s="216"/>
      <c r="JN110" s="216"/>
      <c r="JO110" s="216"/>
      <c r="JP110" s="216"/>
      <c r="JQ110" s="216"/>
      <c r="JR110" s="216"/>
      <c r="JS110" s="216"/>
      <c r="JT110" s="216"/>
      <c r="JU110" s="216"/>
      <c r="JV110" s="216"/>
      <c r="JW110" s="216"/>
      <c r="JX110" s="216"/>
      <c r="JY110" s="216"/>
      <c r="JZ110" s="216"/>
      <c r="KA110" s="216"/>
      <c r="KB110" s="216"/>
      <c r="KC110" s="216"/>
      <c r="KD110" s="216"/>
      <c r="KE110" s="216"/>
      <c r="KF110" s="216"/>
      <c r="KG110" s="216"/>
      <c r="KH110" s="216"/>
      <c r="KI110" s="216"/>
      <c r="KJ110" s="216"/>
      <c r="KK110" s="216"/>
      <c r="KL110" s="216"/>
      <c r="KM110" s="216"/>
      <c r="KN110" s="216"/>
      <c r="KO110" s="216"/>
      <c r="KP110" s="216"/>
      <c r="KQ110" s="216"/>
      <c r="KR110" s="216"/>
      <c r="KS110" s="216"/>
      <c r="KT110" s="216"/>
      <c r="KU110" s="216"/>
      <c r="KV110" s="216"/>
      <c r="KW110" s="216"/>
      <c r="KX110" s="216"/>
      <c r="KY110" s="216"/>
      <c r="KZ110" s="216"/>
      <c r="LA110" s="216"/>
      <c r="LB110" s="216"/>
      <c r="LC110" s="216"/>
      <c r="LD110" s="216"/>
      <c r="LE110" s="216"/>
    </row>
    <row r="111" spans="1:317" x14ac:dyDescent="0.2">
      <c r="A111" s="179" t="s">
        <v>849</v>
      </c>
      <c r="B111" s="180" t="s">
        <v>1010</v>
      </c>
      <c r="C111" s="181"/>
      <c r="D111" s="182">
        <v>0</v>
      </c>
      <c r="E111" s="182">
        <v>0</v>
      </c>
      <c r="F111" s="183" t="s">
        <v>1287</v>
      </c>
      <c r="G111" s="183">
        <v>0</v>
      </c>
      <c r="H111" s="183">
        <v>0</v>
      </c>
      <c r="I111" s="183">
        <v>0</v>
      </c>
      <c r="J111" s="183">
        <v>0</v>
      </c>
      <c r="K111" s="183" t="s">
        <v>1383</v>
      </c>
      <c r="L111" s="183">
        <v>0</v>
      </c>
      <c r="M111" s="183">
        <v>0</v>
      </c>
      <c r="N111" s="183" t="s">
        <v>872</v>
      </c>
      <c r="O111" s="183">
        <v>0</v>
      </c>
      <c r="P111" s="183">
        <v>0</v>
      </c>
      <c r="Q111" s="183"/>
      <c r="R111" s="183"/>
      <c r="S111" s="183"/>
      <c r="T111" s="183"/>
      <c r="U111" s="183"/>
      <c r="V111" s="183">
        <v>0</v>
      </c>
      <c r="W111" s="183">
        <v>0</v>
      </c>
      <c r="X111" s="183">
        <v>0</v>
      </c>
      <c r="Y111" s="184">
        <v>0</v>
      </c>
      <c r="Z111" s="184">
        <v>1228.22</v>
      </c>
      <c r="AA111" s="184">
        <v>0</v>
      </c>
      <c r="AB111" s="185" t="s">
        <v>615</v>
      </c>
      <c r="AC111" s="185" t="s">
        <v>615</v>
      </c>
      <c r="AD111" s="186" t="s">
        <v>872</v>
      </c>
      <c r="AE111" s="186" t="s">
        <v>852</v>
      </c>
      <c r="AF111" s="187">
        <v>7</v>
      </c>
      <c r="AG111" s="187">
        <v>3</v>
      </c>
      <c r="AH111" s="187">
        <v>4</v>
      </c>
      <c r="AI111" s="188">
        <v>1</v>
      </c>
      <c r="AJ111" s="188" t="s">
        <v>615</v>
      </c>
      <c r="AK111" s="187" t="s">
        <v>1736</v>
      </c>
      <c r="AL111" s="87" t="s">
        <v>615</v>
      </c>
      <c r="AM111" s="189"/>
      <c r="AN111" s="187" t="s">
        <v>615</v>
      </c>
      <c r="AO111" s="13" t="s">
        <v>615</v>
      </c>
      <c r="AP111" s="187">
        <v>0</v>
      </c>
      <c r="AQ111" s="187">
        <v>0</v>
      </c>
      <c r="AR111" s="190">
        <v>0</v>
      </c>
      <c r="AS111" s="190">
        <v>0</v>
      </c>
      <c r="AT111" s="190">
        <v>0</v>
      </c>
      <c r="AU111" s="187">
        <v>0</v>
      </c>
      <c r="AV111" s="187">
        <v>0</v>
      </c>
      <c r="AW111" s="191"/>
      <c r="AX111" s="192"/>
      <c r="AY111" s="193">
        <v>42666</v>
      </c>
      <c r="AZ111" s="193"/>
      <c r="BA111" s="193"/>
      <c r="BB111" s="194"/>
      <c r="BC111" s="194"/>
      <c r="BD111" s="195"/>
      <c r="BE111" s="195" t="s">
        <v>532</v>
      </c>
      <c r="BF111" s="195"/>
      <c r="BG111" s="195">
        <v>1</v>
      </c>
      <c r="BH111" s="196" t="s">
        <v>547</v>
      </c>
      <c r="BI111" s="197">
        <v>1</v>
      </c>
      <c r="BJ111" s="198"/>
      <c r="BK111" s="199">
        <v>0</v>
      </c>
      <c r="BL111" s="13">
        <v>0</v>
      </c>
      <c r="BM111" s="13">
        <v>0</v>
      </c>
      <c r="BN111" s="13" t="s">
        <v>616</v>
      </c>
      <c r="BO111" s="13" t="s">
        <v>616</v>
      </c>
      <c r="BP111" s="200">
        <v>1</v>
      </c>
      <c r="BQ111" s="201"/>
      <c r="BR111" s="202"/>
      <c r="BS111" s="187">
        <v>1000000000</v>
      </c>
      <c r="BT111" s="203">
        <v>0</v>
      </c>
      <c r="BU111" s="204">
        <v>0</v>
      </c>
      <c r="BV111" s="203">
        <v>0</v>
      </c>
      <c r="BW111" s="205">
        <v>0</v>
      </c>
      <c r="BX111" s="205">
        <v>0</v>
      </c>
      <c r="BY111" s="205">
        <v>0</v>
      </c>
      <c r="BZ111" s="203">
        <v>0</v>
      </c>
      <c r="CA111" s="203">
        <v>0</v>
      </c>
      <c r="CB111" s="203">
        <v>0</v>
      </c>
      <c r="CC111" s="204">
        <v>0</v>
      </c>
      <c r="CD111" s="203">
        <v>0</v>
      </c>
      <c r="CE111" s="203">
        <v>0</v>
      </c>
      <c r="CF111" s="13">
        <v>0</v>
      </c>
      <c r="CG111" s="206">
        <v>0</v>
      </c>
      <c r="CH111" s="207">
        <v>0</v>
      </c>
      <c r="CI111" s="201"/>
      <c r="CJ111" s="208"/>
      <c r="CK111" s="209" t="s">
        <v>615</v>
      </c>
      <c r="CL111" s="210" t="s">
        <v>615</v>
      </c>
      <c r="CM111" s="207">
        <v>0</v>
      </c>
      <c r="CN111" s="207">
        <v>0</v>
      </c>
      <c r="CO111" s="204">
        <v>0</v>
      </c>
      <c r="CP111" s="204">
        <v>0</v>
      </c>
      <c r="CQ111" s="211"/>
      <c r="CR111" s="204">
        <v>1</v>
      </c>
      <c r="CS111" s="212">
        <v>42531</v>
      </c>
      <c r="CT111" s="212">
        <v>42780</v>
      </c>
      <c r="CU111" s="213">
        <v>42780</v>
      </c>
      <c r="CV111" s="214">
        <v>42829</v>
      </c>
      <c r="CW111" s="214" t="s">
        <v>615</v>
      </c>
      <c r="CX111" s="214" t="s">
        <v>615</v>
      </c>
      <c r="CY111" s="204">
        <v>1</v>
      </c>
      <c r="CZ111" s="204">
        <v>0.97959183673469385</v>
      </c>
      <c r="DA111" s="203">
        <v>0</v>
      </c>
      <c r="DB111" s="204">
        <v>0.97959183673469385</v>
      </c>
      <c r="DC111" s="204">
        <v>0</v>
      </c>
      <c r="DD111" s="204">
        <v>0</v>
      </c>
      <c r="DE111" s="204">
        <v>0</v>
      </c>
      <c r="DF111" s="215">
        <v>0</v>
      </c>
      <c r="DG111" s="13" t="s">
        <v>615</v>
      </c>
      <c r="DH111" s="86">
        <v>109</v>
      </c>
      <c r="DI111" s="86"/>
      <c r="DJ111" s="86">
        <v>22</v>
      </c>
      <c r="DK111" s="86" t="s">
        <v>1524</v>
      </c>
      <c r="DL111" s="86" t="e">
        <v>#N/A</v>
      </c>
      <c r="DM111" s="86" t="e">
        <v>#N/A</v>
      </c>
      <c r="DN111" s="86" t="e">
        <v>#N/A</v>
      </c>
      <c r="DO111" s="86">
        <v>23</v>
      </c>
      <c r="DP111" s="86">
        <v>2</v>
      </c>
      <c r="DQ111" s="86">
        <v>49</v>
      </c>
      <c r="DR111" s="146">
        <v>0</v>
      </c>
      <c r="DS111" s="146">
        <v>0</v>
      </c>
      <c r="DT111" s="146">
        <v>0</v>
      </c>
      <c r="DU111" s="146">
        <v>0</v>
      </c>
      <c r="DV111" s="146">
        <v>0</v>
      </c>
      <c r="DW111" s="146">
        <v>0</v>
      </c>
      <c r="DX111" s="146">
        <v>0</v>
      </c>
      <c r="DY111" s="146">
        <v>0</v>
      </c>
      <c r="DZ111" s="146">
        <v>0</v>
      </c>
      <c r="EA111" s="146">
        <v>0</v>
      </c>
      <c r="EB111" s="146">
        <v>0</v>
      </c>
      <c r="EC111" s="146">
        <v>0</v>
      </c>
      <c r="ED111" s="146">
        <v>0</v>
      </c>
      <c r="EE111" s="146">
        <v>0</v>
      </c>
      <c r="EF111" s="146">
        <v>0</v>
      </c>
      <c r="EG111" s="146">
        <v>0</v>
      </c>
      <c r="EH111" s="146">
        <v>0</v>
      </c>
      <c r="EI111" s="146">
        <v>0</v>
      </c>
      <c r="EJ111" s="146">
        <v>0</v>
      </c>
      <c r="EK111" s="146">
        <v>0</v>
      </c>
      <c r="EL111" s="146">
        <v>0</v>
      </c>
      <c r="EM111" s="146">
        <v>0</v>
      </c>
      <c r="EN111" s="146">
        <v>0</v>
      </c>
      <c r="EO111" s="146">
        <v>0</v>
      </c>
      <c r="EP111" s="146">
        <v>0</v>
      </c>
      <c r="EQ111" s="146">
        <v>0</v>
      </c>
      <c r="ER111" s="146">
        <v>0</v>
      </c>
      <c r="ES111" s="146">
        <v>0</v>
      </c>
      <c r="ET111" s="146">
        <v>0</v>
      </c>
      <c r="EU111" s="146">
        <v>0</v>
      </c>
      <c r="EV111" s="146">
        <v>0</v>
      </c>
      <c r="EW111" s="146">
        <v>0</v>
      </c>
      <c r="EX111" s="146">
        <v>0</v>
      </c>
      <c r="EY111" s="146">
        <v>0</v>
      </c>
      <c r="EZ111" s="146">
        <v>0</v>
      </c>
      <c r="FA111" s="146">
        <v>0</v>
      </c>
      <c r="FB111" s="146">
        <v>0</v>
      </c>
      <c r="FC111" s="146">
        <v>0</v>
      </c>
      <c r="FD111" s="146">
        <v>0</v>
      </c>
      <c r="FE111" s="146">
        <v>0</v>
      </c>
      <c r="FF111" s="146">
        <v>0</v>
      </c>
      <c r="FG111" s="146">
        <v>0</v>
      </c>
      <c r="FH111" s="146">
        <v>0</v>
      </c>
      <c r="FI111" s="146">
        <v>0</v>
      </c>
      <c r="FJ111" s="146">
        <v>0</v>
      </c>
      <c r="FK111" s="146">
        <v>0</v>
      </c>
      <c r="FL111" s="146">
        <v>0</v>
      </c>
      <c r="FM111" s="146">
        <v>0</v>
      </c>
      <c r="FN111" s="146">
        <v>0</v>
      </c>
      <c r="FO111" s="146">
        <v>0</v>
      </c>
      <c r="FP111" s="146">
        <v>0</v>
      </c>
      <c r="FQ111" s="146">
        <v>0</v>
      </c>
      <c r="FR111" s="146">
        <v>0</v>
      </c>
      <c r="FS111" s="160">
        <v>0</v>
      </c>
      <c r="FT111" s="160">
        <v>0</v>
      </c>
      <c r="FU111" s="160">
        <v>0</v>
      </c>
      <c r="FV111" s="160">
        <v>0</v>
      </c>
      <c r="FW111" s="160">
        <v>0</v>
      </c>
      <c r="FX111" s="160">
        <v>0</v>
      </c>
      <c r="FY111" s="160">
        <v>0</v>
      </c>
      <c r="FZ111" s="160">
        <v>0</v>
      </c>
      <c r="GA111" s="160">
        <v>0</v>
      </c>
      <c r="GB111" s="160">
        <v>0</v>
      </c>
      <c r="GC111" s="160">
        <v>0</v>
      </c>
      <c r="GD111" s="160">
        <v>0</v>
      </c>
      <c r="GE111" s="160">
        <v>0</v>
      </c>
      <c r="GF111" s="160">
        <v>0</v>
      </c>
      <c r="GG111" s="160">
        <v>0</v>
      </c>
      <c r="GH111" s="160">
        <v>0</v>
      </c>
      <c r="GI111" s="160">
        <v>0</v>
      </c>
      <c r="GJ111" s="160">
        <v>0</v>
      </c>
      <c r="GK111" s="160">
        <v>0</v>
      </c>
      <c r="GL111" s="160">
        <v>0</v>
      </c>
      <c r="GM111" s="160">
        <v>0</v>
      </c>
      <c r="GN111" s="160">
        <v>0</v>
      </c>
      <c r="GO111" s="160">
        <v>0</v>
      </c>
      <c r="GP111" s="160">
        <v>0</v>
      </c>
      <c r="GQ111" s="160">
        <v>0</v>
      </c>
      <c r="GR111" s="160">
        <v>0</v>
      </c>
      <c r="GS111" s="160">
        <v>0</v>
      </c>
      <c r="GT111" s="160">
        <v>0</v>
      </c>
      <c r="GU111" s="160">
        <v>0</v>
      </c>
      <c r="GV111" s="160">
        <v>0</v>
      </c>
      <c r="GW111" s="160">
        <v>0</v>
      </c>
      <c r="GX111" s="160">
        <v>0</v>
      </c>
      <c r="GY111" s="160">
        <v>0</v>
      </c>
      <c r="GZ111" s="160">
        <v>0</v>
      </c>
      <c r="HA111" s="160">
        <v>0</v>
      </c>
      <c r="HB111" s="160">
        <v>0</v>
      </c>
      <c r="HC111" s="160">
        <v>0</v>
      </c>
      <c r="HD111" s="160">
        <v>0</v>
      </c>
      <c r="HE111" s="160">
        <v>0</v>
      </c>
      <c r="HF111" s="160">
        <v>0</v>
      </c>
      <c r="HG111" s="160">
        <v>0</v>
      </c>
      <c r="HH111" s="146">
        <v>0</v>
      </c>
      <c r="HI111" s="146">
        <v>0</v>
      </c>
      <c r="HJ111" s="146">
        <v>0</v>
      </c>
      <c r="HK111" s="146">
        <v>0</v>
      </c>
      <c r="HL111" s="146">
        <v>0</v>
      </c>
      <c r="HM111" s="146">
        <v>0</v>
      </c>
      <c r="HN111" s="146">
        <v>0</v>
      </c>
      <c r="HO111" s="146">
        <v>0</v>
      </c>
      <c r="HP111" s="146">
        <v>0</v>
      </c>
      <c r="HQ111" s="146">
        <v>0</v>
      </c>
      <c r="HR111" s="146">
        <v>0</v>
      </c>
      <c r="HS111" s="146">
        <v>0</v>
      </c>
      <c r="HT111" s="146">
        <v>0</v>
      </c>
      <c r="HU111" s="151"/>
      <c r="HV111" s="146">
        <v>0</v>
      </c>
      <c r="HW111" s="151"/>
      <c r="HX111" s="151"/>
      <c r="HY111" s="151"/>
      <c r="HZ111" s="151"/>
      <c r="IA111" s="151"/>
      <c r="IB111" s="151"/>
      <c r="IC111" s="151"/>
      <c r="ID111" s="151"/>
      <c r="IE111" s="151"/>
      <c r="IF111" s="151"/>
      <c r="IG111" s="151"/>
      <c r="IH111" s="151"/>
      <c r="II111" s="151"/>
      <c r="IJ111" s="151"/>
      <c r="IK111" s="151"/>
      <c r="IL111" s="151"/>
      <c r="IM111" s="151"/>
      <c r="IN111" s="151"/>
      <c r="IO111" s="151"/>
      <c r="IP111" s="151"/>
      <c r="IQ111" s="151"/>
      <c r="IR111" s="151"/>
      <c r="IS111" s="151"/>
      <c r="IT111" s="151"/>
      <c r="IU111" s="151"/>
      <c r="IV111" s="151"/>
      <c r="IW111" s="151"/>
      <c r="IX111" s="151"/>
      <c r="IY111" s="151"/>
      <c r="IZ111" s="151"/>
      <c r="JA111" s="151"/>
      <c r="JB111" s="151"/>
      <c r="JC111" s="151"/>
      <c r="JD111" s="151"/>
      <c r="JE111" s="151"/>
      <c r="JF111" s="151"/>
      <c r="JG111" s="151"/>
      <c r="JH111" s="151"/>
      <c r="JI111" s="151"/>
      <c r="JJ111" s="151"/>
      <c r="JK111" s="151"/>
      <c r="JL111" s="151"/>
      <c r="JM111" s="151"/>
      <c r="JN111" s="151"/>
      <c r="JO111" s="151"/>
      <c r="JP111" s="151"/>
      <c r="JQ111" s="151"/>
      <c r="JR111" s="151"/>
      <c r="JS111" s="151"/>
      <c r="JT111" s="151"/>
      <c r="JU111" s="151"/>
      <c r="JV111" s="151"/>
      <c r="JW111" s="151"/>
      <c r="JX111" s="151"/>
      <c r="JY111" s="151"/>
      <c r="JZ111" s="151"/>
      <c r="KA111" s="151"/>
      <c r="KB111" s="151"/>
      <c r="KC111" s="151"/>
      <c r="KD111" s="151"/>
      <c r="KE111" s="151"/>
      <c r="KF111" s="151"/>
      <c r="KG111" s="151"/>
      <c r="KH111" s="151"/>
      <c r="KI111" s="151"/>
      <c r="KJ111" s="151"/>
      <c r="KK111" s="151"/>
      <c r="KL111" s="151"/>
      <c r="KM111" s="151"/>
      <c r="KN111" s="151"/>
      <c r="KO111" s="151"/>
      <c r="KP111" s="151"/>
      <c r="KQ111" s="151"/>
      <c r="KR111" s="151"/>
      <c r="KS111" s="151"/>
      <c r="KT111" s="151"/>
      <c r="KU111" s="151"/>
      <c r="KV111" s="151"/>
      <c r="KW111" s="151"/>
      <c r="KX111" s="151"/>
      <c r="KY111" s="151"/>
      <c r="KZ111" s="151"/>
      <c r="LA111" s="151"/>
      <c r="LB111" s="151"/>
      <c r="LC111" s="151"/>
      <c r="LD111" s="151"/>
      <c r="LE111" s="151"/>
    </row>
    <row r="112" spans="1:317" x14ac:dyDescent="0.2">
      <c r="A112" s="179" t="s">
        <v>849</v>
      </c>
      <c r="B112" s="180" t="s">
        <v>1011</v>
      </c>
      <c r="C112" s="181"/>
      <c r="D112" s="182">
        <v>0</v>
      </c>
      <c r="E112" s="182">
        <v>0</v>
      </c>
      <c r="F112" s="183" t="s">
        <v>1288</v>
      </c>
      <c r="G112" s="183">
        <v>0</v>
      </c>
      <c r="H112" s="183">
        <v>0</v>
      </c>
      <c r="I112" s="183">
        <v>0</v>
      </c>
      <c r="J112" s="183">
        <v>0</v>
      </c>
      <c r="K112" s="183" t="s">
        <v>1383</v>
      </c>
      <c r="L112" s="183">
        <v>0</v>
      </c>
      <c r="M112" s="183">
        <v>0</v>
      </c>
      <c r="N112" s="183" t="s">
        <v>872</v>
      </c>
      <c r="O112" s="183">
        <v>0</v>
      </c>
      <c r="P112" s="183">
        <v>0</v>
      </c>
      <c r="Q112" s="183"/>
      <c r="R112" s="183"/>
      <c r="S112" s="183"/>
      <c r="T112" s="183"/>
      <c r="U112" s="183"/>
      <c r="V112" s="183">
        <v>0</v>
      </c>
      <c r="W112" s="183">
        <v>0</v>
      </c>
      <c r="X112" s="183">
        <v>0</v>
      </c>
      <c r="Y112" s="184">
        <v>0</v>
      </c>
      <c r="Z112" s="184">
        <v>1842.75</v>
      </c>
      <c r="AA112" s="184">
        <v>0</v>
      </c>
      <c r="AB112" s="185" t="s">
        <v>615</v>
      </c>
      <c r="AC112" s="185" t="s">
        <v>615</v>
      </c>
      <c r="AD112" s="186" t="s">
        <v>872</v>
      </c>
      <c r="AE112" s="186" t="s">
        <v>852</v>
      </c>
      <c r="AF112" s="187">
        <v>7</v>
      </c>
      <c r="AG112" s="187">
        <v>3</v>
      </c>
      <c r="AH112" s="187">
        <v>4</v>
      </c>
      <c r="AI112" s="188">
        <v>1</v>
      </c>
      <c r="AJ112" s="188" t="s">
        <v>615</v>
      </c>
      <c r="AK112" s="187" t="s">
        <v>1736</v>
      </c>
      <c r="AL112" s="87" t="s">
        <v>615</v>
      </c>
      <c r="AM112" s="189"/>
      <c r="AN112" s="187" t="s">
        <v>615</v>
      </c>
      <c r="AO112" s="13" t="s">
        <v>615</v>
      </c>
      <c r="AP112" s="187">
        <v>0</v>
      </c>
      <c r="AQ112" s="187">
        <v>0</v>
      </c>
      <c r="AR112" s="190">
        <v>0</v>
      </c>
      <c r="AS112" s="190">
        <v>0</v>
      </c>
      <c r="AT112" s="190">
        <v>0</v>
      </c>
      <c r="AU112" s="187">
        <v>0</v>
      </c>
      <c r="AV112" s="187">
        <v>0</v>
      </c>
      <c r="AW112" s="191"/>
      <c r="AX112" s="192"/>
      <c r="AY112" s="193">
        <v>42666</v>
      </c>
      <c r="AZ112" s="193"/>
      <c r="BA112" s="193"/>
      <c r="BB112" s="194"/>
      <c r="BC112" s="194"/>
      <c r="BD112" s="195"/>
      <c r="BE112" s="195" t="s">
        <v>532</v>
      </c>
      <c r="BF112" s="195"/>
      <c r="BG112" s="195">
        <v>1</v>
      </c>
      <c r="BH112" s="196" t="s">
        <v>547</v>
      </c>
      <c r="BI112" s="197">
        <v>1</v>
      </c>
      <c r="BJ112" s="198"/>
      <c r="BK112" s="199">
        <v>0</v>
      </c>
      <c r="BL112" s="13">
        <v>0</v>
      </c>
      <c r="BM112" s="13">
        <v>0</v>
      </c>
      <c r="BN112" s="13" t="s">
        <v>616</v>
      </c>
      <c r="BO112" s="13" t="s">
        <v>616</v>
      </c>
      <c r="BP112" s="200">
        <v>1</v>
      </c>
      <c r="BQ112" s="201"/>
      <c r="BR112" s="202"/>
      <c r="BS112" s="187">
        <v>1000000000</v>
      </c>
      <c r="BT112" s="203">
        <v>0</v>
      </c>
      <c r="BU112" s="204">
        <v>0</v>
      </c>
      <c r="BV112" s="203">
        <v>0</v>
      </c>
      <c r="BW112" s="205">
        <v>0</v>
      </c>
      <c r="BX112" s="205">
        <v>0</v>
      </c>
      <c r="BY112" s="205">
        <v>0</v>
      </c>
      <c r="BZ112" s="203">
        <v>0</v>
      </c>
      <c r="CA112" s="203">
        <v>0</v>
      </c>
      <c r="CB112" s="203">
        <v>0</v>
      </c>
      <c r="CC112" s="204">
        <v>0</v>
      </c>
      <c r="CD112" s="203">
        <v>0</v>
      </c>
      <c r="CE112" s="203">
        <v>0</v>
      </c>
      <c r="CF112" s="13">
        <v>0</v>
      </c>
      <c r="CG112" s="206">
        <v>0</v>
      </c>
      <c r="CH112" s="207">
        <v>0</v>
      </c>
      <c r="CI112" s="201"/>
      <c r="CJ112" s="208"/>
      <c r="CK112" s="209" t="s">
        <v>615</v>
      </c>
      <c r="CL112" s="210" t="s">
        <v>615</v>
      </c>
      <c r="CM112" s="207">
        <v>0</v>
      </c>
      <c r="CN112" s="207">
        <v>0</v>
      </c>
      <c r="CO112" s="204">
        <v>0</v>
      </c>
      <c r="CP112" s="204">
        <v>0</v>
      </c>
      <c r="CQ112" s="211"/>
      <c r="CR112" s="204">
        <v>1</v>
      </c>
      <c r="CS112" s="212">
        <v>42531</v>
      </c>
      <c r="CT112" s="212">
        <v>42780</v>
      </c>
      <c r="CU112" s="213">
        <v>42780</v>
      </c>
      <c r="CV112" s="214">
        <v>42829</v>
      </c>
      <c r="CW112" s="214" t="s">
        <v>615</v>
      </c>
      <c r="CX112" s="214" t="s">
        <v>615</v>
      </c>
      <c r="CY112" s="204">
        <v>1</v>
      </c>
      <c r="CZ112" s="204">
        <v>0.97959183673469385</v>
      </c>
      <c r="DA112" s="203">
        <v>0</v>
      </c>
      <c r="DB112" s="204">
        <v>0.97959183673469385</v>
      </c>
      <c r="DC112" s="204">
        <v>0</v>
      </c>
      <c r="DD112" s="204">
        <v>0</v>
      </c>
      <c r="DE112" s="204">
        <v>0</v>
      </c>
      <c r="DF112" s="215">
        <v>0</v>
      </c>
      <c r="DG112" s="13" t="s">
        <v>615</v>
      </c>
      <c r="DH112" s="86">
        <v>110</v>
      </c>
      <c r="DI112" s="86"/>
      <c r="DJ112" s="86">
        <v>21</v>
      </c>
      <c r="DK112" s="86" t="s">
        <v>1523</v>
      </c>
      <c r="DL112" s="86" t="e">
        <v>#N/A</v>
      </c>
      <c r="DM112" s="86" t="e">
        <v>#N/A</v>
      </c>
      <c r="DN112" s="86" t="e">
        <v>#N/A</v>
      </c>
      <c r="DO112" s="86">
        <v>22</v>
      </c>
      <c r="DP112" s="86">
        <v>2</v>
      </c>
      <c r="DQ112" s="86">
        <v>49</v>
      </c>
      <c r="DR112" s="152">
        <v>0</v>
      </c>
      <c r="DS112" s="152">
        <v>0</v>
      </c>
      <c r="DT112" s="152">
        <v>0</v>
      </c>
      <c r="DU112" s="152">
        <v>0</v>
      </c>
      <c r="DV112" s="152">
        <v>0</v>
      </c>
      <c r="DW112" s="152">
        <v>0</v>
      </c>
      <c r="DX112" s="152">
        <v>0</v>
      </c>
      <c r="DY112" s="152">
        <v>0</v>
      </c>
      <c r="DZ112" s="152">
        <v>0</v>
      </c>
      <c r="EA112" s="152">
        <v>0</v>
      </c>
      <c r="EB112" s="152">
        <v>0</v>
      </c>
      <c r="EC112" s="152">
        <v>0</v>
      </c>
      <c r="ED112" s="152">
        <v>0</v>
      </c>
      <c r="EE112" s="152">
        <v>0</v>
      </c>
      <c r="EF112" s="152">
        <v>0</v>
      </c>
      <c r="EG112" s="152">
        <v>0</v>
      </c>
      <c r="EH112" s="152">
        <v>0</v>
      </c>
      <c r="EI112" s="152">
        <v>0</v>
      </c>
      <c r="EJ112" s="152">
        <v>0</v>
      </c>
      <c r="EK112" s="152">
        <v>0</v>
      </c>
      <c r="EL112" s="152">
        <v>0</v>
      </c>
      <c r="EM112" s="152">
        <v>0</v>
      </c>
      <c r="EN112" s="152">
        <v>0</v>
      </c>
      <c r="EO112" s="152">
        <v>0</v>
      </c>
      <c r="EP112" s="152">
        <v>0</v>
      </c>
      <c r="EQ112" s="152">
        <v>0</v>
      </c>
      <c r="ER112" s="152">
        <v>0</v>
      </c>
      <c r="ES112" s="152">
        <v>0</v>
      </c>
      <c r="ET112" s="152">
        <v>0</v>
      </c>
      <c r="EU112" s="152">
        <v>0</v>
      </c>
      <c r="EV112" s="152">
        <v>0</v>
      </c>
      <c r="EW112" s="152">
        <v>0</v>
      </c>
      <c r="EX112" s="152">
        <v>0</v>
      </c>
      <c r="EY112" s="152">
        <v>0</v>
      </c>
      <c r="EZ112" s="152">
        <v>0</v>
      </c>
      <c r="FA112" s="152">
        <v>0</v>
      </c>
      <c r="FB112" s="152">
        <v>0</v>
      </c>
      <c r="FC112" s="152">
        <v>0</v>
      </c>
      <c r="FD112" s="152">
        <v>0</v>
      </c>
      <c r="FE112" s="152">
        <v>0</v>
      </c>
      <c r="FF112" s="152">
        <v>0</v>
      </c>
      <c r="FG112" s="152">
        <v>0</v>
      </c>
      <c r="FH112" s="152">
        <v>0</v>
      </c>
      <c r="FI112" s="152">
        <v>0</v>
      </c>
      <c r="FJ112" s="152">
        <v>0</v>
      </c>
      <c r="FK112" s="152">
        <v>0</v>
      </c>
      <c r="FL112" s="152">
        <v>0</v>
      </c>
      <c r="FM112" s="152">
        <v>0</v>
      </c>
      <c r="FN112" s="152">
        <v>0</v>
      </c>
      <c r="FO112" s="152">
        <v>0</v>
      </c>
      <c r="FP112" s="152">
        <v>0</v>
      </c>
      <c r="FQ112" s="152">
        <v>0</v>
      </c>
      <c r="FR112" s="152">
        <v>0</v>
      </c>
      <c r="FS112" s="166">
        <v>0</v>
      </c>
      <c r="FT112" s="166">
        <v>0</v>
      </c>
      <c r="FU112" s="166">
        <v>0</v>
      </c>
      <c r="FV112" s="166">
        <v>0</v>
      </c>
      <c r="FW112" s="166">
        <v>0</v>
      </c>
      <c r="FX112" s="166">
        <v>0</v>
      </c>
      <c r="FY112" s="166">
        <v>0</v>
      </c>
      <c r="FZ112" s="166">
        <v>0</v>
      </c>
      <c r="GA112" s="166">
        <v>0</v>
      </c>
      <c r="GB112" s="166">
        <v>0</v>
      </c>
      <c r="GC112" s="166">
        <v>0</v>
      </c>
      <c r="GD112" s="166">
        <v>0</v>
      </c>
      <c r="GE112" s="166">
        <v>0</v>
      </c>
      <c r="GF112" s="166">
        <v>0</v>
      </c>
      <c r="GG112" s="166">
        <v>0</v>
      </c>
      <c r="GH112" s="166">
        <v>0</v>
      </c>
      <c r="GI112" s="166">
        <v>0</v>
      </c>
      <c r="GJ112" s="166">
        <v>0</v>
      </c>
      <c r="GK112" s="166">
        <v>0</v>
      </c>
      <c r="GL112" s="166">
        <v>0</v>
      </c>
      <c r="GM112" s="166">
        <v>0</v>
      </c>
      <c r="GN112" s="166">
        <v>0</v>
      </c>
      <c r="GO112" s="166">
        <v>0</v>
      </c>
      <c r="GP112" s="166">
        <v>0</v>
      </c>
      <c r="GQ112" s="166">
        <v>0</v>
      </c>
      <c r="GR112" s="166">
        <v>0</v>
      </c>
      <c r="GS112" s="166">
        <v>0</v>
      </c>
      <c r="GT112" s="166">
        <v>0</v>
      </c>
      <c r="GU112" s="166">
        <v>0</v>
      </c>
      <c r="GV112" s="166">
        <v>0</v>
      </c>
      <c r="GW112" s="166">
        <v>0</v>
      </c>
      <c r="GX112" s="166">
        <v>0</v>
      </c>
      <c r="GY112" s="166">
        <v>0</v>
      </c>
      <c r="GZ112" s="166">
        <v>0</v>
      </c>
      <c r="HA112" s="166">
        <v>0</v>
      </c>
      <c r="HB112" s="166">
        <v>0</v>
      </c>
      <c r="HC112" s="166">
        <v>0</v>
      </c>
      <c r="HD112" s="166">
        <v>0</v>
      </c>
      <c r="HE112" s="166">
        <v>0</v>
      </c>
      <c r="HF112" s="166">
        <v>0</v>
      </c>
      <c r="HG112" s="166">
        <v>0</v>
      </c>
      <c r="HH112" s="152">
        <v>0</v>
      </c>
      <c r="HI112" s="152">
        <v>0</v>
      </c>
      <c r="HJ112" s="152">
        <v>0</v>
      </c>
      <c r="HK112" s="152">
        <v>0</v>
      </c>
      <c r="HL112" s="152">
        <v>0</v>
      </c>
      <c r="HM112" s="152">
        <v>0</v>
      </c>
      <c r="HN112" s="152">
        <v>0</v>
      </c>
      <c r="HO112" s="152">
        <v>0</v>
      </c>
      <c r="HP112" s="152">
        <v>0</v>
      </c>
      <c r="HQ112" s="152">
        <v>0</v>
      </c>
      <c r="HR112" s="152">
        <v>0</v>
      </c>
      <c r="HS112" s="152">
        <v>0</v>
      </c>
      <c r="HT112" s="152">
        <v>0</v>
      </c>
      <c r="HU112" s="216"/>
      <c r="HV112" s="152">
        <v>0</v>
      </c>
      <c r="HW112" s="216"/>
      <c r="HX112" s="216"/>
      <c r="HY112" s="216"/>
      <c r="HZ112" s="216"/>
      <c r="IA112" s="216"/>
      <c r="IB112" s="216"/>
      <c r="IC112" s="216"/>
      <c r="ID112" s="216"/>
      <c r="IE112" s="216"/>
      <c r="IF112" s="216"/>
      <c r="IG112" s="216"/>
      <c r="IH112" s="216"/>
      <c r="II112" s="216"/>
      <c r="IJ112" s="216"/>
      <c r="IK112" s="216"/>
      <c r="IL112" s="216"/>
      <c r="IM112" s="216"/>
      <c r="IN112" s="216"/>
      <c r="IO112" s="216"/>
      <c r="IP112" s="216"/>
      <c r="IQ112" s="216"/>
      <c r="IR112" s="216"/>
      <c r="IS112" s="216"/>
      <c r="IT112" s="216"/>
      <c r="IU112" s="216"/>
      <c r="IV112" s="216"/>
      <c r="IW112" s="216"/>
      <c r="IX112" s="216"/>
      <c r="IY112" s="216"/>
      <c r="IZ112" s="216"/>
      <c r="JA112" s="216"/>
      <c r="JB112" s="216"/>
      <c r="JC112" s="216"/>
      <c r="JD112" s="216"/>
      <c r="JE112" s="216"/>
      <c r="JF112" s="216"/>
      <c r="JG112" s="216"/>
      <c r="JH112" s="216"/>
      <c r="JI112" s="216"/>
      <c r="JJ112" s="216"/>
      <c r="JK112" s="216"/>
      <c r="JL112" s="216"/>
      <c r="JM112" s="216"/>
      <c r="JN112" s="216"/>
      <c r="JO112" s="216"/>
      <c r="JP112" s="216"/>
      <c r="JQ112" s="216"/>
      <c r="JR112" s="216"/>
      <c r="JS112" s="216"/>
      <c r="JT112" s="216"/>
      <c r="JU112" s="216"/>
      <c r="JV112" s="216"/>
      <c r="JW112" s="216"/>
      <c r="JX112" s="216"/>
      <c r="JY112" s="216"/>
      <c r="JZ112" s="216"/>
      <c r="KA112" s="216"/>
      <c r="KB112" s="216"/>
      <c r="KC112" s="216"/>
      <c r="KD112" s="216"/>
      <c r="KE112" s="216"/>
      <c r="KF112" s="216"/>
      <c r="KG112" s="216"/>
      <c r="KH112" s="216"/>
      <c r="KI112" s="216"/>
      <c r="KJ112" s="216"/>
      <c r="KK112" s="216"/>
      <c r="KL112" s="216"/>
      <c r="KM112" s="216"/>
      <c r="KN112" s="216"/>
      <c r="KO112" s="216"/>
      <c r="KP112" s="216"/>
      <c r="KQ112" s="216"/>
      <c r="KR112" s="216"/>
      <c r="KS112" s="216"/>
      <c r="KT112" s="216"/>
      <c r="KU112" s="216"/>
      <c r="KV112" s="216"/>
      <c r="KW112" s="216"/>
      <c r="KX112" s="216"/>
      <c r="KY112" s="216"/>
      <c r="KZ112" s="216"/>
      <c r="LA112" s="216"/>
      <c r="LB112" s="216"/>
      <c r="LC112" s="216"/>
      <c r="LD112" s="216"/>
      <c r="LE112" s="216"/>
    </row>
    <row r="113" spans="1:317" x14ac:dyDescent="0.2">
      <c r="A113" s="179" t="s">
        <v>849</v>
      </c>
      <c r="B113" s="180" t="s">
        <v>1012</v>
      </c>
      <c r="C113" s="181"/>
      <c r="D113" s="182">
        <v>0</v>
      </c>
      <c r="E113" s="182">
        <v>0</v>
      </c>
      <c r="F113" s="183" t="s">
        <v>1289</v>
      </c>
      <c r="G113" s="183">
        <v>0</v>
      </c>
      <c r="H113" s="183">
        <v>0</v>
      </c>
      <c r="I113" s="183">
        <v>0</v>
      </c>
      <c r="J113" s="183">
        <v>0</v>
      </c>
      <c r="K113" s="183" t="s">
        <v>1386</v>
      </c>
      <c r="L113" s="183">
        <v>0</v>
      </c>
      <c r="M113" s="183">
        <v>0</v>
      </c>
      <c r="N113" s="183" t="s">
        <v>872</v>
      </c>
      <c r="O113" s="183">
        <v>0</v>
      </c>
      <c r="P113" s="183">
        <v>0</v>
      </c>
      <c r="Q113" s="183"/>
      <c r="R113" s="183"/>
      <c r="S113" s="183"/>
      <c r="T113" s="183"/>
      <c r="U113" s="183"/>
      <c r="V113" s="183">
        <v>0</v>
      </c>
      <c r="W113" s="183">
        <v>0</v>
      </c>
      <c r="X113" s="183">
        <v>0</v>
      </c>
      <c r="Y113" s="184">
        <v>31.36</v>
      </c>
      <c r="Z113" s="184">
        <v>122.6</v>
      </c>
      <c r="AA113" s="184">
        <v>0</v>
      </c>
      <c r="AB113" s="185" t="s">
        <v>615</v>
      </c>
      <c r="AC113" s="185" t="s">
        <v>615</v>
      </c>
      <c r="AD113" s="186" t="s">
        <v>872</v>
      </c>
      <c r="AE113" s="186" t="s">
        <v>852</v>
      </c>
      <c r="AF113" s="187">
        <v>7</v>
      </c>
      <c r="AG113" s="187">
        <v>3</v>
      </c>
      <c r="AH113" s="187">
        <v>4</v>
      </c>
      <c r="AI113" s="188">
        <v>1</v>
      </c>
      <c r="AJ113" s="188" t="s">
        <v>615</v>
      </c>
      <c r="AK113" s="187" t="s">
        <v>1736</v>
      </c>
      <c r="AL113" s="87" t="s">
        <v>615</v>
      </c>
      <c r="AM113" s="189"/>
      <c r="AN113" s="187" t="s">
        <v>615</v>
      </c>
      <c r="AO113" s="13" t="s">
        <v>615</v>
      </c>
      <c r="AP113" s="187">
        <v>0</v>
      </c>
      <c r="AQ113" s="187">
        <v>0</v>
      </c>
      <c r="AR113" s="190">
        <v>0</v>
      </c>
      <c r="AS113" s="190">
        <v>0</v>
      </c>
      <c r="AT113" s="190">
        <v>0</v>
      </c>
      <c r="AU113" s="187">
        <v>0</v>
      </c>
      <c r="AV113" s="187">
        <v>0</v>
      </c>
      <c r="AW113" s="191"/>
      <c r="AX113" s="192"/>
      <c r="AY113" s="193">
        <v>42666</v>
      </c>
      <c r="AZ113" s="193"/>
      <c r="BA113" s="193"/>
      <c r="BB113" s="194"/>
      <c r="BC113" s="194"/>
      <c r="BD113" s="195"/>
      <c r="BE113" s="195" t="s">
        <v>532</v>
      </c>
      <c r="BF113" s="195"/>
      <c r="BG113" s="195">
        <v>4</v>
      </c>
      <c r="BH113" s="196" t="s">
        <v>547</v>
      </c>
      <c r="BI113" s="197">
        <v>1</v>
      </c>
      <c r="BJ113" s="198"/>
      <c r="BK113" s="199">
        <v>4</v>
      </c>
      <c r="BL113" s="13">
        <v>3</v>
      </c>
      <c r="BM113" s="13">
        <v>1</v>
      </c>
      <c r="BN113" s="13" t="s">
        <v>620</v>
      </c>
      <c r="BO113" s="13" t="s">
        <v>620</v>
      </c>
      <c r="BP113" s="200">
        <v>0</v>
      </c>
      <c r="BQ113" s="201"/>
      <c r="BR113" s="202"/>
      <c r="BS113" s="187">
        <v>1000000000</v>
      </c>
      <c r="BT113" s="203">
        <v>8</v>
      </c>
      <c r="BU113" s="204">
        <v>-1</v>
      </c>
      <c r="BV113" s="203">
        <v>0</v>
      </c>
      <c r="BW113" s="205">
        <v>0</v>
      </c>
      <c r="BX113" s="205">
        <v>0</v>
      </c>
      <c r="BY113" s="205">
        <v>0</v>
      </c>
      <c r="BZ113" s="203">
        <v>0</v>
      </c>
      <c r="CA113" s="203">
        <v>0</v>
      </c>
      <c r="CB113" s="203">
        <v>8</v>
      </c>
      <c r="CC113" s="204">
        <v>-1</v>
      </c>
      <c r="CD113" s="203">
        <v>0</v>
      </c>
      <c r="CE113" s="203">
        <v>0</v>
      </c>
      <c r="CF113" s="13">
        <v>0</v>
      </c>
      <c r="CG113" s="206">
        <v>0</v>
      </c>
      <c r="CH113" s="207">
        <v>2</v>
      </c>
      <c r="CI113" s="201"/>
      <c r="CJ113" s="208"/>
      <c r="CK113" s="209" t="s">
        <v>615</v>
      </c>
      <c r="CL113" s="210" t="s">
        <v>615</v>
      </c>
      <c r="CM113" s="207">
        <v>0</v>
      </c>
      <c r="CN113" s="207">
        <v>125.44</v>
      </c>
      <c r="CO113" s="204">
        <v>0</v>
      </c>
      <c r="CP113" s="204">
        <v>19.950437317784253</v>
      </c>
      <c r="CQ113" s="211"/>
      <c r="CR113" s="204">
        <v>1</v>
      </c>
      <c r="CS113" s="212">
        <v>42531</v>
      </c>
      <c r="CT113" s="212">
        <v>42780</v>
      </c>
      <c r="CU113" s="213">
        <v>42780</v>
      </c>
      <c r="CV113" s="214">
        <v>42829</v>
      </c>
      <c r="CW113" s="214" t="s">
        <v>615</v>
      </c>
      <c r="CX113" s="214" t="s">
        <v>615</v>
      </c>
      <c r="CY113" s="204">
        <v>0</v>
      </c>
      <c r="CZ113" s="204">
        <v>0.97959183673469385</v>
      </c>
      <c r="DA113" s="203">
        <v>0</v>
      </c>
      <c r="DB113" s="204">
        <v>0</v>
      </c>
      <c r="DC113" s="204">
        <v>0</v>
      </c>
      <c r="DD113" s="204">
        <v>0</v>
      </c>
      <c r="DE113" s="204">
        <v>0</v>
      </c>
      <c r="DF113" s="215">
        <v>0.97959183673469385</v>
      </c>
      <c r="DG113" s="13" t="s">
        <v>615</v>
      </c>
      <c r="DH113" s="86">
        <v>111</v>
      </c>
      <c r="DI113" s="86"/>
      <c r="DJ113" s="86">
        <v>20</v>
      </c>
      <c r="DK113" s="86" t="s">
        <v>1475</v>
      </c>
      <c r="DL113" s="86" t="e">
        <v>#N/A</v>
      </c>
      <c r="DM113" s="86">
        <v>16</v>
      </c>
      <c r="DN113" s="86" t="e">
        <v>#N/A</v>
      </c>
      <c r="DO113" s="86">
        <v>21</v>
      </c>
      <c r="DP113" s="86">
        <v>2</v>
      </c>
      <c r="DQ113" s="86">
        <v>49</v>
      </c>
      <c r="DR113" s="146">
        <v>8</v>
      </c>
      <c r="DS113" s="146">
        <v>8</v>
      </c>
      <c r="DT113" s="146">
        <v>8</v>
      </c>
      <c r="DU113" s="146">
        <v>8</v>
      </c>
      <c r="DV113" s="146">
        <v>8</v>
      </c>
      <c r="DW113" s="146">
        <v>8</v>
      </c>
      <c r="DX113" s="146">
        <v>8</v>
      </c>
      <c r="DY113" s="146">
        <v>8</v>
      </c>
      <c r="DZ113" s="146">
        <v>8</v>
      </c>
      <c r="EA113" s="146">
        <v>8</v>
      </c>
      <c r="EB113" s="146">
        <v>8</v>
      </c>
      <c r="EC113" s="146">
        <v>8</v>
      </c>
      <c r="ED113" s="146">
        <v>8</v>
      </c>
      <c r="EE113" s="146">
        <v>8</v>
      </c>
      <c r="EF113" s="146">
        <v>8</v>
      </c>
      <c r="EG113" s="146">
        <v>8</v>
      </c>
      <c r="EH113" s="146">
        <v>8</v>
      </c>
      <c r="EI113" s="146">
        <v>8</v>
      </c>
      <c r="EJ113" s="146">
        <v>8</v>
      </c>
      <c r="EK113" s="146">
        <v>8</v>
      </c>
      <c r="EL113" s="146">
        <v>8</v>
      </c>
      <c r="EM113" s="146">
        <v>8</v>
      </c>
      <c r="EN113" s="146">
        <v>8</v>
      </c>
      <c r="EO113" s="146">
        <v>8</v>
      </c>
      <c r="EP113" s="146">
        <v>8</v>
      </c>
      <c r="EQ113" s="146">
        <v>8</v>
      </c>
      <c r="ER113" s="146">
        <v>8</v>
      </c>
      <c r="ES113" s="146">
        <v>8</v>
      </c>
      <c r="ET113" s="146">
        <v>8</v>
      </c>
      <c r="EU113" s="146">
        <v>8</v>
      </c>
      <c r="EV113" s="146">
        <v>8</v>
      </c>
      <c r="EW113" s="146">
        <v>8</v>
      </c>
      <c r="EX113" s="146">
        <v>8</v>
      </c>
      <c r="EY113" s="146">
        <v>8</v>
      </c>
      <c r="EZ113" s="146">
        <v>8</v>
      </c>
      <c r="FA113" s="146">
        <v>8</v>
      </c>
      <c r="FB113" s="146">
        <v>8</v>
      </c>
      <c r="FC113" s="146">
        <v>8</v>
      </c>
      <c r="FD113" s="146">
        <v>8</v>
      </c>
      <c r="FE113" s="146">
        <v>8</v>
      </c>
      <c r="FF113" s="146">
        <v>8</v>
      </c>
      <c r="FG113" s="146">
        <v>8</v>
      </c>
      <c r="FH113" s="146">
        <v>8</v>
      </c>
      <c r="FI113" s="146">
        <v>8</v>
      </c>
      <c r="FJ113" s="146">
        <v>8</v>
      </c>
      <c r="FK113" s="146">
        <v>8</v>
      </c>
      <c r="FL113" s="146">
        <v>8</v>
      </c>
      <c r="FM113" s="146">
        <v>8</v>
      </c>
      <c r="FN113" s="146">
        <v>8</v>
      </c>
      <c r="FO113" s="146">
        <v>8</v>
      </c>
      <c r="FP113" s="146">
        <v>8</v>
      </c>
      <c r="FQ113" s="146">
        <v>8</v>
      </c>
      <c r="FR113" s="146">
        <v>8</v>
      </c>
      <c r="FS113" s="161">
        <v>8</v>
      </c>
      <c r="FT113" s="161">
        <v>8</v>
      </c>
      <c r="FU113" s="161">
        <v>8</v>
      </c>
      <c r="FV113" s="161">
        <v>8</v>
      </c>
      <c r="FW113" s="161">
        <v>8</v>
      </c>
      <c r="FX113" s="161">
        <v>8</v>
      </c>
      <c r="FY113" s="161">
        <v>8</v>
      </c>
      <c r="FZ113" s="161">
        <v>8</v>
      </c>
      <c r="GA113" s="161">
        <v>8</v>
      </c>
      <c r="GB113" s="161">
        <v>8</v>
      </c>
      <c r="GC113" s="161">
        <v>8</v>
      </c>
      <c r="GD113" s="161">
        <v>8</v>
      </c>
      <c r="GE113" s="161">
        <v>8</v>
      </c>
      <c r="GF113" s="161">
        <v>8</v>
      </c>
      <c r="GG113" s="161">
        <v>8</v>
      </c>
      <c r="GH113" s="161">
        <v>8</v>
      </c>
      <c r="GI113" s="161">
        <v>8</v>
      </c>
      <c r="GJ113" s="161">
        <v>8</v>
      </c>
      <c r="GK113" s="161">
        <v>8</v>
      </c>
      <c r="GL113" s="161">
        <v>8</v>
      </c>
      <c r="GM113" s="161">
        <v>8</v>
      </c>
      <c r="GN113" s="161">
        <v>8</v>
      </c>
      <c r="GO113" s="161">
        <v>8</v>
      </c>
      <c r="GP113" s="161">
        <v>8</v>
      </c>
      <c r="GQ113" s="161">
        <v>8</v>
      </c>
      <c r="GR113" s="161">
        <v>8</v>
      </c>
      <c r="GS113" s="161">
        <v>8</v>
      </c>
      <c r="GT113" s="161">
        <v>8</v>
      </c>
      <c r="GU113" s="161">
        <v>8</v>
      </c>
      <c r="GV113" s="161">
        <v>8</v>
      </c>
      <c r="GW113" s="161">
        <v>8</v>
      </c>
      <c r="GX113" s="161">
        <v>8</v>
      </c>
      <c r="GY113" s="161">
        <v>8</v>
      </c>
      <c r="GZ113" s="161">
        <v>8</v>
      </c>
      <c r="HA113" s="161">
        <v>8</v>
      </c>
      <c r="HB113" s="161">
        <v>8</v>
      </c>
      <c r="HC113" s="161">
        <v>8</v>
      </c>
      <c r="HD113" s="161">
        <v>8</v>
      </c>
      <c r="HE113" s="161">
        <v>8</v>
      </c>
      <c r="HF113" s="161">
        <v>8</v>
      </c>
      <c r="HG113" s="161">
        <v>8</v>
      </c>
      <c r="HH113" s="161">
        <v>8</v>
      </c>
      <c r="HI113" s="161">
        <v>8</v>
      </c>
      <c r="HJ113" s="161">
        <v>8</v>
      </c>
      <c r="HK113" s="161">
        <v>8</v>
      </c>
      <c r="HL113" s="161">
        <v>8</v>
      </c>
      <c r="HM113" s="161">
        <v>8</v>
      </c>
      <c r="HN113" s="161">
        <v>8</v>
      </c>
      <c r="HO113" s="161">
        <v>8</v>
      </c>
      <c r="HP113" s="161">
        <v>8</v>
      </c>
      <c r="HQ113" s="161">
        <v>8</v>
      </c>
      <c r="HR113" s="161">
        <v>8</v>
      </c>
      <c r="HS113" s="161">
        <v>8</v>
      </c>
      <c r="HT113" s="161">
        <v>8</v>
      </c>
      <c r="HU113" s="151"/>
      <c r="HV113" s="161">
        <v>8</v>
      </c>
      <c r="HW113" s="151"/>
      <c r="HX113" s="151"/>
      <c r="HY113" s="151"/>
      <c r="HZ113" s="151"/>
      <c r="IA113" s="151"/>
      <c r="IB113" s="151"/>
      <c r="IC113" s="151"/>
      <c r="ID113" s="151"/>
      <c r="IE113" s="151"/>
      <c r="IF113" s="151"/>
      <c r="IG113" s="151"/>
      <c r="IH113" s="151"/>
      <c r="II113" s="151"/>
      <c r="IJ113" s="151"/>
      <c r="IK113" s="151"/>
      <c r="IL113" s="151"/>
      <c r="IM113" s="151"/>
      <c r="IN113" s="151"/>
      <c r="IO113" s="151"/>
      <c r="IP113" s="151"/>
      <c r="IQ113" s="151"/>
      <c r="IR113" s="151"/>
      <c r="IS113" s="151"/>
      <c r="IT113" s="151"/>
      <c r="IU113" s="151"/>
      <c r="IV113" s="151"/>
      <c r="IW113" s="151"/>
      <c r="IX113" s="151"/>
      <c r="IY113" s="151"/>
      <c r="IZ113" s="151"/>
      <c r="JA113" s="151"/>
      <c r="JB113" s="151"/>
      <c r="JC113" s="151"/>
      <c r="JD113" s="151"/>
      <c r="JE113" s="151"/>
      <c r="JF113" s="151"/>
      <c r="JG113" s="151"/>
      <c r="JH113" s="151"/>
      <c r="JI113" s="151"/>
      <c r="JJ113" s="151"/>
      <c r="JK113" s="151"/>
      <c r="JL113" s="151"/>
      <c r="JM113" s="151"/>
      <c r="JN113" s="151"/>
      <c r="JO113" s="151"/>
      <c r="JP113" s="151"/>
      <c r="JQ113" s="151"/>
      <c r="JR113" s="151"/>
      <c r="JS113" s="151"/>
      <c r="JT113" s="151"/>
      <c r="JU113" s="151"/>
      <c r="JV113" s="151"/>
      <c r="JW113" s="151"/>
      <c r="JX113" s="151"/>
      <c r="JY113" s="151"/>
      <c r="JZ113" s="151"/>
      <c r="KA113" s="151"/>
      <c r="KB113" s="151"/>
      <c r="KC113" s="151"/>
      <c r="KD113" s="151"/>
      <c r="KE113" s="151"/>
      <c r="KF113" s="151"/>
      <c r="KG113" s="151"/>
      <c r="KH113" s="151"/>
      <c r="KI113" s="151"/>
      <c r="KJ113" s="151"/>
      <c r="KK113" s="151"/>
      <c r="KL113" s="151"/>
      <c r="KM113" s="151"/>
      <c r="KN113" s="151"/>
      <c r="KO113" s="151"/>
      <c r="KP113" s="151"/>
      <c r="KQ113" s="151"/>
      <c r="KR113" s="151"/>
      <c r="KS113" s="151"/>
      <c r="KT113" s="151"/>
      <c r="KU113" s="151"/>
      <c r="KV113" s="151"/>
      <c r="KW113" s="151"/>
      <c r="KX113" s="151"/>
      <c r="KY113" s="151"/>
      <c r="KZ113" s="151"/>
      <c r="LA113" s="151"/>
      <c r="LB113" s="151"/>
      <c r="LC113" s="151"/>
      <c r="LD113" s="151"/>
      <c r="LE113" s="151"/>
    </row>
    <row r="114" spans="1:317" x14ac:dyDescent="0.2">
      <c r="A114" s="179" t="s">
        <v>849</v>
      </c>
      <c r="B114" s="180" t="s">
        <v>1013</v>
      </c>
      <c r="C114" s="181"/>
      <c r="D114" s="182">
        <v>0</v>
      </c>
      <c r="E114" s="182">
        <v>0</v>
      </c>
      <c r="F114" s="183" t="s">
        <v>1290</v>
      </c>
      <c r="G114" s="183">
        <v>0</v>
      </c>
      <c r="H114" s="183">
        <v>0</v>
      </c>
      <c r="I114" s="183">
        <v>0</v>
      </c>
      <c r="J114" s="183">
        <v>0</v>
      </c>
      <c r="K114" s="183" t="s">
        <v>1387</v>
      </c>
      <c r="L114" s="183">
        <v>0</v>
      </c>
      <c r="M114" s="183">
        <v>0</v>
      </c>
      <c r="N114" s="183" t="s">
        <v>872</v>
      </c>
      <c r="O114" s="183">
        <v>0</v>
      </c>
      <c r="P114" s="183">
        <v>0</v>
      </c>
      <c r="Q114" s="183"/>
      <c r="R114" s="183"/>
      <c r="S114" s="183"/>
      <c r="T114" s="183"/>
      <c r="U114" s="183"/>
      <c r="V114" s="183">
        <v>0</v>
      </c>
      <c r="W114" s="183">
        <v>0</v>
      </c>
      <c r="X114" s="183">
        <v>0</v>
      </c>
      <c r="Y114" s="184">
        <v>29.86</v>
      </c>
      <c r="Z114" s="184">
        <v>113.52</v>
      </c>
      <c r="AA114" s="184">
        <v>0</v>
      </c>
      <c r="AB114" s="185" t="s">
        <v>615</v>
      </c>
      <c r="AC114" s="185" t="s">
        <v>615</v>
      </c>
      <c r="AD114" s="186" t="s">
        <v>872</v>
      </c>
      <c r="AE114" s="186" t="s">
        <v>852</v>
      </c>
      <c r="AF114" s="187">
        <v>7</v>
      </c>
      <c r="AG114" s="187">
        <v>3</v>
      </c>
      <c r="AH114" s="187">
        <v>4</v>
      </c>
      <c r="AI114" s="188">
        <v>1</v>
      </c>
      <c r="AJ114" s="188" t="s">
        <v>615</v>
      </c>
      <c r="AK114" s="187" t="s">
        <v>1733</v>
      </c>
      <c r="AL114" s="87" t="s">
        <v>615</v>
      </c>
      <c r="AM114" s="189"/>
      <c r="AN114" s="187" t="s">
        <v>615</v>
      </c>
      <c r="AO114" s="13" t="s">
        <v>615</v>
      </c>
      <c r="AP114" s="187">
        <v>0</v>
      </c>
      <c r="AQ114" s="187">
        <v>0</v>
      </c>
      <c r="AR114" s="190">
        <v>0</v>
      </c>
      <c r="AS114" s="190">
        <v>0</v>
      </c>
      <c r="AT114" s="190">
        <v>0</v>
      </c>
      <c r="AU114" s="187">
        <v>0</v>
      </c>
      <c r="AV114" s="187">
        <v>0</v>
      </c>
      <c r="AW114" s="191"/>
      <c r="AX114" s="192"/>
      <c r="AY114" s="193">
        <v>42666</v>
      </c>
      <c r="AZ114" s="193"/>
      <c r="BA114" s="193"/>
      <c r="BB114" s="194"/>
      <c r="BC114" s="194"/>
      <c r="BD114" s="195"/>
      <c r="BE114" s="195" t="s">
        <v>532</v>
      </c>
      <c r="BF114" s="195"/>
      <c r="BG114" s="195">
        <v>4</v>
      </c>
      <c r="BH114" s="196" t="s">
        <v>547</v>
      </c>
      <c r="BI114" s="197">
        <v>1</v>
      </c>
      <c r="BJ114" s="198"/>
      <c r="BK114" s="199">
        <v>4</v>
      </c>
      <c r="BL114" s="13">
        <v>3</v>
      </c>
      <c r="BM114" s="13">
        <v>1</v>
      </c>
      <c r="BN114" s="13" t="s">
        <v>620</v>
      </c>
      <c r="BO114" s="13" t="s">
        <v>620</v>
      </c>
      <c r="BP114" s="200">
        <v>0</v>
      </c>
      <c r="BQ114" s="201"/>
      <c r="BR114" s="202"/>
      <c r="BS114" s="187">
        <v>1000000000</v>
      </c>
      <c r="BT114" s="203">
        <v>22</v>
      </c>
      <c r="BU114" s="204">
        <v>-4.5</v>
      </c>
      <c r="BV114" s="203">
        <v>0</v>
      </c>
      <c r="BW114" s="205">
        <v>0</v>
      </c>
      <c r="BX114" s="205">
        <v>0</v>
      </c>
      <c r="BY114" s="205">
        <v>0</v>
      </c>
      <c r="BZ114" s="203">
        <v>0</v>
      </c>
      <c r="CA114" s="203">
        <v>0</v>
      </c>
      <c r="CB114" s="203">
        <v>22</v>
      </c>
      <c r="CC114" s="204">
        <v>-4.5</v>
      </c>
      <c r="CD114" s="203">
        <v>0</v>
      </c>
      <c r="CE114" s="203">
        <v>0</v>
      </c>
      <c r="CF114" s="13">
        <v>0</v>
      </c>
      <c r="CG114" s="206">
        <v>0</v>
      </c>
      <c r="CH114" s="207">
        <v>2</v>
      </c>
      <c r="CI114" s="201"/>
      <c r="CJ114" s="208"/>
      <c r="CK114" s="209" t="s">
        <v>615</v>
      </c>
      <c r="CL114" s="210" t="s">
        <v>615</v>
      </c>
      <c r="CM114" s="207">
        <v>0</v>
      </c>
      <c r="CN114" s="207">
        <v>537.48</v>
      </c>
      <c r="CO114" s="204">
        <v>0</v>
      </c>
      <c r="CP114" s="204">
        <v>19.211941441010428</v>
      </c>
      <c r="CQ114" s="211"/>
      <c r="CR114" s="204">
        <v>1</v>
      </c>
      <c r="CS114" s="212">
        <v>42592</v>
      </c>
      <c r="CT114" s="212">
        <v>42780</v>
      </c>
      <c r="CU114" s="213">
        <v>42780</v>
      </c>
      <c r="CV114" s="214">
        <v>42829</v>
      </c>
      <c r="CW114" s="214" t="s">
        <v>615</v>
      </c>
      <c r="CX114" s="214" t="s">
        <v>615</v>
      </c>
      <c r="CY114" s="204">
        <v>0</v>
      </c>
      <c r="CZ114" s="204">
        <v>0.97959183673469385</v>
      </c>
      <c r="DA114" s="203">
        <v>0</v>
      </c>
      <c r="DB114" s="204">
        <v>0</v>
      </c>
      <c r="DC114" s="204">
        <v>0</v>
      </c>
      <c r="DD114" s="204">
        <v>0</v>
      </c>
      <c r="DE114" s="204">
        <v>0</v>
      </c>
      <c r="DF114" s="215">
        <v>0.97959183673469385</v>
      </c>
      <c r="DG114" s="13" t="s">
        <v>615</v>
      </c>
      <c r="DH114" s="86">
        <v>112</v>
      </c>
      <c r="DI114" s="86"/>
      <c r="DJ114" s="86">
        <v>19</v>
      </c>
      <c r="DK114" s="86" t="s">
        <v>1474</v>
      </c>
      <c r="DL114" s="86" t="e">
        <v>#N/A</v>
      </c>
      <c r="DM114" s="86">
        <v>15</v>
      </c>
      <c r="DN114" s="86" t="e">
        <v>#N/A</v>
      </c>
      <c r="DO114" s="86">
        <v>20</v>
      </c>
      <c r="DP114" s="86">
        <v>2</v>
      </c>
      <c r="DQ114" s="86">
        <v>49</v>
      </c>
      <c r="DR114" s="152">
        <v>22</v>
      </c>
      <c r="DS114" s="152">
        <v>22</v>
      </c>
      <c r="DT114" s="152">
        <v>22</v>
      </c>
      <c r="DU114" s="152">
        <v>22</v>
      </c>
      <c r="DV114" s="152">
        <v>22</v>
      </c>
      <c r="DW114" s="152">
        <v>22</v>
      </c>
      <c r="DX114" s="152">
        <v>22</v>
      </c>
      <c r="DY114" s="152">
        <v>22</v>
      </c>
      <c r="DZ114" s="152">
        <v>22</v>
      </c>
      <c r="EA114" s="152">
        <v>22</v>
      </c>
      <c r="EB114" s="152">
        <v>22</v>
      </c>
      <c r="EC114" s="152">
        <v>22</v>
      </c>
      <c r="ED114" s="152">
        <v>22</v>
      </c>
      <c r="EE114" s="152">
        <v>22</v>
      </c>
      <c r="EF114" s="152">
        <v>22</v>
      </c>
      <c r="EG114" s="152">
        <v>22</v>
      </c>
      <c r="EH114" s="152">
        <v>22</v>
      </c>
      <c r="EI114" s="152">
        <v>22</v>
      </c>
      <c r="EJ114" s="152">
        <v>22</v>
      </c>
      <c r="EK114" s="152">
        <v>22</v>
      </c>
      <c r="EL114" s="152">
        <v>22</v>
      </c>
      <c r="EM114" s="152">
        <v>22</v>
      </c>
      <c r="EN114" s="152">
        <v>22</v>
      </c>
      <c r="EO114" s="152">
        <v>22</v>
      </c>
      <c r="EP114" s="152">
        <v>22</v>
      </c>
      <c r="EQ114" s="152">
        <v>22</v>
      </c>
      <c r="ER114" s="152">
        <v>22</v>
      </c>
      <c r="ES114" s="152">
        <v>22</v>
      </c>
      <c r="ET114" s="152">
        <v>22</v>
      </c>
      <c r="EU114" s="152">
        <v>22</v>
      </c>
      <c r="EV114" s="152">
        <v>22</v>
      </c>
      <c r="EW114" s="152">
        <v>22</v>
      </c>
      <c r="EX114" s="152">
        <v>22</v>
      </c>
      <c r="EY114" s="152">
        <v>22</v>
      </c>
      <c r="EZ114" s="152">
        <v>22</v>
      </c>
      <c r="FA114" s="152">
        <v>22</v>
      </c>
      <c r="FB114" s="152">
        <v>22</v>
      </c>
      <c r="FC114" s="152">
        <v>22</v>
      </c>
      <c r="FD114" s="152">
        <v>22</v>
      </c>
      <c r="FE114" s="152">
        <v>22</v>
      </c>
      <c r="FF114" s="152">
        <v>22</v>
      </c>
      <c r="FG114" s="152">
        <v>22</v>
      </c>
      <c r="FH114" s="152">
        <v>22</v>
      </c>
      <c r="FI114" s="152">
        <v>22</v>
      </c>
      <c r="FJ114" s="152">
        <v>22</v>
      </c>
      <c r="FK114" s="152">
        <v>22</v>
      </c>
      <c r="FL114" s="152">
        <v>22</v>
      </c>
      <c r="FM114" s="152">
        <v>22</v>
      </c>
      <c r="FN114" s="152">
        <v>22</v>
      </c>
      <c r="FO114" s="152">
        <v>22</v>
      </c>
      <c r="FP114" s="152">
        <v>22</v>
      </c>
      <c r="FQ114" s="152">
        <v>22</v>
      </c>
      <c r="FR114" s="152">
        <v>22</v>
      </c>
      <c r="FS114" s="167">
        <v>22</v>
      </c>
      <c r="FT114" s="167">
        <v>22</v>
      </c>
      <c r="FU114" s="167">
        <v>22</v>
      </c>
      <c r="FV114" s="167">
        <v>22</v>
      </c>
      <c r="FW114" s="167">
        <v>22</v>
      </c>
      <c r="FX114" s="167">
        <v>22</v>
      </c>
      <c r="FY114" s="167">
        <v>22</v>
      </c>
      <c r="FZ114" s="167">
        <v>22</v>
      </c>
      <c r="GA114" s="167">
        <v>22</v>
      </c>
      <c r="GB114" s="167">
        <v>22</v>
      </c>
      <c r="GC114" s="167">
        <v>22</v>
      </c>
      <c r="GD114" s="167">
        <v>22</v>
      </c>
      <c r="GE114" s="167">
        <v>22</v>
      </c>
      <c r="GF114" s="167">
        <v>22</v>
      </c>
      <c r="GG114" s="167">
        <v>22</v>
      </c>
      <c r="GH114" s="167">
        <v>22</v>
      </c>
      <c r="GI114" s="167">
        <v>22</v>
      </c>
      <c r="GJ114" s="167">
        <v>22</v>
      </c>
      <c r="GK114" s="167">
        <v>22</v>
      </c>
      <c r="GL114" s="167">
        <v>22</v>
      </c>
      <c r="GM114" s="167">
        <v>22</v>
      </c>
      <c r="GN114" s="167">
        <v>22</v>
      </c>
      <c r="GO114" s="167">
        <v>22</v>
      </c>
      <c r="GP114" s="167">
        <v>22</v>
      </c>
      <c r="GQ114" s="167">
        <v>22</v>
      </c>
      <c r="GR114" s="167">
        <v>22</v>
      </c>
      <c r="GS114" s="167">
        <v>22</v>
      </c>
      <c r="GT114" s="167">
        <v>22</v>
      </c>
      <c r="GU114" s="167">
        <v>22</v>
      </c>
      <c r="GV114" s="167">
        <v>22</v>
      </c>
      <c r="GW114" s="167">
        <v>22</v>
      </c>
      <c r="GX114" s="167">
        <v>22</v>
      </c>
      <c r="GY114" s="167">
        <v>22</v>
      </c>
      <c r="GZ114" s="167">
        <v>22</v>
      </c>
      <c r="HA114" s="167">
        <v>22</v>
      </c>
      <c r="HB114" s="167">
        <v>22</v>
      </c>
      <c r="HC114" s="167">
        <v>22</v>
      </c>
      <c r="HD114" s="167">
        <v>22</v>
      </c>
      <c r="HE114" s="167">
        <v>22</v>
      </c>
      <c r="HF114" s="167">
        <v>22</v>
      </c>
      <c r="HG114" s="167">
        <v>22</v>
      </c>
      <c r="HH114" s="167">
        <v>22</v>
      </c>
      <c r="HI114" s="167">
        <v>22</v>
      </c>
      <c r="HJ114" s="167">
        <v>22</v>
      </c>
      <c r="HK114" s="167">
        <v>22</v>
      </c>
      <c r="HL114" s="167">
        <v>22</v>
      </c>
      <c r="HM114" s="167">
        <v>22</v>
      </c>
      <c r="HN114" s="167">
        <v>22</v>
      </c>
      <c r="HO114" s="167">
        <v>22</v>
      </c>
      <c r="HP114" s="167">
        <v>22</v>
      </c>
      <c r="HQ114" s="167">
        <v>22</v>
      </c>
      <c r="HR114" s="167">
        <v>22</v>
      </c>
      <c r="HS114" s="167">
        <v>22</v>
      </c>
      <c r="HT114" s="167">
        <v>22</v>
      </c>
      <c r="HU114" s="216"/>
      <c r="HV114" s="167">
        <v>22</v>
      </c>
      <c r="HW114" s="216"/>
      <c r="HX114" s="216"/>
      <c r="HY114" s="216"/>
      <c r="HZ114" s="216"/>
      <c r="IA114" s="216"/>
      <c r="IB114" s="216"/>
      <c r="IC114" s="216"/>
      <c r="ID114" s="216"/>
      <c r="IE114" s="216"/>
      <c r="IF114" s="216"/>
      <c r="IG114" s="216"/>
      <c r="IH114" s="216"/>
      <c r="II114" s="216"/>
      <c r="IJ114" s="216"/>
      <c r="IK114" s="216"/>
      <c r="IL114" s="216"/>
      <c r="IM114" s="216"/>
      <c r="IN114" s="216"/>
      <c r="IO114" s="216"/>
      <c r="IP114" s="216"/>
      <c r="IQ114" s="216"/>
      <c r="IR114" s="216"/>
      <c r="IS114" s="216"/>
      <c r="IT114" s="216"/>
      <c r="IU114" s="216"/>
      <c r="IV114" s="216"/>
      <c r="IW114" s="216"/>
      <c r="IX114" s="216"/>
      <c r="IY114" s="216"/>
      <c r="IZ114" s="216"/>
      <c r="JA114" s="216"/>
      <c r="JB114" s="216"/>
      <c r="JC114" s="216"/>
      <c r="JD114" s="216"/>
      <c r="JE114" s="216"/>
      <c r="JF114" s="216"/>
      <c r="JG114" s="216"/>
      <c r="JH114" s="216"/>
      <c r="JI114" s="216"/>
      <c r="JJ114" s="216"/>
      <c r="JK114" s="216"/>
      <c r="JL114" s="216"/>
      <c r="JM114" s="216"/>
      <c r="JN114" s="216"/>
      <c r="JO114" s="216"/>
      <c r="JP114" s="216"/>
      <c r="JQ114" s="216"/>
      <c r="JR114" s="216"/>
      <c r="JS114" s="216"/>
      <c r="JT114" s="216"/>
      <c r="JU114" s="216"/>
      <c r="JV114" s="216"/>
      <c r="JW114" s="216"/>
      <c r="JX114" s="216"/>
      <c r="JY114" s="216"/>
      <c r="JZ114" s="216"/>
      <c r="KA114" s="216"/>
      <c r="KB114" s="216"/>
      <c r="KC114" s="216"/>
      <c r="KD114" s="216"/>
      <c r="KE114" s="216"/>
      <c r="KF114" s="216"/>
      <c r="KG114" s="216"/>
      <c r="KH114" s="216"/>
      <c r="KI114" s="216"/>
      <c r="KJ114" s="216"/>
      <c r="KK114" s="216"/>
      <c r="KL114" s="216"/>
      <c r="KM114" s="216"/>
      <c r="KN114" s="216"/>
      <c r="KO114" s="216"/>
      <c r="KP114" s="216"/>
      <c r="KQ114" s="216"/>
      <c r="KR114" s="216"/>
      <c r="KS114" s="216"/>
      <c r="KT114" s="216"/>
      <c r="KU114" s="216"/>
      <c r="KV114" s="216"/>
      <c r="KW114" s="216"/>
      <c r="KX114" s="216"/>
      <c r="KY114" s="216"/>
      <c r="KZ114" s="216"/>
      <c r="LA114" s="216"/>
      <c r="LB114" s="216"/>
      <c r="LC114" s="216"/>
      <c r="LD114" s="216"/>
      <c r="LE114" s="216"/>
    </row>
    <row r="115" spans="1:317" x14ac:dyDescent="0.2">
      <c r="A115" s="179" t="s">
        <v>849</v>
      </c>
      <c r="B115" s="180" t="s">
        <v>1014</v>
      </c>
      <c r="C115" s="181"/>
      <c r="D115" s="182">
        <v>0</v>
      </c>
      <c r="E115" s="182">
        <v>0</v>
      </c>
      <c r="F115" s="183" t="s">
        <v>1291</v>
      </c>
      <c r="G115" s="183">
        <v>0</v>
      </c>
      <c r="H115" s="183">
        <v>0</v>
      </c>
      <c r="I115" s="183">
        <v>0</v>
      </c>
      <c r="J115" s="183">
        <v>0</v>
      </c>
      <c r="K115" s="183" t="s">
        <v>1388</v>
      </c>
      <c r="L115" s="183">
        <v>0</v>
      </c>
      <c r="M115" s="183">
        <v>0</v>
      </c>
      <c r="N115" s="183" t="s">
        <v>872</v>
      </c>
      <c r="O115" s="183">
        <v>0</v>
      </c>
      <c r="P115" s="183">
        <v>0</v>
      </c>
      <c r="Q115" s="183"/>
      <c r="R115" s="183"/>
      <c r="S115" s="183"/>
      <c r="T115" s="183"/>
      <c r="U115" s="183"/>
      <c r="V115" s="183">
        <v>0</v>
      </c>
      <c r="W115" s="183">
        <v>0</v>
      </c>
      <c r="X115" s="183">
        <v>0</v>
      </c>
      <c r="Y115" s="184">
        <v>34.979999999999997</v>
      </c>
      <c r="Z115" s="184">
        <v>74.98</v>
      </c>
      <c r="AA115" s="184">
        <v>0</v>
      </c>
      <c r="AB115" s="185" t="s">
        <v>615</v>
      </c>
      <c r="AC115" s="185" t="s">
        <v>615</v>
      </c>
      <c r="AD115" s="186" t="s">
        <v>872</v>
      </c>
      <c r="AE115" s="186" t="s">
        <v>852</v>
      </c>
      <c r="AF115" s="187">
        <v>7</v>
      </c>
      <c r="AG115" s="187">
        <v>3</v>
      </c>
      <c r="AH115" s="187">
        <v>4</v>
      </c>
      <c r="AI115" s="188">
        <v>1</v>
      </c>
      <c r="AJ115" s="188" t="s">
        <v>615</v>
      </c>
      <c r="AK115" s="187" t="s">
        <v>1736</v>
      </c>
      <c r="AL115" s="87" t="s">
        <v>615</v>
      </c>
      <c r="AM115" s="189"/>
      <c r="AN115" s="187" t="s">
        <v>615</v>
      </c>
      <c r="AO115" s="13" t="s">
        <v>615</v>
      </c>
      <c r="AP115" s="187">
        <v>0</v>
      </c>
      <c r="AQ115" s="187">
        <v>0</v>
      </c>
      <c r="AR115" s="190">
        <v>0</v>
      </c>
      <c r="AS115" s="190">
        <v>0</v>
      </c>
      <c r="AT115" s="190">
        <v>0</v>
      </c>
      <c r="AU115" s="187">
        <v>0</v>
      </c>
      <c r="AV115" s="187">
        <v>0</v>
      </c>
      <c r="AW115" s="191"/>
      <c r="AX115" s="192"/>
      <c r="AY115" s="193">
        <v>42666</v>
      </c>
      <c r="AZ115" s="193"/>
      <c r="BA115" s="193"/>
      <c r="BB115" s="194"/>
      <c r="BC115" s="194"/>
      <c r="BD115" s="195"/>
      <c r="BE115" s="195" t="s">
        <v>532</v>
      </c>
      <c r="BF115" s="195"/>
      <c r="BG115" s="195">
        <v>10</v>
      </c>
      <c r="BH115" s="196" t="s">
        <v>547</v>
      </c>
      <c r="BI115" s="197">
        <v>1</v>
      </c>
      <c r="BJ115" s="198"/>
      <c r="BK115" s="199">
        <v>0</v>
      </c>
      <c r="BL115" s="13">
        <v>0</v>
      </c>
      <c r="BM115" s="13">
        <v>0</v>
      </c>
      <c r="BN115" s="13" t="s">
        <v>616</v>
      </c>
      <c r="BO115" s="13" t="s">
        <v>616</v>
      </c>
      <c r="BP115" s="200">
        <v>10</v>
      </c>
      <c r="BQ115" s="201"/>
      <c r="BR115" s="202"/>
      <c r="BS115" s="187">
        <v>1000000000</v>
      </c>
      <c r="BT115" s="203">
        <v>7</v>
      </c>
      <c r="BU115" s="204">
        <v>0</v>
      </c>
      <c r="BV115" s="203">
        <v>0</v>
      </c>
      <c r="BW115" s="205">
        <v>0</v>
      </c>
      <c r="BX115" s="205">
        <v>0</v>
      </c>
      <c r="BY115" s="205">
        <v>0</v>
      </c>
      <c r="BZ115" s="203">
        <v>0</v>
      </c>
      <c r="CA115" s="203">
        <v>0</v>
      </c>
      <c r="CB115" s="203">
        <v>7</v>
      </c>
      <c r="CC115" s="204">
        <v>0</v>
      </c>
      <c r="CD115" s="203">
        <v>0</v>
      </c>
      <c r="CE115" s="203">
        <v>0</v>
      </c>
      <c r="CF115" s="13">
        <v>0</v>
      </c>
      <c r="CG115" s="206">
        <v>0</v>
      </c>
      <c r="CH115" s="207">
        <v>0</v>
      </c>
      <c r="CI115" s="201"/>
      <c r="CJ115" s="208"/>
      <c r="CK115" s="209" t="s">
        <v>615</v>
      </c>
      <c r="CL115" s="210" t="s">
        <v>615</v>
      </c>
      <c r="CM115" s="207">
        <v>0</v>
      </c>
      <c r="CN115" s="207">
        <v>0</v>
      </c>
      <c r="CO115" s="204">
        <v>0</v>
      </c>
      <c r="CP115" s="204">
        <v>0</v>
      </c>
      <c r="CQ115" s="211"/>
      <c r="CR115" s="204">
        <v>1</v>
      </c>
      <c r="CS115" s="212">
        <v>42531</v>
      </c>
      <c r="CT115" s="212">
        <v>42780</v>
      </c>
      <c r="CU115" s="213">
        <v>42780</v>
      </c>
      <c r="CV115" s="214">
        <v>42829</v>
      </c>
      <c r="CW115" s="214" t="s">
        <v>615</v>
      </c>
      <c r="CX115" s="214" t="s">
        <v>615</v>
      </c>
      <c r="CY115" s="204">
        <v>0</v>
      </c>
      <c r="CZ115" s="204">
        <v>0.97959183673469385</v>
      </c>
      <c r="DA115" s="203">
        <v>0</v>
      </c>
      <c r="DB115" s="204">
        <v>0</v>
      </c>
      <c r="DC115" s="204">
        <v>0</v>
      </c>
      <c r="DD115" s="204">
        <v>0</v>
      </c>
      <c r="DE115" s="204">
        <v>0</v>
      </c>
      <c r="DF115" s="215">
        <v>0.97959183673469385</v>
      </c>
      <c r="DG115" s="13" t="s">
        <v>615</v>
      </c>
      <c r="DH115" s="86">
        <v>113</v>
      </c>
      <c r="DI115" s="86"/>
      <c r="DJ115" s="86">
        <v>18</v>
      </c>
      <c r="DK115" s="86" t="s">
        <v>1473</v>
      </c>
      <c r="DL115" s="86" t="e">
        <v>#N/A</v>
      </c>
      <c r="DM115" s="86">
        <v>14</v>
      </c>
      <c r="DN115" s="86" t="e">
        <v>#N/A</v>
      </c>
      <c r="DO115" s="86">
        <v>19</v>
      </c>
      <c r="DP115" s="86">
        <v>2</v>
      </c>
      <c r="DQ115" s="86">
        <v>49</v>
      </c>
      <c r="DR115" s="146">
        <v>7</v>
      </c>
      <c r="DS115" s="146">
        <v>7</v>
      </c>
      <c r="DT115" s="146">
        <v>7</v>
      </c>
      <c r="DU115" s="146">
        <v>7</v>
      </c>
      <c r="DV115" s="146">
        <v>7</v>
      </c>
      <c r="DW115" s="146">
        <v>7</v>
      </c>
      <c r="DX115" s="146">
        <v>7</v>
      </c>
      <c r="DY115" s="146">
        <v>7</v>
      </c>
      <c r="DZ115" s="146">
        <v>7</v>
      </c>
      <c r="EA115" s="146">
        <v>7</v>
      </c>
      <c r="EB115" s="146">
        <v>7</v>
      </c>
      <c r="EC115" s="146">
        <v>7</v>
      </c>
      <c r="ED115" s="146">
        <v>7</v>
      </c>
      <c r="EE115" s="146">
        <v>7</v>
      </c>
      <c r="EF115" s="146">
        <v>7</v>
      </c>
      <c r="EG115" s="146">
        <v>7</v>
      </c>
      <c r="EH115" s="146">
        <v>7</v>
      </c>
      <c r="EI115" s="146">
        <v>7</v>
      </c>
      <c r="EJ115" s="146">
        <v>7</v>
      </c>
      <c r="EK115" s="146">
        <v>7</v>
      </c>
      <c r="EL115" s="146">
        <v>7</v>
      </c>
      <c r="EM115" s="146">
        <v>7</v>
      </c>
      <c r="EN115" s="146">
        <v>7</v>
      </c>
      <c r="EO115" s="146">
        <v>7</v>
      </c>
      <c r="EP115" s="146">
        <v>7</v>
      </c>
      <c r="EQ115" s="146">
        <v>7</v>
      </c>
      <c r="ER115" s="146">
        <v>7</v>
      </c>
      <c r="ES115" s="146">
        <v>7</v>
      </c>
      <c r="ET115" s="146">
        <v>7</v>
      </c>
      <c r="EU115" s="146">
        <v>7</v>
      </c>
      <c r="EV115" s="146">
        <v>7</v>
      </c>
      <c r="EW115" s="146">
        <v>7</v>
      </c>
      <c r="EX115" s="146">
        <v>7</v>
      </c>
      <c r="EY115" s="146">
        <v>7</v>
      </c>
      <c r="EZ115" s="146">
        <v>7</v>
      </c>
      <c r="FA115" s="146">
        <v>7</v>
      </c>
      <c r="FB115" s="146">
        <v>7</v>
      </c>
      <c r="FC115" s="146">
        <v>7</v>
      </c>
      <c r="FD115" s="146">
        <v>7</v>
      </c>
      <c r="FE115" s="146">
        <v>7</v>
      </c>
      <c r="FF115" s="146">
        <v>7</v>
      </c>
      <c r="FG115" s="146">
        <v>7</v>
      </c>
      <c r="FH115" s="146">
        <v>7</v>
      </c>
      <c r="FI115" s="146">
        <v>7</v>
      </c>
      <c r="FJ115" s="146">
        <v>7</v>
      </c>
      <c r="FK115" s="146">
        <v>7</v>
      </c>
      <c r="FL115" s="146">
        <v>7</v>
      </c>
      <c r="FM115" s="146">
        <v>7</v>
      </c>
      <c r="FN115" s="146">
        <v>7</v>
      </c>
      <c r="FO115" s="146">
        <v>7</v>
      </c>
      <c r="FP115" s="146">
        <v>7</v>
      </c>
      <c r="FQ115" s="146">
        <v>7</v>
      </c>
      <c r="FR115" s="146">
        <v>7</v>
      </c>
      <c r="FS115" s="163">
        <v>7</v>
      </c>
      <c r="FT115" s="163">
        <v>7</v>
      </c>
      <c r="FU115" s="163">
        <v>7</v>
      </c>
      <c r="FV115" s="163">
        <v>7</v>
      </c>
      <c r="FW115" s="163">
        <v>7</v>
      </c>
      <c r="FX115" s="163">
        <v>7</v>
      </c>
      <c r="FY115" s="163">
        <v>7</v>
      </c>
      <c r="FZ115" s="163">
        <v>7</v>
      </c>
      <c r="GA115" s="163">
        <v>7</v>
      </c>
      <c r="GB115" s="163">
        <v>7</v>
      </c>
      <c r="GC115" s="163">
        <v>7</v>
      </c>
      <c r="GD115" s="163">
        <v>7</v>
      </c>
      <c r="GE115" s="163">
        <v>7</v>
      </c>
      <c r="GF115" s="163">
        <v>7</v>
      </c>
      <c r="GG115" s="163">
        <v>7</v>
      </c>
      <c r="GH115" s="163">
        <v>7</v>
      </c>
      <c r="GI115" s="163">
        <v>7</v>
      </c>
      <c r="GJ115" s="163">
        <v>7</v>
      </c>
      <c r="GK115" s="163">
        <v>7</v>
      </c>
      <c r="GL115" s="163">
        <v>7</v>
      </c>
      <c r="GM115" s="163">
        <v>7</v>
      </c>
      <c r="GN115" s="163">
        <v>7</v>
      </c>
      <c r="GO115" s="163">
        <v>7</v>
      </c>
      <c r="GP115" s="163">
        <v>7</v>
      </c>
      <c r="GQ115" s="163">
        <v>7</v>
      </c>
      <c r="GR115" s="163">
        <v>7</v>
      </c>
      <c r="GS115" s="163">
        <v>7</v>
      </c>
      <c r="GT115" s="163">
        <v>7</v>
      </c>
      <c r="GU115" s="163">
        <v>7</v>
      </c>
      <c r="GV115" s="163">
        <v>7</v>
      </c>
      <c r="GW115" s="163">
        <v>7</v>
      </c>
      <c r="GX115" s="163">
        <v>7</v>
      </c>
      <c r="GY115" s="163">
        <v>7</v>
      </c>
      <c r="GZ115" s="163">
        <v>7</v>
      </c>
      <c r="HA115" s="163">
        <v>7</v>
      </c>
      <c r="HB115" s="163">
        <v>7</v>
      </c>
      <c r="HC115" s="163">
        <v>7</v>
      </c>
      <c r="HD115" s="163">
        <v>7</v>
      </c>
      <c r="HE115" s="163">
        <v>7</v>
      </c>
      <c r="HF115" s="163">
        <v>7</v>
      </c>
      <c r="HG115" s="163">
        <v>7</v>
      </c>
      <c r="HH115" s="163">
        <v>7</v>
      </c>
      <c r="HI115" s="146">
        <v>7</v>
      </c>
      <c r="HJ115" s="146">
        <v>7</v>
      </c>
      <c r="HK115" s="146">
        <v>7</v>
      </c>
      <c r="HL115" s="146">
        <v>7</v>
      </c>
      <c r="HM115" s="146">
        <v>7</v>
      </c>
      <c r="HN115" s="146">
        <v>7</v>
      </c>
      <c r="HO115" s="146">
        <v>7</v>
      </c>
      <c r="HP115" s="146">
        <v>7</v>
      </c>
      <c r="HQ115" s="146">
        <v>7</v>
      </c>
      <c r="HR115" s="146">
        <v>7</v>
      </c>
      <c r="HS115" s="146">
        <v>7</v>
      </c>
      <c r="HT115" s="146">
        <v>7</v>
      </c>
      <c r="HU115" s="151"/>
      <c r="HV115" s="146">
        <v>7</v>
      </c>
      <c r="HW115" s="151"/>
      <c r="HX115" s="151"/>
      <c r="HY115" s="151"/>
      <c r="HZ115" s="151"/>
      <c r="IA115" s="151"/>
      <c r="IB115" s="151"/>
      <c r="IC115" s="151"/>
      <c r="ID115" s="151"/>
      <c r="IE115" s="151"/>
      <c r="IF115" s="151"/>
      <c r="IG115" s="151"/>
      <c r="IH115" s="151"/>
      <c r="II115" s="151"/>
      <c r="IJ115" s="151"/>
      <c r="IK115" s="151"/>
      <c r="IL115" s="151"/>
      <c r="IM115" s="151"/>
      <c r="IN115" s="151"/>
      <c r="IO115" s="151"/>
      <c r="IP115" s="151"/>
      <c r="IQ115" s="151"/>
      <c r="IR115" s="151"/>
      <c r="IS115" s="151"/>
      <c r="IT115" s="151"/>
      <c r="IU115" s="151"/>
      <c r="IV115" s="151"/>
      <c r="IW115" s="151"/>
      <c r="IX115" s="151"/>
      <c r="IY115" s="151"/>
      <c r="IZ115" s="151"/>
      <c r="JA115" s="151"/>
      <c r="JB115" s="151"/>
      <c r="JC115" s="151"/>
      <c r="JD115" s="151"/>
      <c r="JE115" s="151"/>
      <c r="JF115" s="151"/>
      <c r="JG115" s="151"/>
      <c r="JH115" s="151"/>
      <c r="JI115" s="151"/>
      <c r="JJ115" s="151"/>
      <c r="JK115" s="151"/>
      <c r="JL115" s="151"/>
      <c r="JM115" s="151"/>
      <c r="JN115" s="151"/>
      <c r="JO115" s="151"/>
      <c r="JP115" s="151"/>
      <c r="JQ115" s="151"/>
      <c r="JR115" s="151"/>
      <c r="JS115" s="151"/>
      <c r="JT115" s="151"/>
      <c r="JU115" s="151"/>
      <c r="JV115" s="151"/>
      <c r="JW115" s="151"/>
      <c r="JX115" s="151"/>
      <c r="JY115" s="151"/>
      <c r="JZ115" s="151"/>
      <c r="KA115" s="151"/>
      <c r="KB115" s="151"/>
      <c r="KC115" s="151"/>
      <c r="KD115" s="151"/>
      <c r="KE115" s="151"/>
      <c r="KF115" s="151"/>
      <c r="KG115" s="151"/>
      <c r="KH115" s="151"/>
      <c r="KI115" s="151"/>
      <c r="KJ115" s="151"/>
      <c r="KK115" s="151"/>
      <c r="KL115" s="151"/>
      <c r="KM115" s="151"/>
      <c r="KN115" s="151"/>
      <c r="KO115" s="151"/>
      <c r="KP115" s="151"/>
      <c r="KQ115" s="151"/>
      <c r="KR115" s="151"/>
      <c r="KS115" s="151"/>
      <c r="KT115" s="151"/>
      <c r="KU115" s="151"/>
      <c r="KV115" s="151"/>
      <c r="KW115" s="151"/>
      <c r="KX115" s="151"/>
      <c r="KY115" s="151"/>
      <c r="KZ115" s="151"/>
      <c r="LA115" s="151"/>
      <c r="LB115" s="151"/>
      <c r="LC115" s="151"/>
      <c r="LD115" s="151"/>
      <c r="LE115" s="151"/>
    </row>
    <row r="116" spans="1:317" x14ac:dyDescent="0.2">
      <c r="A116" s="179" t="s">
        <v>849</v>
      </c>
      <c r="B116" s="180" t="s">
        <v>1015</v>
      </c>
      <c r="C116" s="181"/>
      <c r="D116" s="182">
        <v>0</v>
      </c>
      <c r="E116" s="182">
        <v>0</v>
      </c>
      <c r="F116" s="183" t="s">
        <v>1292</v>
      </c>
      <c r="G116" s="183">
        <v>0</v>
      </c>
      <c r="H116" s="183">
        <v>0</v>
      </c>
      <c r="I116" s="183">
        <v>0</v>
      </c>
      <c r="J116" s="183">
        <v>0</v>
      </c>
      <c r="K116" s="183" t="s">
        <v>1389</v>
      </c>
      <c r="L116" s="183">
        <v>0</v>
      </c>
      <c r="M116" s="183">
        <v>0</v>
      </c>
      <c r="N116" s="183" t="s">
        <v>872</v>
      </c>
      <c r="O116" s="183">
        <v>0</v>
      </c>
      <c r="P116" s="183">
        <v>0</v>
      </c>
      <c r="Q116" s="183"/>
      <c r="R116" s="183"/>
      <c r="S116" s="183"/>
      <c r="T116" s="183"/>
      <c r="U116" s="183"/>
      <c r="V116" s="183">
        <v>0</v>
      </c>
      <c r="W116" s="183">
        <v>0</v>
      </c>
      <c r="X116" s="183">
        <v>0</v>
      </c>
      <c r="Y116" s="184">
        <v>46.02</v>
      </c>
      <c r="Z116" s="184">
        <v>167.81</v>
      </c>
      <c r="AA116" s="184">
        <v>0</v>
      </c>
      <c r="AB116" s="185" t="s">
        <v>615</v>
      </c>
      <c r="AC116" s="185" t="s">
        <v>615</v>
      </c>
      <c r="AD116" s="186" t="s">
        <v>872</v>
      </c>
      <c r="AE116" s="186" t="s">
        <v>852</v>
      </c>
      <c r="AF116" s="187">
        <v>7</v>
      </c>
      <c r="AG116" s="187">
        <v>3</v>
      </c>
      <c r="AH116" s="187">
        <v>4</v>
      </c>
      <c r="AI116" s="188">
        <v>1</v>
      </c>
      <c r="AJ116" s="188" t="s">
        <v>615</v>
      </c>
      <c r="AK116" s="187" t="s">
        <v>1737</v>
      </c>
      <c r="AL116" s="87" t="s">
        <v>615</v>
      </c>
      <c r="AM116" s="189"/>
      <c r="AN116" s="187" t="s">
        <v>615</v>
      </c>
      <c r="AO116" s="13" t="s">
        <v>615</v>
      </c>
      <c r="AP116" s="187">
        <v>0</v>
      </c>
      <c r="AQ116" s="187">
        <v>0</v>
      </c>
      <c r="AR116" s="190">
        <v>0</v>
      </c>
      <c r="AS116" s="190">
        <v>0</v>
      </c>
      <c r="AT116" s="190">
        <v>0</v>
      </c>
      <c r="AU116" s="187">
        <v>0</v>
      </c>
      <c r="AV116" s="187">
        <v>0</v>
      </c>
      <c r="AW116" s="191"/>
      <c r="AX116" s="192"/>
      <c r="AY116" s="193">
        <v>42666</v>
      </c>
      <c r="AZ116" s="193"/>
      <c r="BA116" s="193"/>
      <c r="BB116" s="194"/>
      <c r="BC116" s="194"/>
      <c r="BD116" s="195"/>
      <c r="BE116" s="195" t="s">
        <v>532</v>
      </c>
      <c r="BF116" s="195"/>
      <c r="BG116" s="195">
        <v>4</v>
      </c>
      <c r="BH116" s="196" t="s">
        <v>547</v>
      </c>
      <c r="BI116" s="197">
        <v>1</v>
      </c>
      <c r="BJ116" s="198"/>
      <c r="BK116" s="199">
        <v>4</v>
      </c>
      <c r="BL116" s="13">
        <v>3</v>
      </c>
      <c r="BM116" s="13">
        <v>1</v>
      </c>
      <c r="BN116" s="13" t="s">
        <v>620</v>
      </c>
      <c r="BO116" s="13" t="s">
        <v>620</v>
      </c>
      <c r="BP116" s="200">
        <v>0</v>
      </c>
      <c r="BQ116" s="201"/>
      <c r="BR116" s="202"/>
      <c r="BS116" s="187">
        <v>1000000000</v>
      </c>
      <c r="BT116" s="203">
        <v>15</v>
      </c>
      <c r="BU116" s="204">
        <v>-2.75</v>
      </c>
      <c r="BV116" s="203">
        <v>0</v>
      </c>
      <c r="BW116" s="205">
        <v>0</v>
      </c>
      <c r="BX116" s="205">
        <v>0</v>
      </c>
      <c r="BY116" s="205">
        <v>0</v>
      </c>
      <c r="BZ116" s="203">
        <v>0</v>
      </c>
      <c r="CA116" s="203">
        <v>0</v>
      </c>
      <c r="CB116" s="203">
        <v>15</v>
      </c>
      <c r="CC116" s="204">
        <v>-2.75</v>
      </c>
      <c r="CD116" s="203">
        <v>0</v>
      </c>
      <c r="CE116" s="203">
        <v>0</v>
      </c>
      <c r="CF116" s="13">
        <v>0</v>
      </c>
      <c r="CG116" s="206">
        <v>0</v>
      </c>
      <c r="CH116" s="207">
        <v>2</v>
      </c>
      <c r="CI116" s="201"/>
      <c r="CJ116" s="208"/>
      <c r="CK116" s="209" t="s">
        <v>615</v>
      </c>
      <c r="CL116" s="210" t="s">
        <v>615</v>
      </c>
      <c r="CM116" s="207">
        <v>0</v>
      </c>
      <c r="CN116" s="207">
        <v>506.22</v>
      </c>
      <c r="CO116" s="204">
        <v>0</v>
      </c>
      <c r="CP116" s="204">
        <v>18.147140994598615</v>
      </c>
      <c r="CQ116" s="211"/>
      <c r="CR116" s="204">
        <v>1</v>
      </c>
      <c r="CS116" s="212">
        <v>42709</v>
      </c>
      <c r="CT116" s="212">
        <v>42780</v>
      </c>
      <c r="CU116" s="213">
        <v>42780</v>
      </c>
      <c r="CV116" s="214">
        <v>42829</v>
      </c>
      <c r="CW116" s="214" t="s">
        <v>615</v>
      </c>
      <c r="CX116" s="214" t="s">
        <v>615</v>
      </c>
      <c r="CY116" s="204">
        <v>0</v>
      </c>
      <c r="CZ116" s="204">
        <v>0.97959183673469385</v>
      </c>
      <c r="DA116" s="203">
        <v>0</v>
      </c>
      <c r="DB116" s="204">
        <v>0</v>
      </c>
      <c r="DC116" s="204">
        <v>0</v>
      </c>
      <c r="DD116" s="204">
        <v>0</v>
      </c>
      <c r="DE116" s="204">
        <v>0</v>
      </c>
      <c r="DF116" s="215">
        <v>0.97959183673469385</v>
      </c>
      <c r="DG116" s="13" t="s">
        <v>615</v>
      </c>
      <c r="DH116" s="86">
        <v>114</v>
      </c>
      <c r="DI116" s="86"/>
      <c r="DJ116" s="86">
        <v>17</v>
      </c>
      <c r="DK116" s="86" t="s">
        <v>1472</v>
      </c>
      <c r="DL116" s="86" t="e">
        <v>#N/A</v>
      </c>
      <c r="DM116" s="86">
        <v>13</v>
      </c>
      <c r="DN116" s="86" t="e">
        <v>#N/A</v>
      </c>
      <c r="DO116" s="86">
        <v>18</v>
      </c>
      <c r="DP116" s="86">
        <v>2</v>
      </c>
      <c r="DQ116" s="86">
        <v>49</v>
      </c>
      <c r="DR116" s="167">
        <v>15</v>
      </c>
      <c r="DS116" s="167">
        <v>15</v>
      </c>
      <c r="DT116" s="167">
        <v>15</v>
      </c>
      <c r="DU116" s="167">
        <v>15</v>
      </c>
      <c r="DV116" s="167">
        <v>15</v>
      </c>
      <c r="DW116" s="167">
        <v>15</v>
      </c>
      <c r="DX116" s="167">
        <v>15</v>
      </c>
      <c r="DY116" s="167">
        <v>15</v>
      </c>
      <c r="DZ116" s="167">
        <v>15</v>
      </c>
      <c r="EA116" s="152">
        <v>15</v>
      </c>
      <c r="EB116" s="152">
        <v>15</v>
      </c>
      <c r="EC116" s="152">
        <v>15</v>
      </c>
      <c r="ED116" s="152">
        <v>15</v>
      </c>
      <c r="EE116" s="152">
        <v>15</v>
      </c>
      <c r="EF116" s="152">
        <v>15</v>
      </c>
      <c r="EG116" s="152">
        <v>15</v>
      </c>
      <c r="EH116" s="152">
        <v>15</v>
      </c>
      <c r="EI116" s="152">
        <v>15</v>
      </c>
      <c r="EJ116" s="152">
        <v>15</v>
      </c>
      <c r="EK116" s="152">
        <v>15</v>
      </c>
      <c r="EL116" s="152">
        <v>15</v>
      </c>
      <c r="EM116" s="152">
        <v>15</v>
      </c>
      <c r="EN116" s="152">
        <v>15</v>
      </c>
      <c r="EO116" s="152">
        <v>15</v>
      </c>
      <c r="EP116" s="152">
        <v>15</v>
      </c>
      <c r="EQ116" s="152">
        <v>15</v>
      </c>
      <c r="ER116" s="152">
        <v>15</v>
      </c>
      <c r="ES116" s="152">
        <v>15</v>
      </c>
      <c r="ET116" s="152">
        <v>15</v>
      </c>
      <c r="EU116" s="152">
        <v>15</v>
      </c>
      <c r="EV116" s="152">
        <v>15</v>
      </c>
      <c r="EW116" s="152">
        <v>15</v>
      </c>
      <c r="EX116" s="152">
        <v>15</v>
      </c>
      <c r="EY116" s="152">
        <v>15</v>
      </c>
      <c r="EZ116" s="152">
        <v>15</v>
      </c>
      <c r="FA116" s="152">
        <v>15</v>
      </c>
      <c r="FB116" s="152">
        <v>15</v>
      </c>
      <c r="FC116" s="152">
        <v>15</v>
      </c>
      <c r="FD116" s="152">
        <v>15</v>
      </c>
      <c r="FE116" s="152">
        <v>15</v>
      </c>
      <c r="FF116" s="152">
        <v>15</v>
      </c>
      <c r="FG116" s="152">
        <v>15</v>
      </c>
      <c r="FH116" s="152">
        <v>15</v>
      </c>
      <c r="FI116" s="152">
        <v>15</v>
      </c>
      <c r="FJ116" s="152">
        <v>15</v>
      </c>
      <c r="FK116" s="152">
        <v>15</v>
      </c>
      <c r="FL116" s="152">
        <v>15</v>
      </c>
      <c r="FM116" s="152">
        <v>15</v>
      </c>
      <c r="FN116" s="152">
        <v>15</v>
      </c>
      <c r="FO116" s="152">
        <v>15</v>
      </c>
      <c r="FP116" s="152">
        <v>15</v>
      </c>
      <c r="FQ116" s="152">
        <v>15</v>
      </c>
      <c r="FR116" s="152">
        <v>15</v>
      </c>
      <c r="FS116" s="167">
        <v>15</v>
      </c>
      <c r="FT116" s="167">
        <v>15</v>
      </c>
      <c r="FU116" s="167">
        <v>15</v>
      </c>
      <c r="FV116" s="167">
        <v>15</v>
      </c>
      <c r="FW116" s="167">
        <v>15</v>
      </c>
      <c r="FX116" s="167">
        <v>15</v>
      </c>
      <c r="FY116" s="167">
        <v>15</v>
      </c>
      <c r="FZ116" s="167">
        <v>15</v>
      </c>
      <c r="GA116" s="167">
        <v>15</v>
      </c>
      <c r="GB116" s="167">
        <v>15</v>
      </c>
      <c r="GC116" s="167">
        <v>15</v>
      </c>
      <c r="GD116" s="167">
        <v>15</v>
      </c>
      <c r="GE116" s="167">
        <v>15</v>
      </c>
      <c r="GF116" s="167">
        <v>15</v>
      </c>
      <c r="GG116" s="167">
        <v>15</v>
      </c>
      <c r="GH116" s="167">
        <v>15</v>
      </c>
      <c r="GI116" s="167">
        <v>15</v>
      </c>
      <c r="GJ116" s="167">
        <v>15</v>
      </c>
      <c r="GK116" s="167">
        <v>15</v>
      </c>
      <c r="GL116" s="167">
        <v>15</v>
      </c>
      <c r="GM116" s="167">
        <v>15</v>
      </c>
      <c r="GN116" s="167">
        <v>15</v>
      </c>
      <c r="GO116" s="167">
        <v>15</v>
      </c>
      <c r="GP116" s="167">
        <v>15</v>
      </c>
      <c r="GQ116" s="167">
        <v>15</v>
      </c>
      <c r="GR116" s="167">
        <v>15</v>
      </c>
      <c r="GS116" s="167">
        <v>15</v>
      </c>
      <c r="GT116" s="167">
        <v>15</v>
      </c>
      <c r="GU116" s="167">
        <v>15</v>
      </c>
      <c r="GV116" s="167">
        <v>15</v>
      </c>
      <c r="GW116" s="167">
        <v>15</v>
      </c>
      <c r="GX116" s="167">
        <v>15</v>
      </c>
      <c r="GY116" s="167">
        <v>15</v>
      </c>
      <c r="GZ116" s="167">
        <v>15</v>
      </c>
      <c r="HA116" s="167">
        <v>15</v>
      </c>
      <c r="HB116" s="167">
        <v>15</v>
      </c>
      <c r="HC116" s="167">
        <v>15</v>
      </c>
      <c r="HD116" s="167">
        <v>15</v>
      </c>
      <c r="HE116" s="167">
        <v>15</v>
      </c>
      <c r="HF116" s="167">
        <v>15</v>
      </c>
      <c r="HG116" s="167">
        <v>15</v>
      </c>
      <c r="HH116" s="167">
        <v>15</v>
      </c>
      <c r="HI116" s="167">
        <v>15</v>
      </c>
      <c r="HJ116" s="167">
        <v>15</v>
      </c>
      <c r="HK116" s="167">
        <v>15</v>
      </c>
      <c r="HL116" s="167">
        <v>15</v>
      </c>
      <c r="HM116" s="167">
        <v>15</v>
      </c>
      <c r="HN116" s="167">
        <v>15</v>
      </c>
      <c r="HO116" s="167">
        <v>15</v>
      </c>
      <c r="HP116" s="167">
        <v>15</v>
      </c>
      <c r="HQ116" s="167">
        <v>15</v>
      </c>
      <c r="HR116" s="167">
        <v>15</v>
      </c>
      <c r="HS116" s="167">
        <v>15</v>
      </c>
      <c r="HT116" s="167">
        <v>15</v>
      </c>
      <c r="HU116" s="216"/>
      <c r="HV116" s="167">
        <v>15</v>
      </c>
      <c r="HW116" s="216"/>
      <c r="HX116" s="216"/>
      <c r="HY116" s="216"/>
      <c r="HZ116" s="216"/>
      <c r="IA116" s="216"/>
      <c r="IB116" s="216"/>
      <c r="IC116" s="216"/>
      <c r="ID116" s="216"/>
      <c r="IE116" s="216"/>
      <c r="IF116" s="216"/>
      <c r="IG116" s="216"/>
      <c r="IH116" s="216"/>
      <c r="II116" s="216"/>
      <c r="IJ116" s="216"/>
      <c r="IK116" s="216"/>
      <c r="IL116" s="216"/>
      <c r="IM116" s="216"/>
      <c r="IN116" s="216"/>
      <c r="IO116" s="216"/>
      <c r="IP116" s="216"/>
      <c r="IQ116" s="216"/>
      <c r="IR116" s="216"/>
      <c r="IS116" s="216"/>
      <c r="IT116" s="216"/>
      <c r="IU116" s="216"/>
      <c r="IV116" s="216"/>
      <c r="IW116" s="216"/>
      <c r="IX116" s="216"/>
      <c r="IY116" s="216"/>
      <c r="IZ116" s="216"/>
      <c r="JA116" s="216"/>
      <c r="JB116" s="216"/>
      <c r="JC116" s="216"/>
      <c r="JD116" s="216"/>
      <c r="JE116" s="216"/>
      <c r="JF116" s="216"/>
      <c r="JG116" s="216"/>
      <c r="JH116" s="216"/>
      <c r="JI116" s="216"/>
      <c r="JJ116" s="216"/>
      <c r="JK116" s="216"/>
      <c r="JL116" s="216"/>
      <c r="JM116" s="216"/>
      <c r="JN116" s="216"/>
      <c r="JO116" s="216"/>
      <c r="JP116" s="216"/>
      <c r="JQ116" s="216"/>
      <c r="JR116" s="216"/>
      <c r="JS116" s="216"/>
      <c r="JT116" s="216"/>
      <c r="JU116" s="216"/>
      <c r="JV116" s="216"/>
      <c r="JW116" s="216"/>
      <c r="JX116" s="216"/>
      <c r="JY116" s="216"/>
      <c r="JZ116" s="216"/>
      <c r="KA116" s="216"/>
      <c r="KB116" s="216"/>
      <c r="KC116" s="216"/>
      <c r="KD116" s="216"/>
      <c r="KE116" s="216"/>
      <c r="KF116" s="216"/>
      <c r="KG116" s="216"/>
      <c r="KH116" s="216"/>
      <c r="KI116" s="216"/>
      <c r="KJ116" s="216"/>
      <c r="KK116" s="216"/>
      <c r="KL116" s="216"/>
      <c r="KM116" s="216"/>
      <c r="KN116" s="216"/>
      <c r="KO116" s="216"/>
      <c r="KP116" s="216"/>
      <c r="KQ116" s="216"/>
      <c r="KR116" s="216"/>
      <c r="KS116" s="216"/>
      <c r="KT116" s="216"/>
      <c r="KU116" s="216"/>
      <c r="KV116" s="216"/>
      <c r="KW116" s="216"/>
      <c r="KX116" s="216"/>
      <c r="KY116" s="216"/>
      <c r="KZ116" s="216"/>
      <c r="LA116" s="216"/>
      <c r="LB116" s="216"/>
      <c r="LC116" s="216"/>
      <c r="LD116" s="216"/>
      <c r="LE116" s="216"/>
    </row>
    <row r="117" spans="1:317" x14ac:dyDescent="0.2">
      <c r="A117" s="179" t="s">
        <v>849</v>
      </c>
      <c r="B117" s="180" t="s">
        <v>1016</v>
      </c>
      <c r="C117" s="181"/>
      <c r="D117" s="182">
        <v>0</v>
      </c>
      <c r="E117" s="182">
        <v>0</v>
      </c>
      <c r="F117" s="183" t="s">
        <v>1293</v>
      </c>
      <c r="G117" s="183">
        <v>0</v>
      </c>
      <c r="H117" s="183">
        <v>0</v>
      </c>
      <c r="I117" s="183">
        <v>0</v>
      </c>
      <c r="J117" s="183">
        <v>0</v>
      </c>
      <c r="K117" s="183" t="s">
        <v>1390</v>
      </c>
      <c r="L117" s="183">
        <v>0</v>
      </c>
      <c r="M117" s="183">
        <v>0</v>
      </c>
      <c r="N117" s="183" t="s">
        <v>872</v>
      </c>
      <c r="O117" s="183">
        <v>0</v>
      </c>
      <c r="P117" s="183">
        <v>0</v>
      </c>
      <c r="Q117" s="183"/>
      <c r="R117" s="183"/>
      <c r="S117" s="183"/>
      <c r="T117" s="183"/>
      <c r="U117" s="183"/>
      <c r="V117" s="183">
        <v>0</v>
      </c>
      <c r="W117" s="183">
        <v>0</v>
      </c>
      <c r="X117" s="183">
        <v>0</v>
      </c>
      <c r="Y117" s="184">
        <v>0</v>
      </c>
      <c r="Z117" s="184">
        <v>0</v>
      </c>
      <c r="AA117" s="184">
        <v>0</v>
      </c>
      <c r="AB117" s="185" t="s">
        <v>615</v>
      </c>
      <c r="AC117" s="185" t="s">
        <v>615</v>
      </c>
      <c r="AD117" s="186" t="s">
        <v>872</v>
      </c>
      <c r="AE117" s="186" t="s">
        <v>852</v>
      </c>
      <c r="AF117" s="187">
        <v>7</v>
      </c>
      <c r="AG117" s="187">
        <v>3</v>
      </c>
      <c r="AH117" s="187">
        <v>4</v>
      </c>
      <c r="AI117" s="188">
        <v>1</v>
      </c>
      <c r="AJ117" s="188" t="s">
        <v>615</v>
      </c>
      <c r="AK117" s="187" t="s">
        <v>1736</v>
      </c>
      <c r="AL117" s="87" t="s">
        <v>615</v>
      </c>
      <c r="AM117" s="189"/>
      <c r="AN117" s="187" t="s">
        <v>615</v>
      </c>
      <c r="AO117" s="13" t="s">
        <v>615</v>
      </c>
      <c r="AP117" s="187">
        <v>0</v>
      </c>
      <c r="AQ117" s="187">
        <v>0</v>
      </c>
      <c r="AR117" s="190">
        <v>0</v>
      </c>
      <c r="AS117" s="190">
        <v>0</v>
      </c>
      <c r="AT117" s="190">
        <v>0</v>
      </c>
      <c r="AU117" s="187">
        <v>0</v>
      </c>
      <c r="AV117" s="187">
        <v>0</v>
      </c>
      <c r="AW117" s="191"/>
      <c r="AX117" s="192"/>
      <c r="AY117" s="193">
        <v>42666</v>
      </c>
      <c r="AZ117" s="193"/>
      <c r="BA117" s="193"/>
      <c r="BB117" s="194"/>
      <c r="BC117" s="194"/>
      <c r="BD117" s="195"/>
      <c r="BE117" s="195" t="s">
        <v>532</v>
      </c>
      <c r="BF117" s="195"/>
      <c r="BG117" s="195">
        <v>4</v>
      </c>
      <c r="BH117" s="196" t="s">
        <v>547</v>
      </c>
      <c r="BI117" s="197">
        <v>1</v>
      </c>
      <c r="BJ117" s="198"/>
      <c r="BK117" s="199">
        <v>0</v>
      </c>
      <c r="BL117" s="13">
        <v>0</v>
      </c>
      <c r="BM117" s="13">
        <v>0</v>
      </c>
      <c r="BN117" s="13" t="s">
        <v>616</v>
      </c>
      <c r="BO117" s="13" t="s">
        <v>616</v>
      </c>
      <c r="BP117" s="200">
        <v>4</v>
      </c>
      <c r="BQ117" s="201"/>
      <c r="BR117" s="202"/>
      <c r="BS117" s="187">
        <v>1000000000</v>
      </c>
      <c r="BT117" s="203">
        <v>0</v>
      </c>
      <c r="BU117" s="204">
        <v>0</v>
      </c>
      <c r="BV117" s="203">
        <v>0</v>
      </c>
      <c r="BW117" s="205">
        <v>0</v>
      </c>
      <c r="BX117" s="205">
        <v>0</v>
      </c>
      <c r="BY117" s="205">
        <v>0</v>
      </c>
      <c r="BZ117" s="203">
        <v>0</v>
      </c>
      <c r="CA117" s="203">
        <v>0</v>
      </c>
      <c r="CB117" s="203">
        <v>0</v>
      </c>
      <c r="CC117" s="204">
        <v>0</v>
      </c>
      <c r="CD117" s="203">
        <v>0</v>
      </c>
      <c r="CE117" s="203">
        <v>0</v>
      </c>
      <c r="CF117" s="13">
        <v>0</v>
      </c>
      <c r="CG117" s="206">
        <v>0</v>
      </c>
      <c r="CH117" s="207">
        <v>0</v>
      </c>
      <c r="CI117" s="201"/>
      <c r="CJ117" s="208"/>
      <c r="CK117" s="209" t="s">
        <v>615</v>
      </c>
      <c r="CL117" s="210" t="s">
        <v>615</v>
      </c>
      <c r="CM117" s="207">
        <v>0</v>
      </c>
      <c r="CN117" s="207">
        <v>0</v>
      </c>
      <c r="CO117" s="204">
        <v>0</v>
      </c>
      <c r="CP117" s="204">
        <v>0</v>
      </c>
      <c r="CQ117" s="211"/>
      <c r="CR117" s="204">
        <v>1</v>
      </c>
      <c r="CS117" s="212">
        <v>42531</v>
      </c>
      <c r="CT117" s="212">
        <v>42780</v>
      </c>
      <c r="CU117" s="213">
        <v>42780</v>
      </c>
      <c r="CV117" s="214">
        <v>42829</v>
      </c>
      <c r="CW117" s="214" t="s">
        <v>615</v>
      </c>
      <c r="CX117" s="214" t="s">
        <v>615</v>
      </c>
      <c r="CY117" s="204">
        <v>1</v>
      </c>
      <c r="CZ117" s="204">
        <v>0.97959183673469385</v>
      </c>
      <c r="DA117" s="203">
        <v>0</v>
      </c>
      <c r="DB117" s="204">
        <v>0.97959183673469385</v>
      </c>
      <c r="DC117" s="204">
        <v>0</v>
      </c>
      <c r="DD117" s="204">
        <v>0</v>
      </c>
      <c r="DE117" s="204">
        <v>0</v>
      </c>
      <c r="DF117" s="215">
        <v>0</v>
      </c>
      <c r="DG117" s="13" t="s">
        <v>615</v>
      </c>
      <c r="DH117" s="86">
        <v>115</v>
      </c>
      <c r="DI117" s="86"/>
      <c r="DJ117" s="86">
        <v>15</v>
      </c>
      <c r="DK117" s="86" t="s">
        <v>1522</v>
      </c>
      <c r="DL117" s="86" t="e">
        <v>#N/A</v>
      </c>
      <c r="DM117" s="86" t="e">
        <v>#N/A</v>
      </c>
      <c r="DN117" s="86" t="e">
        <v>#N/A</v>
      </c>
      <c r="DO117" s="86">
        <v>16</v>
      </c>
      <c r="DP117" s="86">
        <v>2</v>
      </c>
      <c r="DQ117" s="86">
        <v>49</v>
      </c>
      <c r="DR117" s="146">
        <v>0</v>
      </c>
      <c r="DS117" s="146">
        <v>0</v>
      </c>
      <c r="DT117" s="146">
        <v>0</v>
      </c>
      <c r="DU117" s="146">
        <v>0</v>
      </c>
      <c r="DV117" s="146">
        <v>0</v>
      </c>
      <c r="DW117" s="146">
        <v>0</v>
      </c>
      <c r="DX117" s="146">
        <v>0</v>
      </c>
      <c r="DY117" s="146">
        <v>0</v>
      </c>
      <c r="DZ117" s="146">
        <v>0</v>
      </c>
      <c r="EA117" s="146">
        <v>0</v>
      </c>
      <c r="EB117" s="146">
        <v>0</v>
      </c>
      <c r="EC117" s="146">
        <v>0</v>
      </c>
      <c r="ED117" s="146">
        <v>0</v>
      </c>
      <c r="EE117" s="146">
        <v>0</v>
      </c>
      <c r="EF117" s="146">
        <v>0</v>
      </c>
      <c r="EG117" s="146">
        <v>0</v>
      </c>
      <c r="EH117" s="146">
        <v>0</v>
      </c>
      <c r="EI117" s="146">
        <v>0</v>
      </c>
      <c r="EJ117" s="146">
        <v>0</v>
      </c>
      <c r="EK117" s="146">
        <v>0</v>
      </c>
      <c r="EL117" s="146">
        <v>0</v>
      </c>
      <c r="EM117" s="146">
        <v>0</v>
      </c>
      <c r="EN117" s="146">
        <v>0</v>
      </c>
      <c r="EO117" s="146">
        <v>0</v>
      </c>
      <c r="EP117" s="146">
        <v>0</v>
      </c>
      <c r="EQ117" s="146">
        <v>0</v>
      </c>
      <c r="ER117" s="146">
        <v>0</v>
      </c>
      <c r="ES117" s="146">
        <v>0</v>
      </c>
      <c r="ET117" s="146">
        <v>0</v>
      </c>
      <c r="EU117" s="146">
        <v>0</v>
      </c>
      <c r="EV117" s="146">
        <v>0</v>
      </c>
      <c r="EW117" s="146">
        <v>0</v>
      </c>
      <c r="EX117" s="146">
        <v>0</v>
      </c>
      <c r="EY117" s="146">
        <v>0</v>
      </c>
      <c r="EZ117" s="146">
        <v>0</v>
      </c>
      <c r="FA117" s="146">
        <v>0</v>
      </c>
      <c r="FB117" s="146">
        <v>0</v>
      </c>
      <c r="FC117" s="146">
        <v>0</v>
      </c>
      <c r="FD117" s="146">
        <v>0</v>
      </c>
      <c r="FE117" s="146">
        <v>0</v>
      </c>
      <c r="FF117" s="146">
        <v>0</v>
      </c>
      <c r="FG117" s="146">
        <v>0</v>
      </c>
      <c r="FH117" s="146">
        <v>0</v>
      </c>
      <c r="FI117" s="146">
        <v>0</v>
      </c>
      <c r="FJ117" s="146">
        <v>0</v>
      </c>
      <c r="FK117" s="146">
        <v>0</v>
      </c>
      <c r="FL117" s="146">
        <v>0</v>
      </c>
      <c r="FM117" s="146">
        <v>0</v>
      </c>
      <c r="FN117" s="146">
        <v>0</v>
      </c>
      <c r="FO117" s="146">
        <v>0</v>
      </c>
      <c r="FP117" s="146">
        <v>0</v>
      </c>
      <c r="FQ117" s="146">
        <v>0</v>
      </c>
      <c r="FR117" s="146">
        <v>0</v>
      </c>
      <c r="FS117" s="160">
        <v>0</v>
      </c>
      <c r="FT117" s="160">
        <v>0</v>
      </c>
      <c r="FU117" s="160">
        <v>0</v>
      </c>
      <c r="FV117" s="160">
        <v>0</v>
      </c>
      <c r="FW117" s="160">
        <v>0</v>
      </c>
      <c r="FX117" s="160">
        <v>0</v>
      </c>
      <c r="FY117" s="160">
        <v>0</v>
      </c>
      <c r="FZ117" s="160">
        <v>0</v>
      </c>
      <c r="GA117" s="160">
        <v>0</v>
      </c>
      <c r="GB117" s="160">
        <v>0</v>
      </c>
      <c r="GC117" s="160">
        <v>0</v>
      </c>
      <c r="GD117" s="160">
        <v>0</v>
      </c>
      <c r="GE117" s="160">
        <v>0</v>
      </c>
      <c r="GF117" s="160">
        <v>0</v>
      </c>
      <c r="GG117" s="160">
        <v>0</v>
      </c>
      <c r="GH117" s="160">
        <v>0</v>
      </c>
      <c r="GI117" s="160">
        <v>0</v>
      </c>
      <c r="GJ117" s="160">
        <v>0</v>
      </c>
      <c r="GK117" s="160">
        <v>0</v>
      </c>
      <c r="GL117" s="160">
        <v>0</v>
      </c>
      <c r="GM117" s="160">
        <v>0</v>
      </c>
      <c r="GN117" s="160">
        <v>0</v>
      </c>
      <c r="GO117" s="160">
        <v>0</v>
      </c>
      <c r="GP117" s="160">
        <v>0</v>
      </c>
      <c r="GQ117" s="160">
        <v>0</v>
      </c>
      <c r="GR117" s="160">
        <v>0</v>
      </c>
      <c r="GS117" s="160">
        <v>0</v>
      </c>
      <c r="GT117" s="160">
        <v>0</v>
      </c>
      <c r="GU117" s="160">
        <v>0</v>
      </c>
      <c r="GV117" s="160">
        <v>0</v>
      </c>
      <c r="GW117" s="160">
        <v>0</v>
      </c>
      <c r="GX117" s="160">
        <v>0</v>
      </c>
      <c r="GY117" s="160">
        <v>0</v>
      </c>
      <c r="GZ117" s="160">
        <v>0</v>
      </c>
      <c r="HA117" s="160">
        <v>0</v>
      </c>
      <c r="HB117" s="160">
        <v>0</v>
      </c>
      <c r="HC117" s="160">
        <v>0</v>
      </c>
      <c r="HD117" s="160">
        <v>0</v>
      </c>
      <c r="HE117" s="160">
        <v>0</v>
      </c>
      <c r="HF117" s="160">
        <v>0</v>
      </c>
      <c r="HG117" s="160">
        <v>0</v>
      </c>
      <c r="HH117" s="146">
        <v>0</v>
      </c>
      <c r="HI117" s="146">
        <v>0</v>
      </c>
      <c r="HJ117" s="146">
        <v>0</v>
      </c>
      <c r="HK117" s="146">
        <v>0</v>
      </c>
      <c r="HL117" s="146">
        <v>0</v>
      </c>
      <c r="HM117" s="146">
        <v>0</v>
      </c>
      <c r="HN117" s="146">
        <v>0</v>
      </c>
      <c r="HO117" s="146">
        <v>0</v>
      </c>
      <c r="HP117" s="146">
        <v>0</v>
      </c>
      <c r="HQ117" s="146">
        <v>0</v>
      </c>
      <c r="HR117" s="146">
        <v>0</v>
      </c>
      <c r="HS117" s="146">
        <v>0</v>
      </c>
      <c r="HT117" s="146">
        <v>0</v>
      </c>
      <c r="HU117" s="151"/>
      <c r="HV117" s="146">
        <v>0</v>
      </c>
      <c r="HW117" s="151"/>
      <c r="HX117" s="151"/>
      <c r="HY117" s="151"/>
      <c r="HZ117" s="151"/>
      <c r="IA117" s="151"/>
      <c r="IB117" s="151"/>
      <c r="IC117" s="151"/>
      <c r="ID117" s="151"/>
      <c r="IE117" s="151"/>
      <c r="IF117" s="151"/>
      <c r="IG117" s="151"/>
      <c r="IH117" s="151"/>
      <c r="II117" s="151"/>
      <c r="IJ117" s="151"/>
      <c r="IK117" s="151"/>
      <c r="IL117" s="151"/>
      <c r="IM117" s="151"/>
      <c r="IN117" s="151"/>
      <c r="IO117" s="151"/>
      <c r="IP117" s="151"/>
      <c r="IQ117" s="151"/>
      <c r="IR117" s="151"/>
      <c r="IS117" s="151"/>
      <c r="IT117" s="151"/>
      <c r="IU117" s="151"/>
      <c r="IV117" s="151"/>
      <c r="IW117" s="151"/>
      <c r="IX117" s="151"/>
      <c r="IY117" s="151"/>
      <c r="IZ117" s="151"/>
      <c r="JA117" s="151"/>
      <c r="JB117" s="151"/>
      <c r="JC117" s="151"/>
      <c r="JD117" s="151"/>
      <c r="JE117" s="151"/>
      <c r="JF117" s="151"/>
      <c r="JG117" s="151"/>
      <c r="JH117" s="151"/>
      <c r="JI117" s="151"/>
      <c r="JJ117" s="151"/>
      <c r="JK117" s="151"/>
      <c r="JL117" s="151"/>
      <c r="JM117" s="151"/>
      <c r="JN117" s="151"/>
      <c r="JO117" s="151"/>
      <c r="JP117" s="151"/>
      <c r="JQ117" s="151"/>
      <c r="JR117" s="151"/>
      <c r="JS117" s="151"/>
      <c r="JT117" s="151"/>
      <c r="JU117" s="151"/>
      <c r="JV117" s="151"/>
      <c r="JW117" s="151"/>
      <c r="JX117" s="151"/>
      <c r="JY117" s="151"/>
      <c r="JZ117" s="151"/>
      <c r="KA117" s="151"/>
      <c r="KB117" s="151"/>
      <c r="KC117" s="151"/>
      <c r="KD117" s="151"/>
      <c r="KE117" s="151"/>
      <c r="KF117" s="151"/>
      <c r="KG117" s="151"/>
      <c r="KH117" s="151"/>
      <c r="KI117" s="151"/>
      <c r="KJ117" s="151"/>
      <c r="KK117" s="151"/>
      <c r="KL117" s="151"/>
      <c r="KM117" s="151"/>
      <c r="KN117" s="151"/>
      <c r="KO117" s="151"/>
      <c r="KP117" s="151"/>
      <c r="KQ117" s="151"/>
      <c r="KR117" s="151"/>
      <c r="KS117" s="151"/>
      <c r="KT117" s="151"/>
      <c r="KU117" s="151"/>
      <c r="KV117" s="151"/>
      <c r="KW117" s="151"/>
      <c r="KX117" s="151"/>
      <c r="KY117" s="151"/>
      <c r="KZ117" s="151"/>
      <c r="LA117" s="151"/>
      <c r="LB117" s="151"/>
      <c r="LC117" s="151"/>
      <c r="LD117" s="151"/>
      <c r="LE117" s="151"/>
    </row>
    <row r="118" spans="1:317" x14ac:dyDescent="0.2">
      <c r="A118" s="179" t="s">
        <v>849</v>
      </c>
      <c r="B118" s="180" t="s">
        <v>1017</v>
      </c>
      <c r="C118" s="181"/>
      <c r="D118" s="182">
        <v>0</v>
      </c>
      <c r="E118" s="182">
        <v>0</v>
      </c>
      <c r="F118" s="183" t="s">
        <v>1293</v>
      </c>
      <c r="G118" s="183">
        <v>0</v>
      </c>
      <c r="H118" s="183">
        <v>0</v>
      </c>
      <c r="I118" s="183">
        <v>0</v>
      </c>
      <c r="J118" s="183">
        <v>0</v>
      </c>
      <c r="K118" s="183" t="s">
        <v>1390</v>
      </c>
      <c r="L118" s="183">
        <v>0</v>
      </c>
      <c r="M118" s="183">
        <v>0</v>
      </c>
      <c r="N118" s="183" t="s">
        <v>872</v>
      </c>
      <c r="O118" s="183">
        <v>0</v>
      </c>
      <c r="P118" s="183">
        <v>0</v>
      </c>
      <c r="Q118" s="183"/>
      <c r="R118" s="183"/>
      <c r="S118" s="183"/>
      <c r="T118" s="183"/>
      <c r="U118" s="183"/>
      <c r="V118" s="183">
        <v>0</v>
      </c>
      <c r="W118" s="183">
        <v>0</v>
      </c>
      <c r="X118" s="183">
        <v>0</v>
      </c>
      <c r="Y118" s="184">
        <v>22.62</v>
      </c>
      <c r="Z118" s="184">
        <v>68.45</v>
      </c>
      <c r="AA118" s="184">
        <v>0</v>
      </c>
      <c r="AB118" s="185" t="s">
        <v>615</v>
      </c>
      <c r="AC118" s="185" t="s">
        <v>615</v>
      </c>
      <c r="AD118" s="186" t="s">
        <v>872</v>
      </c>
      <c r="AE118" s="186" t="s">
        <v>852</v>
      </c>
      <c r="AF118" s="187">
        <v>7</v>
      </c>
      <c r="AG118" s="187">
        <v>3</v>
      </c>
      <c r="AH118" s="187">
        <v>4</v>
      </c>
      <c r="AI118" s="188">
        <v>1</v>
      </c>
      <c r="AJ118" s="188" t="s">
        <v>615</v>
      </c>
      <c r="AK118" s="187" t="s">
        <v>1736</v>
      </c>
      <c r="AL118" s="87" t="s">
        <v>615</v>
      </c>
      <c r="AM118" s="189"/>
      <c r="AN118" s="187" t="s">
        <v>615</v>
      </c>
      <c r="AO118" s="13" t="s">
        <v>615</v>
      </c>
      <c r="AP118" s="187">
        <v>0</v>
      </c>
      <c r="AQ118" s="187">
        <v>0</v>
      </c>
      <c r="AR118" s="190">
        <v>0</v>
      </c>
      <c r="AS118" s="190">
        <v>0</v>
      </c>
      <c r="AT118" s="190">
        <v>0</v>
      </c>
      <c r="AU118" s="187">
        <v>0</v>
      </c>
      <c r="AV118" s="187">
        <v>0</v>
      </c>
      <c r="AW118" s="191"/>
      <c r="AX118" s="192"/>
      <c r="AY118" s="193">
        <v>42666</v>
      </c>
      <c r="AZ118" s="193"/>
      <c r="BA118" s="193"/>
      <c r="BB118" s="194"/>
      <c r="BC118" s="194"/>
      <c r="BD118" s="195"/>
      <c r="BE118" s="195" t="s">
        <v>532</v>
      </c>
      <c r="BF118" s="195"/>
      <c r="BG118" s="195">
        <v>4</v>
      </c>
      <c r="BH118" s="196" t="s">
        <v>547</v>
      </c>
      <c r="BI118" s="197">
        <v>1</v>
      </c>
      <c r="BJ118" s="198"/>
      <c r="BK118" s="199">
        <v>4</v>
      </c>
      <c r="BL118" s="13">
        <v>3</v>
      </c>
      <c r="BM118" s="13">
        <v>1</v>
      </c>
      <c r="BN118" s="13" t="s">
        <v>620</v>
      </c>
      <c r="BO118" s="13" t="s">
        <v>620</v>
      </c>
      <c r="BP118" s="200">
        <v>0</v>
      </c>
      <c r="BQ118" s="201"/>
      <c r="BR118" s="202"/>
      <c r="BS118" s="187">
        <v>1000000000</v>
      </c>
      <c r="BT118" s="203">
        <v>8</v>
      </c>
      <c r="BU118" s="204">
        <v>-1</v>
      </c>
      <c r="BV118" s="203">
        <v>0</v>
      </c>
      <c r="BW118" s="205">
        <v>0</v>
      </c>
      <c r="BX118" s="205">
        <v>0</v>
      </c>
      <c r="BY118" s="205">
        <v>0</v>
      </c>
      <c r="BZ118" s="203">
        <v>0</v>
      </c>
      <c r="CA118" s="203">
        <v>0</v>
      </c>
      <c r="CB118" s="203">
        <v>8</v>
      </c>
      <c r="CC118" s="204">
        <v>-1</v>
      </c>
      <c r="CD118" s="203">
        <v>0</v>
      </c>
      <c r="CE118" s="203">
        <v>0</v>
      </c>
      <c r="CF118" s="13">
        <v>0</v>
      </c>
      <c r="CG118" s="206">
        <v>0</v>
      </c>
      <c r="CH118" s="207">
        <v>2</v>
      </c>
      <c r="CI118" s="201"/>
      <c r="CJ118" s="208"/>
      <c r="CK118" s="209" t="s">
        <v>615</v>
      </c>
      <c r="CL118" s="210" t="s">
        <v>615</v>
      </c>
      <c r="CM118" s="207">
        <v>0</v>
      </c>
      <c r="CN118" s="207">
        <v>90.48</v>
      </c>
      <c r="CO118" s="204">
        <v>0</v>
      </c>
      <c r="CP118" s="204">
        <v>13.893141341417202</v>
      </c>
      <c r="CQ118" s="211"/>
      <c r="CR118" s="204">
        <v>1</v>
      </c>
      <c r="CS118" s="212">
        <v>42531</v>
      </c>
      <c r="CT118" s="212">
        <v>42780</v>
      </c>
      <c r="CU118" s="213">
        <v>42780</v>
      </c>
      <c r="CV118" s="214">
        <v>42829</v>
      </c>
      <c r="CW118" s="214" t="s">
        <v>615</v>
      </c>
      <c r="CX118" s="214" t="s">
        <v>615</v>
      </c>
      <c r="CY118" s="204">
        <v>0</v>
      </c>
      <c r="CZ118" s="204">
        <v>0.97959183673469385</v>
      </c>
      <c r="DA118" s="203">
        <v>0</v>
      </c>
      <c r="DB118" s="204">
        <v>0</v>
      </c>
      <c r="DC118" s="204">
        <v>0</v>
      </c>
      <c r="DD118" s="204">
        <v>0</v>
      </c>
      <c r="DE118" s="204">
        <v>0</v>
      </c>
      <c r="DF118" s="215">
        <v>0.97959183673469385</v>
      </c>
      <c r="DG118" s="13" t="s">
        <v>615</v>
      </c>
      <c r="DH118" s="86">
        <v>116</v>
      </c>
      <c r="DI118" s="86"/>
      <c r="DJ118" s="86">
        <v>14</v>
      </c>
      <c r="DK118" s="86" t="s">
        <v>1470</v>
      </c>
      <c r="DL118" s="86" t="e">
        <v>#N/A</v>
      </c>
      <c r="DM118" s="86">
        <v>11</v>
      </c>
      <c r="DN118" s="86" t="e">
        <v>#N/A</v>
      </c>
      <c r="DO118" s="86">
        <v>15</v>
      </c>
      <c r="DP118" s="86">
        <v>2</v>
      </c>
      <c r="DQ118" s="86">
        <v>49</v>
      </c>
      <c r="DR118" s="152">
        <v>8</v>
      </c>
      <c r="DS118" s="152">
        <v>8</v>
      </c>
      <c r="DT118" s="152">
        <v>8</v>
      </c>
      <c r="DU118" s="152">
        <v>8</v>
      </c>
      <c r="DV118" s="152">
        <v>8</v>
      </c>
      <c r="DW118" s="152">
        <v>8</v>
      </c>
      <c r="DX118" s="152">
        <v>8</v>
      </c>
      <c r="DY118" s="152">
        <v>8</v>
      </c>
      <c r="DZ118" s="152">
        <v>8</v>
      </c>
      <c r="EA118" s="152">
        <v>8</v>
      </c>
      <c r="EB118" s="152">
        <v>8</v>
      </c>
      <c r="EC118" s="152">
        <v>8</v>
      </c>
      <c r="ED118" s="152">
        <v>8</v>
      </c>
      <c r="EE118" s="152">
        <v>8</v>
      </c>
      <c r="EF118" s="152">
        <v>8</v>
      </c>
      <c r="EG118" s="152">
        <v>8</v>
      </c>
      <c r="EH118" s="152">
        <v>8</v>
      </c>
      <c r="EI118" s="152">
        <v>8</v>
      </c>
      <c r="EJ118" s="152">
        <v>8</v>
      </c>
      <c r="EK118" s="152">
        <v>8</v>
      </c>
      <c r="EL118" s="152">
        <v>8</v>
      </c>
      <c r="EM118" s="152">
        <v>8</v>
      </c>
      <c r="EN118" s="152">
        <v>8</v>
      </c>
      <c r="EO118" s="152">
        <v>8</v>
      </c>
      <c r="EP118" s="152">
        <v>8</v>
      </c>
      <c r="EQ118" s="152">
        <v>8</v>
      </c>
      <c r="ER118" s="152">
        <v>8</v>
      </c>
      <c r="ES118" s="152">
        <v>8</v>
      </c>
      <c r="ET118" s="152">
        <v>8</v>
      </c>
      <c r="EU118" s="152">
        <v>8</v>
      </c>
      <c r="EV118" s="152">
        <v>8</v>
      </c>
      <c r="EW118" s="152">
        <v>8</v>
      </c>
      <c r="EX118" s="152">
        <v>8</v>
      </c>
      <c r="EY118" s="152">
        <v>8</v>
      </c>
      <c r="EZ118" s="152">
        <v>8</v>
      </c>
      <c r="FA118" s="152">
        <v>8</v>
      </c>
      <c r="FB118" s="152">
        <v>8</v>
      </c>
      <c r="FC118" s="152">
        <v>8</v>
      </c>
      <c r="FD118" s="152">
        <v>8</v>
      </c>
      <c r="FE118" s="152">
        <v>8</v>
      </c>
      <c r="FF118" s="152">
        <v>8</v>
      </c>
      <c r="FG118" s="152">
        <v>8</v>
      </c>
      <c r="FH118" s="152">
        <v>8</v>
      </c>
      <c r="FI118" s="152">
        <v>8</v>
      </c>
      <c r="FJ118" s="152">
        <v>8</v>
      </c>
      <c r="FK118" s="152">
        <v>8</v>
      </c>
      <c r="FL118" s="152">
        <v>8</v>
      </c>
      <c r="FM118" s="152">
        <v>8</v>
      </c>
      <c r="FN118" s="152">
        <v>8</v>
      </c>
      <c r="FO118" s="152">
        <v>8</v>
      </c>
      <c r="FP118" s="152">
        <v>8</v>
      </c>
      <c r="FQ118" s="152">
        <v>8</v>
      </c>
      <c r="FR118" s="152">
        <v>8</v>
      </c>
      <c r="FS118" s="167">
        <v>8</v>
      </c>
      <c r="FT118" s="167">
        <v>8</v>
      </c>
      <c r="FU118" s="167">
        <v>8</v>
      </c>
      <c r="FV118" s="167">
        <v>8</v>
      </c>
      <c r="FW118" s="167">
        <v>8</v>
      </c>
      <c r="FX118" s="167">
        <v>8</v>
      </c>
      <c r="FY118" s="167">
        <v>8</v>
      </c>
      <c r="FZ118" s="167">
        <v>8</v>
      </c>
      <c r="GA118" s="167">
        <v>8</v>
      </c>
      <c r="GB118" s="167">
        <v>8</v>
      </c>
      <c r="GC118" s="167">
        <v>8</v>
      </c>
      <c r="GD118" s="167">
        <v>8</v>
      </c>
      <c r="GE118" s="167">
        <v>8</v>
      </c>
      <c r="GF118" s="167">
        <v>8</v>
      </c>
      <c r="GG118" s="167">
        <v>8</v>
      </c>
      <c r="GH118" s="167">
        <v>8</v>
      </c>
      <c r="GI118" s="167">
        <v>8</v>
      </c>
      <c r="GJ118" s="167">
        <v>8</v>
      </c>
      <c r="GK118" s="167">
        <v>8</v>
      </c>
      <c r="GL118" s="167">
        <v>8</v>
      </c>
      <c r="GM118" s="167">
        <v>8</v>
      </c>
      <c r="GN118" s="167">
        <v>8</v>
      </c>
      <c r="GO118" s="167">
        <v>8</v>
      </c>
      <c r="GP118" s="167">
        <v>8</v>
      </c>
      <c r="GQ118" s="167">
        <v>8</v>
      </c>
      <c r="GR118" s="167">
        <v>8</v>
      </c>
      <c r="GS118" s="167">
        <v>8</v>
      </c>
      <c r="GT118" s="167">
        <v>8</v>
      </c>
      <c r="GU118" s="167">
        <v>8</v>
      </c>
      <c r="GV118" s="167">
        <v>8</v>
      </c>
      <c r="GW118" s="167">
        <v>8</v>
      </c>
      <c r="GX118" s="167">
        <v>8</v>
      </c>
      <c r="GY118" s="167">
        <v>8</v>
      </c>
      <c r="GZ118" s="167">
        <v>8</v>
      </c>
      <c r="HA118" s="167">
        <v>8</v>
      </c>
      <c r="HB118" s="167">
        <v>8</v>
      </c>
      <c r="HC118" s="167">
        <v>8</v>
      </c>
      <c r="HD118" s="167">
        <v>8</v>
      </c>
      <c r="HE118" s="167">
        <v>8</v>
      </c>
      <c r="HF118" s="167">
        <v>8</v>
      </c>
      <c r="HG118" s="167">
        <v>8</v>
      </c>
      <c r="HH118" s="167">
        <v>8</v>
      </c>
      <c r="HI118" s="167">
        <v>8</v>
      </c>
      <c r="HJ118" s="167">
        <v>8</v>
      </c>
      <c r="HK118" s="167">
        <v>8</v>
      </c>
      <c r="HL118" s="167">
        <v>8</v>
      </c>
      <c r="HM118" s="167">
        <v>8</v>
      </c>
      <c r="HN118" s="167">
        <v>8</v>
      </c>
      <c r="HO118" s="167">
        <v>8</v>
      </c>
      <c r="HP118" s="167">
        <v>8</v>
      </c>
      <c r="HQ118" s="167">
        <v>8</v>
      </c>
      <c r="HR118" s="167">
        <v>8</v>
      </c>
      <c r="HS118" s="167">
        <v>8</v>
      </c>
      <c r="HT118" s="167">
        <v>8</v>
      </c>
      <c r="HU118" s="216"/>
      <c r="HV118" s="167">
        <v>8</v>
      </c>
      <c r="HW118" s="216"/>
      <c r="HX118" s="216"/>
      <c r="HY118" s="216"/>
      <c r="HZ118" s="216"/>
      <c r="IA118" s="216"/>
      <c r="IB118" s="216"/>
      <c r="IC118" s="216"/>
      <c r="ID118" s="216"/>
      <c r="IE118" s="216"/>
      <c r="IF118" s="216"/>
      <c r="IG118" s="216"/>
      <c r="IH118" s="216"/>
      <c r="II118" s="216"/>
      <c r="IJ118" s="216"/>
      <c r="IK118" s="216"/>
      <c r="IL118" s="216"/>
      <c r="IM118" s="216"/>
      <c r="IN118" s="216"/>
      <c r="IO118" s="216"/>
      <c r="IP118" s="216"/>
      <c r="IQ118" s="216"/>
      <c r="IR118" s="216"/>
      <c r="IS118" s="216"/>
      <c r="IT118" s="216"/>
      <c r="IU118" s="216"/>
      <c r="IV118" s="216"/>
      <c r="IW118" s="216"/>
      <c r="IX118" s="216"/>
      <c r="IY118" s="216"/>
      <c r="IZ118" s="216"/>
      <c r="JA118" s="216"/>
      <c r="JB118" s="216"/>
      <c r="JC118" s="216"/>
      <c r="JD118" s="216"/>
      <c r="JE118" s="216"/>
      <c r="JF118" s="216"/>
      <c r="JG118" s="216"/>
      <c r="JH118" s="216"/>
      <c r="JI118" s="216"/>
      <c r="JJ118" s="216"/>
      <c r="JK118" s="216"/>
      <c r="JL118" s="216"/>
      <c r="JM118" s="216"/>
      <c r="JN118" s="216"/>
      <c r="JO118" s="216"/>
      <c r="JP118" s="216"/>
      <c r="JQ118" s="216"/>
      <c r="JR118" s="216"/>
      <c r="JS118" s="216"/>
      <c r="JT118" s="216"/>
      <c r="JU118" s="216"/>
      <c r="JV118" s="216"/>
      <c r="JW118" s="216"/>
      <c r="JX118" s="216"/>
      <c r="JY118" s="216"/>
      <c r="JZ118" s="216"/>
      <c r="KA118" s="216"/>
      <c r="KB118" s="216"/>
      <c r="KC118" s="216"/>
      <c r="KD118" s="216"/>
      <c r="KE118" s="216"/>
      <c r="KF118" s="216"/>
      <c r="KG118" s="216"/>
      <c r="KH118" s="216"/>
      <c r="KI118" s="216"/>
      <c r="KJ118" s="216"/>
      <c r="KK118" s="216"/>
      <c r="KL118" s="216"/>
      <c r="KM118" s="216"/>
      <c r="KN118" s="216"/>
      <c r="KO118" s="216"/>
      <c r="KP118" s="216"/>
      <c r="KQ118" s="216"/>
      <c r="KR118" s="216"/>
      <c r="KS118" s="216"/>
      <c r="KT118" s="216"/>
      <c r="KU118" s="216"/>
      <c r="KV118" s="216"/>
      <c r="KW118" s="216"/>
      <c r="KX118" s="216"/>
      <c r="KY118" s="216"/>
      <c r="KZ118" s="216"/>
      <c r="LA118" s="216"/>
      <c r="LB118" s="216"/>
      <c r="LC118" s="216"/>
      <c r="LD118" s="216"/>
      <c r="LE118" s="216"/>
    </row>
    <row r="119" spans="1:317" x14ac:dyDescent="0.2">
      <c r="A119" s="179" t="s">
        <v>849</v>
      </c>
      <c r="B119" s="180" t="s">
        <v>1018</v>
      </c>
      <c r="C119" s="181"/>
      <c r="D119" s="182">
        <v>0</v>
      </c>
      <c r="E119" s="182">
        <v>0</v>
      </c>
      <c r="F119" s="183" t="s">
        <v>1294</v>
      </c>
      <c r="G119" s="183">
        <v>0</v>
      </c>
      <c r="H119" s="183">
        <v>0</v>
      </c>
      <c r="I119" s="183">
        <v>0</v>
      </c>
      <c r="J119" s="183">
        <v>0</v>
      </c>
      <c r="K119" s="183" t="s">
        <v>1390</v>
      </c>
      <c r="L119" s="183">
        <v>0</v>
      </c>
      <c r="M119" s="183">
        <v>0</v>
      </c>
      <c r="N119" s="183" t="s">
        <v>872</v>
      </c>
      <c r="O119" s="183">
        <v>0</v>
      </c>
      <c r="P119" s="183">
        <v>0</v>
      </c>
      <c r="Q119" s="183"/>
      <c r="R119" s="183"/>
      <c r="S119" s="183"/>
      <c r="T119" s="183"/>
      <c r="U119" s="183"/>
      <c r="V119" s="183">
        <v>0</v>
      </c>
      <c r="W119" s="183">
        <v>0</v>
      </c>
      <c r="X119" s="183">
        <v>0</v>
      </c>
      <c r="Y119" s="184">
        <v>19.13</v>
      </c>
      <c r="Z119" s="184">
        <v>54.69</v>
      </c>
      <c r="AA119" s="184">
        <v>0</v>
      </c>
      <c r="AB119" s="185" t="s">
        <v>615</v>
      </c>
      <c r="AC119" s="185" t="s">
        <v>615</v>
      </c>
      <c r="AD119" s="186" t="s">
        <v>872</v>
      </c>
      <c r="AE119" s="186" t="s">
        <v>852</v>
      </c>
      <c r="AF119" s="187">
        <v>7</v>
      </c>
      <c r="AG119" s="187">
        <v>3</v>
      </c>
      <c r="AH119" s="187">
        <v>4</v>
      </c>
      <c r="AI119" s="188">
        <v>1</v>
      </c>
      <c r="AJ119" s="188" t="s">
        <v>615</v>
      </c>
      <c r="AK119" s="187" t="s">
        <v>1737</v>
      </c>
      <c r="AL119" s="87" t="s">
        <v>615</v>
      </c>
      <c r="AM119" s="189"/>
      <c r="AN119" s="187" t="s">
        <v>615</v>
      </c>
      <c r="AO119" s="13" t="s">
        <v>615</v>
      </c>
      <c r="AP119" s="187">
        <v>0</v>
      </c>
      <c r="AQ119" s="187">
        <v>0</v>
      </c>
      <c r="AR119" s="190">
        <v>0</v>
      </c>
      <c r="AS119" s="190">
        <v>0</v>
      </c>
      <c r="AT119" s="190">
        <v>0</v>
      </c>
      <c r="AU119" s="187">
        <v>0</v>
      </c>
      <c r="AV119" s="187">
        <v>0</v>
      </c>
      <c r="AW119" s="191"/>
      <c r="AX119" s="192"/>
      <c r="AY119" s="193">
        <v>42796</v>
      </c>
      <c r="AZ119" s="193">
        <v>42796</v>
      </c>
      <c r="BA119" s="193"/>
      <c r="BB119" s="194"/>
      <c r="BC119" s="194"/>
      <c r="BD119" s="195"/>
      <c r="BE119" s="195" t="s">
        <v>532</v>
      </c>
      <c r="BF119" s="195"/>
      <c r="BG119" s="195">
        <v>4</v>
      </c>
      <c r="BH119" s="196" t="s">
        <v>547</v>
      </c>
      <c r="BI119" s="197">
        <v>1</v>
      </c>
      <c r="BJ119" s="198"/>
      <c r="BK119" s="199">
        <v>0</v>
      </c>
      <c r="BL119" s="13">
        <v>0</v>
      </c>
      <c r="BM119" s="13">
        <v>0</v>
      </c>
      <c r="BN119" s="13" t="s">
        <v>616</v>
      </c>
      <c r="BO119" s="13" t="s">
        <v>616</v>
      </c>
      <c r="BP119" s="200">
        <v>4</v>
      </c>
      <c r="BQ119" s="201"/>
      <c r="BR119" s="202"/>
      <c r="BS119" s="187">
        <v>1000000000</v>
      </c>
      <c r="BT119" s="203">
        <v>4</v>
      </c>
      <c r="BU119" s="204">
        <v>0</v>
      </c>
      <c r="BV119" s="203">
        <v>8</v>
      </c>
      <c r="BW119" s="205">
        <v>0</v>
      </c>
      <c r="BX119" s="205">
        <v>0</v>
      </c>
      <c r="BY119" s="205">
        <v>0</v>
      </c>
      <c r="BZ119" s="203">
        <v>0</v>
      </c>
      <c r="CA119" s="203">
        <v>0</v>
      </c>
      <c r="CB119" s="203">
        <v>12</v>
      </c>
      <c r="CC119" s="204">
        <v>0</v>
      </c>
      <c r="CD119" s="203">
        <v>0</v>
      </c>
      <c r="CE119" s="203">
        <v>0</v>
      </c>
      <c r="CF119" s="13">
        <v>0</v>
      </c>
      <c r="CG119" s="206">
        <v>0</v>
      </c>
      <c r="CH119" s="207">
        <v>0</v>
      </c>
      <c r="CI119" s="201"/>
      <c r="CJ119" s="208"/>
      <c r="CK119" s="209" t="s">
        <v>615</v>
      </c>
      <c r="CL119" s="210" t="s">
        <v>615</v>
      </c>
      <c r="CM119" s="207">
        <v>0</v>
      </c>
      <c r="CN119" s="207">
        <v>0</v>
      </c>
      <c r="CO119" s="204">
        <v>0</v>
      </c>
      <c r="CP119" s="204">
        <v>0</v>
      </c>
      <c r="CQ119" s="211"/>
      <c r="CR119" s="204">
        <v>1</v>
      </c>
      <c r="CS119" s="212">
        <v>42709</v>
      </c>
      <c r="CT119" s="212">
        <v>42780</v>
      </c>
      <c r="CU119" s="213">
        <v>42780</v>
      </c>
      <c r="CV119" s="214">
        <v>42829</v>
      </c>
      <c r="CW119" s="214" t="s">
        <v>615</v>
      </c>
      <c r="CX119" s="214" t="s">
        <v>615</v>
      </c>
      <c r="CY119" s="204">
        <v>0</v>
      </c>
      <c r="CZ119" s="204">
        <v>0.97959183673469385</v>
      </c>
      <c r="DA119" s="203">
        <v>0</v>
      </c>
      <c r="DB119" s="204">
        <v>0</v>
      </c>
      <c r="DC119" s="204">
        <v>0</v>
      </c>
      <c r="DD119" s="204">
        <v>0</v>
      </c>
      <c r="DE119" s="204">
        <v>0</v>
      </c>
      <c r="DF119" s="215">
        <v>0.97959183673469385</v>
      </c>
      <c r="DG119" s="13" t="s">
        <v>615</v>
      </c>
      <c r="DH119" s="86">
        <v>117</v>
      </c>
      <c r="DI119" s="86"/>
      <c r="DJ119" s="86">
        <v>13</v>
      </c>
      <c r="DK119" s="86" t="s">
        <v>1469</v>
      </c>
      <c r="DL119" s="86" t="e">
        <v>#N/A</v>
      </c>
      <c r="DM119" s="86">
        <v>10</v>
      </c>
      <c r="DN119" s="86" t="e">
        <v>#N/A</v>
      </c>
      <c r="DO119" s="86">
        <v>14</v>
      </c>
      <c r="DP119" s="86">
        <v>2</v>
      </c>
      <c r="DQ119" s="86">
        <v>49</v>
      </c>
      <c r="DR119" s="163">
        <v>4</v>
      </c>
      <c r="DS119" s="163">
        <v>4</v>
      </c>
      <c r="DT119" s="163">
        <v>4</v>
      </c>
      <c r="DU119" s="163">
        <v>4</v>
      </c>
      <c r="DV119" s="163">
        <v>4</v>
      </c>
      <c r="DW119" s="163">
        <v>4</v>
      </c>
      <c r="DX119" s="163">
        <v>4</v>
      </c>
      <c r="DY119" s="163">
        <v>4</v>
      </c>
      <c r="DZ119" s="163">
        <v>4</v>
      </c>
      <c r="EA119" s="140">
        <v>4</v>
      </c>
      <c r="EB119" s="140">
        <v>4</v>
      </c>
      <c r="EC119" s="140">
        <v>4</v>
      </c>
      <c r="ED119" s="140">
        <v>4</v>
      </c>
      <c r="EE119" s="140">
        <v>4</v>
      </c>
      <c r="EF119" s="140">
        <v>4</v>
      </c>
      <c r="EG119" s="140">
        <v>4</v>
      </c>
      <c r="EH119" s="140">
        <v>4</v>
      </c>
      <c r="EI119" s="140">
        <v>4</v>
      </c>
      <c r="EJ119" s="140">
        <v>4</v>
      </c>
      <c r="EK119" s="140">
        <v>4</v>
      </c>
      <c r="EL119" s="140">
        <v>4</v>
      </c>
      <c r="EM119" s="140">
        <v>4</v>
      </c>
      <c r="EN119" s="140">
        <v>4</v>
      </c>
      <c r="EO119" s="140">
        <v>4</v>
      </c>
      <c r="EP119" s="140">
        <v>4</v>
      </c>
      <c r="EQ119" s="140">
        <v>4</v>
      </c>
      <c r="ER119" s="140">
        <v>4</v>
      </c>
      <c r="ES119" s="140">
        <v>4</v>
      </c>
      <c r="ET119" s="140">
        <v>4</v>
      </c>
      <c r="EU119" s="140">
        <v>4</v>
      </c>
      <c r="EV119" s="140">
        <v>4</v>
      </c>
      <c r="EW119" s="140">
        <v>4</v>
      </c>
      <c r="EX119" s="140">
        <v>4</v>
      </c>
      <c r="EY119" s="140">
        <v>4</v>
      </c>
      <c r="EZ119" s="140">
        <v>4</v>
      </c>
      <c r="FA119" s="140">
        <v>4</v>
      </c>
      <c r="FB119" s="140">
        <v>4</v>
      </c>
      <c r="FC119" s="140">
        <v>4</v>
      </c>
      <c r="FD119" s="140">
        <v>4</v>
      </c>
      <c r="FE119" s="140">
        <v>4</v>
      </c>
      <c r="FF119" s="140">
        <v>4</v>
      </c>
      <c r="FG119" s="140">
        <v>4</v>
      </c>
      <c r="FH119" s="140">
        <v>4</v>
      </c>
      <c r="FI119" s="140">
        <v>4</v>
      </c>
      <c r="FJ119" s="140">
        <v>4</v>
      </c>
      <c r="FK119" s="140">
        <v>4</v>
      </c>
      <c r="FL119" s="140">
        <v>4</v>
      </c>
      <c r="FM119" s="140">
        <v>4</v>
      </c>
      <c r="FN119" s="140">
        <v>4</v>
      </c>
      <c r="FO119" s="140">
        <v>4</v>
      </c>
      <c r="FP119" s="140">
        <v>4</v>
      </c>
      <c r="FQ119" s="140">
        <v>4</v>
      </c>
      <c r="FR119" s="140">
        <v>4</v>
      </c>
      <c r="FS119" s="140">
        <v>4</v>
      </c>
      <c r="FT119" s="140">
        <v>4</v>
      </c>
      <c r="FU119" s="140">
        <v>4</v>
      </c>
      <c r="FV119" s="140">
        <v>4</v>
      </c>
      <c r="FW119" s="140">
        <v>4</v>
      </c>
      <c r="FX119" s="140">
        <v>4</v>
      </c>
      <c r="FY119" s="140">
        <v>4</v>
      </c>
      <c r="FZ119" s="140">
        <v>4</v>
      </c>
      <c r="GA119" s="140">
        <v>4</v>
      </c>
      <c r="GB119" s="140">
        <v>4</v>
      </c>
      <c r="GC119" s="140">
        <v>4</v>
      </c>
      <c r="GD119" s="140">
        <v>4</v>
      </c>
      <c r="GE119" s="140">
        <v>4</v>
      </c>
      <c r="GF119" s="140">
        <v>4</v>
      </c>
      <c r="GG119" s="140">
        <v>4</v>
      </c>
      <c r="GH119" s="140">
        <v>4</v>
      </c>
      <c r="GI119" s="140">
        <v>4</v>
      </c>
      <c r="GJ119" s="140">
        <v>4</v>
      </c>
      <c r="GK119" s="140">
        <v>4</v>
      </c>
      <c r="GL119" s="140">
        <v>4</v>
      </c>
      <c r="GM119" s="140">
        <v>4</v>
      </c>
      <c r="GN119" s="140">
        <v>4</v>
      </c>
      <c r="GO119" s="140">
        <v>4</v>
      </c>
      <c r="GP119" s="140">
        <v>4</v>
      </c>
      <c r="GQ119" s="140">
        <v>4</v>
      </c>
      <c r="GR119" s="140">
        <v>4</v>
      </c>
      <c r="GS119" s="140">
        <v>4</v>
      </c>
      <c r="GT119" s="140">
        <v>4</v>
      </c>
      <c r="GU119" s="140">
        <v>4</v>
      </c>
      <c r="GV119" s="140">
        <v>4</v>
      </c>
      <c r="GW119" s="140">
        <v>4</v>
      </c>
      <c r="GX119" s="140">
        <v>4</v>
      </c>
      <c r="GY119" s="140">
        <v>4</v>
      </c>
      <c r="GZ119" s="140">
        <v>4</v>
      </c>
      <c r="HA119" s="140">
        <v>4</v>
      </c>
      <c r="HB119" s="140">
        <v>4</v>
      </c>
      <c r="HC119" s="140">
        <v>4</v>
      </c>
      <c r="HD119" s="140">
        <v>4</v>
      </c>
      <c r="HE119" s="140">
        <v>4</v>
      </c>
      <c r="HF119" s="140">
        <v>4</v>
      </c>
      <c r="HG119" s="163">
        <v>4</v>
      </c>
      <c r="HH119" s="162">
        <v>4</v>
      </c>
      <c r="HI119" s="146">
        <v>4</v>
      </c>
      <c r="HJ119" s="146">
        <v>4</v>
      </c>
      <c r="HK119" s="146">
        <v>4</v>
      </c>
      <c r="HL119" s="146">
        <v>4</v>
      </c>
      <c r="HM119" s="146">
        <v>4</v>
      </c>
      <c r="HN119" s="146">
        <v>4</v>
      </c>
      <c r="HO119" s="146">
        <v>4</v>
      </c>
      <c r="HP119" s="146">
        <v>4</v>
      </c>
      <c r="HQ119" s="146">
        <v>4</v>
      </c>
      <c r="HR119" s="146">
        <v>4</v>
      </c>
      <c r="HS119" s="146">
        <v>4</v>
      </c>
      <c r="HT119" s="146">
        <v>4</v>
      </c>
      <c r="HU119" s="151"/>
      <c r="HV119" s="146">
        <v>4</v>
      </c>
      <c r="HW119" s="151"/>
      <c r="HX119" s="151"/>
      <c r="HY119" s="151"/>
      <c r="HZ119" s="151"/>
      <c r="IA119" s="151"/>
      <c r="IB119" s="151"/>
      <c r="IC119" s="151"/>
      <c r="ID119" s="151"/>
      <c r="IE119" s="151"/>
      <c r="IF119" s="151"/>
      <c r="IG119" s="151"/>
      <c r="IH119" s="151"/>
      <c r="II119" s="151"/>
      <c r="IJ119" s="151"/>
      <c r="IK119" s="151"/>
      <c r="IL119" s="151"/>
      <c r="IM119" s="151"/>
      <c r="IN119" s="151"/>
      <c r="IO119" s="151"/>
      <c r="IP119" s="151"/>
      <c r="IQ119" s="151"/>
      <c r="IR119" s="151"/>
      <c r="IS119" s="151"/>
      <c r="IT119" s="151"/>
      <c r="IU119" s="151"/>
      <c r="IV119" s="151"/>
      <c r="IW119" s="151"/>
      <c r="IX119" s="151"/>
      <c r="IY119" s="151"/>
      <c r="IZ119" s="151"/>
      <c r="JA119" s="151"/>
      <c r="JB119" s="151"/>
      <c r="JC119" s="151"/>
      <c r="JD119" s="151"/>
      <c r="JE119" s="151"/>
      <c r="JF119" s="151"/>
      <c r="JG119" s="151"/>
      <c r="JH119" s="151"/>
      <c r="JI119" s="151"/>
      <c r="JJ119" s="151"/>
      <c r="JK119" s="151"/>
      <c r="JL119" s="151"/>
      <c r="JM119" s="151"/>
      <c r="JN119" s="151"/>
      <c r="JO119" s="151"/>
      <c r="JP119" s="151"/>
      <c r="JQ119" s="151"/>
      <c r="JR119" s="151"/>
      <c r="JS119" s="151"/>
      <c r="JT119" s="151"/>
      <c r="JU119" s="151"/>
      <c r="JV119" s="151"/>
      <c r="JW119" s="151"/>
      <c r="JX119" s="151"/>
      <c r="JY119" s="151"/>
      <c r="JZ119" s="151"/>
      <c r="KA119" s="151"/>
      <c r="KB119" s="151"/>
      <c r="KC119" s="151"/>
      <c r="KD119" s="151"/>
      <c r="KE119" s="151"/>
      <c r="KF119" s="151"/>
      <c r="KG119" s="151"/>
      <c r="KH119" s="151"/>
      <c r="KI119" s="151"/>
      <c r="KJ119" s="151"/>
      <c r="KK119" s="151"/>
      <c r="KL119" s="151"/>
      <c r="KM119" s="151"/>
      <c r="KN119" s="151"/>
      <c r="KO119" s="151"/>
      <c r="KP119" s="151"/>
      <c r="KQ119" s="151"/>
      <c r="KR119" s="151"/>
      <c r="KS119" s="151"/>
      <c r="KT119" s="151"/>
      <c r="KU119" s="151"/>
      <c r="KV119" s="151"/>
      <c r="KW119" s="151"/>
      <c r="KX119" s="151"/>
      <c r="KY119" s="151"/>
      <c r="KZ119" s="151"/>
      <c r="LA119" s="151"/>
      <c r="LB119" s="151"/>
      <c r="LC119" s="151"/>
      <c r="LD119" s="151"/>
      <c r="LE119" s="151"/>
    </row>
    <row r="120" spans="1:317" x14ac:dyDescent="0.2">
      <c r="A120" s="179" t="s">
        <v>849</v>
      </c>
      <c r="B120" s="180" t="s">
        <v>1019</v>
      </c>
      <c r="C120" s="181"/>
      <c r="D120" s="182">
        <v>0</v>
      </c>
      <c r="E120" s="182">
        <v>0</v>
      </c>
      <c r="F120" s="183" t="s">
        <v>1295</v>
      </c>
      <c r="G120" s="183">
        <v>0</v>
      </c>
      <c r="H120" s="183">
        <v>0</v>
      </c>
      <c r="I120" s="183">
        <v>0</v>
      </c>
      <c r="J120" s="183">
        <v>0</v>
      </c>
      <c r="K120" s="183" t="s">
        <v>1391</v>
      </c>
      <c r="L120" s="183">
        <v>0</v>
      </c>
      <c r="M120" s="183">
        <v>0</v>
      </c>
      <c r="N120" s="183" t="s">
        <v>872</v>
      </c>
      <c r="O120" s="183">
        <v>0</v>
      </c>
      <c r="P120" s="183">
        <v>0</v>
      </c>
      <c r="Q120" s="183"/>
      <c r="R120" s="183"/>
      <c r="S120" s="183"/>
      <c r="T120" s="183"/>
      <c r="U120" s="183"/>
      <c r="V120" s="183">
        <v>0</v>
      </c>
      <c r="W120" s="183">
        <v>0</v>
      </c>
      <c r="X120" s="183">
        <v>0</v>
      </c>
      <c r="Y120" s="184">
        <v>29.61</v>
      </c>
      <c r="Z120" s="184">
        <v>95.2</v>
      </c>
      <c r="AA120" s="184">
        <v>0</v>
      </c>
      <c r="AB120" s="185" t="s">
        <v>615</v>
      </c>
      <c r="AC120" s="185" t="s">
        <v>615</v>
      </c>
      <c r="AD120" s="186" t="s">
        <v>872</v>
      </c>
      <c r="AE120" s="186" t="s">
        <v>852</v>
      </c>
      <c r="AF120" s="187">
        <v>7</v>
      </c>
      <c r="AG120" s="187">
        <v>3</v>
      </c>
      <c r="AH120" s="187">
        <v>4</v>
      </c>
      <c r="AI120" s="188">
        <v>1</v>
      </c>
      <c r="AJ120" s="188" t="s">
        <v>617</v>
      </c>
      <c r="AK120" s="187" t="s">
        <v>1733</v>
      </c>
      <c r="AL120" s="87">
        <v>3</v>
      </c>
      <c r="AM120" s="189"/>
      <c r="AN120" s="187">
        <v>3</v>
      </c>
      <c r="AO120" s="13" t="s">
        <v>615</v>
      </c>
      <c r="AP120" s="187">
        <v>0</v>
      </c>
      <c r="AQ120" s="187">
        <v>0</v>
      </c>
      <c r="AR120" s="190">
        <v>0</v>
      </c>
      <c r="AS120" s="190">
        <v>0</v>
      </c>
      <c r="AT120" s="190">
        <v>0</v>
      </c>
      <c r="AU120" s="187">
        <v>0</v>
      </c>
      <c r="AV120" s="187">
        <v>0</v>
      </c>
      <c r="AW120" s="191"/>
      <c r="AX120" s="192"/>
      <c r="AY120" s="193">
        <v>42845</v>
      </c>
      <c r="AZ120" s="193"/>
      <c r="BA120" s="193"/>
      <c r="BB120" s="194"/>
      <c r="BC120" s="194"/>
      <c r="BD120" s="195"/>
      <c r="BE120" s="195" t="s">
        <v>532</v>
      </c>
      <c r="BF120" s="195"/>
      <c r="BG120" s="195">
        <v>4</v>
      </c>
      <c r="BH120" s="196" t="s">
        <v>547</v>
      </c>
      <c r="BI120" s="197">
        <v>1</v>
      </c>
      <c r="BJ120" s="198"/>
      <c r="BK120" s="199">
        <v>4</v>
      </c>
      <c r="BL120" s="13">
        <v>3</v>
      </c>
      <c r="BM120" s="13">
        <v>1</v>
      </c>
      <c r="BN120" s="13" t="s">
        <v>619</v>
      </c>
      <c r="BO120" s="13" t="s">
        <v>619</v>
      </c>
      <c r="BP120" s="200">
        <v>0</v>
      </c>
      <c r="BQ120" s="201"/>
      <c r="BR120" s="202"/>
      <c r="BS120" s="187">
        <v>1000000000</v>
      </c>
      <c r="BT120" s="203">
        <v>2</v>
      </c>
      <c r="BU120" s="204">
        <v>0.5</v>
      </c>
      <c r="BV120" s="203">
        <v>0</v>
      </c>
      <c r="BW120" s="205">
        <v>0</v>
      </c>
      <c r="BX120" s="205">
        <v>0</v>
      </c>
      <c r="BY120" s="205">
        <v>0</v>
      </c>
      <c r="BZ120" s="203">
        <v>0</v>
      </c>
      <c r="CA120" s="203">
        <v>0</v>
      </c>
      <c r="CB120" s="203">
        <v>2</v>
      </c>
      <c r="CC120" s="204">
        <v>0.5</v>
      </c>
      <c r="CD120" s="203">
        <v>0</v>
      </c>
      <c r="CE120" s="203">
        <v>0</v>
      </c>
      <c r="CF120" s="13">
        <v>2</v>
      </c>
      <c r="CG120" s="206">
        <v>4</v>
      </c>
      <c r="CH120" s="207">
        <v>2</v>
      </c>
      <c r="CI120" s="201"/>
      <c r="CJ120" s="208"/>
      <c r="CK120" s="209" t="s">
        <v>615</v>
      </c>
      <c r="CL120" s="210" t="s">
        <v>615</v>
      </c>
      <c r="CM120" s="207">
        <v>0</v>
      </c>
      <c r="CN120" s="207">
        <v>0</v>
      </c>
      <c r="CO120" s="204">
        <v>0</v>
      </c>
      <c r="CP120" s="204">
        <v>15.189463019250253</v>
      </c>
      <c r="CQ120" s="211"/>
      <c r="CR120" s="204">
        <v>1</v>
      </c>
      <c r="CS120" s="212">
        <v>42592</v>
      </c>
      <c r="CT120" s="212">
        <v>42780</v>
      </c>
      <c r="CU120" s="213">
        <v>42780</v>
      </c>
      <c r="CV120" s="214">
        <v>42829</v>
      </c>
      <c r="CW120" s="214" t="s">
        <v>615</v>
      </c>
      <c r="CX120" s="214" t="s">
        <v>615</v>
      </c>
      <c r="CY120" s="204">
        <v>6.8261725022014247E-2</v>
      </c>
      <c r="CZ120" s="204">
        <v>0.97959183673469385</v>
      </c>
      <c r="DA120" s="203">
        <v>0</v>
      </c>
      <c r="DB120" s="204">
        <v>0</v>
      </c>
      <c r="DC120" s="204">
        <v>0</v>
      </c>
      <c r="DD120" s="204">
        <v>0.97959183673469385</v>
      </c>
      <c r="DE120" s="204">
        <v>0</v>
      </c>
      <c r="DF120" s="215">
        <v>0</v>
      </c>
      <c r="DG120" s="13" t="s">
        <v>615</v>
      </c>
      <c r="DH120" s="86">
        <v>118</v>
      </c>
      <c r="DI120" s="86"/>
      <c r="DJ120" s="86">
        <v>12</v>
      </c>
      <c r="DK120" s="86" t="s">
        <v>1468</v>
      </c>
      <c r="DL120" s="86" t="e">
        <v>#N/A</v>
      </c>
      <c r="DM120" s="86">
        <v>9</v>
      </c>
      <c r="DN120" s="86" t="e">
        <v>#N/A</v>
      </c>
      <c r="DO120" s="86">
        <v>13</v>
      </c>
      <c r="DP120" s="86">
        <v>2</v>
      </c>
      <c r="DQ120" s="86">
        <v>49</v>
      </c>
      <c r="DR120" s="152">
        <v>3</v>
      </c>
      <c r="DS120" s="152">
        <v>3</v>
      </c>
      <c r="DT120" s="152">
        <v>3</v>
      </c>
      <c r="DU120" s="152">
        <v>3</v>
      </c>
      <c r="DV120" s="152">
        <v>3</v>
      </c>
      <c r="DW120" s="152">
        <v>3</v>
      </c>
      <c r="DX120" s="152">
        <v>3</v>
      </c>
      <c r="DY120" s="152">
        <v>2</v>
      </c>
      <c r="DZ120" s="152">
        <v>2</v>
      </c>
      <c r="EA120" s="152">
        <v>2</v>
      </c>
      <c r="EB120" s="152">
        <v>2</v>
      </c>
      <c r="EC120" s="152">
        <v>2</v>
      </c>
      <c r="ED120" s="152">
        <v>2</v>
      </c>
      <c r="EE120" s="152">
        <v>2</v>
      </c>
      <c r="EF120" s="152">
        <v>2</v>
      </c>
      <c r="EG120" s="152">
        <v>2</v>
      </c>
      <c r="EH120" s="152">
        <v>2</v>
      </c>
      <c r="EI120" s="152">
        <v>2</v>
      </c>
      <c r="EJ120" s="152">
        <v>2</v>
      </c>
      <c r="EK120" s="152">
        <v>2</v>
      </c>
      <c r="EL120" s="152">
        <v>2</v>
      </c>
      <c r="EM120" s="152">
        <v>2</v>
      </c>
      <c r="EN120" s="152">
        <v>2</v>
      </c>
      <c r="EO120" s="152">
        <v>2</v>
      </c>
      <c r="EP120" s="152">
        <v>2</v>
      </c>
      <c r="EQ120" s="152">
        <v>2</v>
      </c>
      <c r="ER120" s="152">
        <v>2</v>
      </c>
      <c r="ES120" s="152">
        <v>2</v>
      </c>
      <c r="ET120" s="152">
        <v>2</v>
      </c>
      <c r="EU120" s="152">
        <v>2</v>
      </c>
      <c r="EV120" s="152">
        <v>2</v>
      </c>
      <c r="EW120" s="152">
        <v>2</v>
      </c>
      <c r="EX120" s="152">
        <v>2</v>
      </c>
      <c r="EY120" s="152">
        <v>2</v>
      </c>
      <c r="EZ120" s="152">
        <v>2</v>
      </c>
      <c r="FA120" s="152">
        <v>2</v>
      </c>
      <c r="FB120" s="152">
        <v>2</v>
      </c>
      <c r="FC120" s="152">
        <v>2</v>
      </c>
      <c r="FD120" s="152">
        <v>2</v>
      </c>
      <c r="FE120" s="152">
        <v>2</v>
      </c>
      <c r="FF120" s="152">
        <v>2</v>
      </c>
      <c r="FG120" s="152">
        <v>2</v>
      </c>
      <c r="FH120" s="152">
        <v>2</v>
      </c>
      <c r="FI120" s="152">
        <v>2</v>
      </c>
      <c r="FJ120" s="152">
        <v>2</v>
      </c>
      <c r="FK120" s="152">
        <v>2</v>
      </c>
      <c r="FL120" s="152">
        <v>2</v>
      </c>
      <c r="FM120" s="152">
        <v>2</v>
      </c>
      <c r="FN120" s="152">
        <v>3</v>
      </c>
      <c r="FO120" s="152">
        <v>3</v>
      </c>
      <c r="FP120" s="152">
        <v>3</v>
      </c>
      <c r="FQ120" s="152">
        <v>3</v>
      </c>
      <c r="FR120" s="152">
        <v>3</v>
      </c>
      <c r="FS120" s="168">
        <v>3</v>
      </c>
      <c r="FT120" s="168">
        <v>3</v>
      </c>
      <c r="FU120" s="168">
        <v>3</v>
      </c>
      <c r="FV120" s="168">
        <v>3</v>
      </c>
      <c r="FW120" s="168">
        <v>3</v>
      </c>
      <c r="FX120" s="168">
        <v>3</v>
      </c>
      <c r="FY120" s="168">
        <v>3</v>
      </c>
      <c r="FZ120" s="168">
        <v>3</v>
      </c>
      <c r="GA120" s="168">
        <v>3</v>
      </c>
      <c r="GB120" s="168">
        <v>3</v>
      </c>
      <c r="GC120" s="168">
        <v>3</v>
      </c>
      <c r="GD120" s="168">
        <v>3</v>
      </c>
      <c r="GE120" s="168">
        <v>3</v>
      </c>
      <c r="GF120" s="168">
        <v>3</v>
      </c>
      <c r="GG120" s="168">
        <v>3</v>
      </c>
      <c r="GH120" s="168">
        <v>3</v>
      </c>
      <c r="GI120" s="168">
        <v>3</v>
      </c>
      <c r="GJ120" s="168">
        <v>3</v>
      </c>
      <c r="GK120" s="168">
        <v>3</v>
      </c>
      <c r="GL120" s="168">
        <v>3</v>
      </c>
      <c r="GM120" s="168">
        <v>3</v>
      </c>
      <c r="GN120" s="168">
        <v>3</v>
      </c>
      <c r="GO120" s="168">
        <v>3</v>
      </c>
      <c r="GP120" s="168">
        <v>3</v>
      </c>
      <c r="GQ120" s="168">
        <v>3</v>
      </c>
      <c r="GR120" s="168">
        <v>3</v>
      </c>
      <c r="GS120" s="168">
        <v>3</v>
      </c>
      <c r="GT120" s="168">
        <v>3</v>
      </c>
      <c r="GU120" s="168">
        <v>3</v>
      </c>
      <c r="GV120" s="168">
        <v>3</v>
      </c>
      <c r="GW120" s="168">
        <v>3</v>
      </c>
      <c r="GX120" s="168">
        <v>3</v>
      </c>
      <c r="GY120" s="168">
        <v>3</v>
      </c>
      <c r="GZ120" s="168">
        <v>3</v>
      </c>
      <c r="HA120" s="168">
        <v>3</v>
      </c>
      <c r="HB120" s="168">
        <v>3</v>
      </c>
      <c r="HC120" s="168">
        <v>3</v>
      </c>
      <c r="HD120" s="168">
        <v>3</v>
      </c>
      <c r="HE120" s="168">
        <v>3</v>
      </c>
      <c r="HF120" s="168">
        <v>3</v>
      </c>
      <c r="HG120" s="168">
        <v>3</v>
      </c>
      <c r="HH120" s="168">
        <v>3</v>
      </c>
      <c r="HI120" s="168">
        <v>3</v>
      </c>
      <c r="HJ120" s="168">
        <v>3</v>
      </c>
      <c r="HK120" s="168">
        <v>3</v>
      </c>
      <c r="HL120" s="168">
        <v>3</v>
      </c>
      <c r="HM120" s="168">
        <v>3</v>
      </c>
      <c r="HN120" s="168">
        <v>3</v>
      </c>
      <c r="HO120" s="168">
        <v>3</v>
      </c>
      <c r="HP120" s="168">
        <v>3</v>
      </c>
      <c r="HQ120" s="168">
        <v>3</v>
      </c>
      <c r="HR120" s="168">
        <v>3</v>
      </c>
      <c r="HS120" s="168">
        <v>3</v>
      </c>
      <c r="HT120" s="168">
        <v>2</v>
      </c>
      <c r="HU120" s="216"/>
      <c r="HV120" s="168">
        <v>2</v>
      </c>
      <c r="HW120" s="216"/>
      <c r="HX120" s="216"/>
      <c r="HY120" s="216"/>
      <c r="HZ120" s="216"/>
      <c r="IA120" s="216"/>
      <c r="IB120" s="216"/>
      <c r="IC120" s="216"/>
      <c r="ID120" s="216"/>
      <c r="IE120" s="216"/>
      <c r="IF120" s="216"/>
      <c r="IG120" s="216"/>
      <c r="IH120" s="216"/>
      <c r="II120" s="216"/>
      <c r="IJ120" s="216"/>
      <c r="IK120" s="216"/>
      <c r="IL120" s="216"/>
      <c r="IM120" s="216"/>
      <c r="IN120" s="216"/>
      <c r="IO120" s="216"/>
      <c r="IP120" s="216"/>
      <c r="IQ120" s="216"/>
      <c r="IR120" s="216"/>
      <c r="IS120" s="216"/>
      <c r="IT120" s="216"/>
      <c r="IU120" s="216"/>
      <c r="IV120" s="216"/>
      <c r="IW120" s="216"/>
      <c r="IX120" s="216"/>
      <c r="IY120" s="216"/>
      <c r="IZ120" s="216"/>
      <c r="JA120" s="216"/>
      <c r="JB120" s="216"/>
      <c r="JC120" s="216"/>
      <c r="JD120" s="216"/>
      <c r="JE120" s="216"/>
      <c r="JF120" s="216"/>
      <c r="JG120" s="216"/>
      <c r="JH120" s="216"/>
      <c r="JI120" s="216"/>
      <c r="JJ120" s="216"/>
      <c r="JK120" s="216"/>
      <c r="JL120" s="216"/>
      <c r="JM120" s="216"/>
      <c r="JN120" s="216"/>
      <c r="JO120" s="216"/>
      <c r="JP120" s="216"/>
      <c r="JQ120" s="216"/>
      <c r="JR120" s="216"/>
      <c r="JS120" s="216"/>
      <c r="JT120" s="216"/>
      <c r="JU120" s="216"/>
      <c r="JV120" s="216"/>
      <c r="JW120" s="216"/>
      <c r="JX120" s="216"/>
      <c r="JY120" s="216"/>
      <c r="JZ120" s="216"/>
      <c r="KA120" s="216"/>
      <c r="KB120" s="216"/>
      <c r="KC120" s="216"/>
      <c r="KD120" s="216"/>
      <c r="KE120" s="216"/>
      <c r="KF120" s="216"/>
      <c r="KG120" s="216"/>
      <c r="KH120" s="216"/>
      <c r="KI120" s="216"/>
      <c r="KJ120" s="216"/>
      <c r="KK120" s="216"/>
      <c r="KL120" s="216"/>
      <c r="KM120" s="216"/>
      <c r="KN120" s="216"/>
      <c r="KO120" s="216"/>
      <c r="KP120" s="216"/>
      <c r="KQ120" s="216"/>
      <c r="KR120" s="216"/>
      <c r="KS120" s="216"/>
      <c r="KT120" s="216"/>
      <c r="KU120" s="216"/>
      <c r="KV120" s="216"/>
      <c r="KW120" s="216"/>
      <c r="KX120" s="216"/>
      <c r="KY120" s="216"/>
      <c r="KZ120" s="216"/>
      <c r="LA120" s="216"/>
      <c r="LB120" s="216"/>
      <c r="LC120" s="216"/>
      <c r="LD120" s="216"/>
      <c r="LE120" s="216"/>
    </row>
    <row r="121" spans="1:317" x14ac:dyDescent="0.2">
      <c r="A121" s="179" t="s">
        <v>849</v>
      </c>
      <c r="B121" s="180" t="s">
        <v>1020</v>
      </c>
      <c r="C121" s="181"/>
      <c r="D121" s="182">
        <v>0</v>
      </c>
      <c r="E121" s="182">
        <v>0</v>
      </c>
      <c r="F121" s="183" t="s">
        <v>1296</v>
      </c>
      <c r="G121" s="183">
        <v>0</v>
      </c>
      <c r="H121" s="183">
        <v>0</v>
      </c>
      <c r="I121" s="183">
        <v>0</v>
      </c>
      <c r="J121" s="183">
        <v>0</v>
      </c>
      <c r="K121" s="183" t="s">
        <v>1392</v>
      </c>
      <c r="L121" s="183">
        <v>0</v>
      </c>
      <c r="M121" s="183">
        <v>0</v>
      </c>
      <c r="N121" s="183" t="s">
        <v>872</v>
      </c>
      <c r="O121" s="183">
        <v>0</v>
      </c>
      <c r="P121" s="183">
        <v>0</v>
      </c>
      <c r="Q121" s="183"/>
      <c r="R121" s="183"/>
      <c r="S121" s="183"/>
      <c r="T121" s="183"/>
      <c r="U121" s="183"/>
      <c r="V121" s="183">
        <v>0</v>
      </c>
      <c r="W121" s="183">
        <v>0</v>
      </c>
      <c r="X121" s="183">
        <v>0</v>
      </c>
      <c r="Y121" s="184">
        <v>0</v>
      </c>
      <c r="Z121" s="184">
        <v>0</v>
      </c>
      <c r="AA121" s="184">
        <v>0</v>
      </c>
      <c r="AB121" s="185" t="s">
        <v>615</v>
      </c>
      <c r="AC121" s="185" t="s">
        <v>615</v>
      </c>
      <c r="AD121" s="186" t="s">
        <v>872</v>
      </c>
      <c r="AE121" s="186" t="s">
        <v>852</v>
      </c>
      <c r="AF121" s="187">
        <v>7</v>
      </c>
      <c r="AG121" s="187">
        <v>3</v>
      </c>
      <c r="AH121" s="187">
        <v>4</v>
      </c>
      <c r="AI121" s="188">
        <v>1</v>
      </c>
      <c r="AJ121" s="188" t="s">
        <v>615</v>
      </c>
      <c r="AK121" s="187" t="s">
        <v>1736</v>
      </c>
      <c r="AL121" s="87" t="s">
        <v>615</v>
      </c>
      <c r="AM121" s="189"/>
      <c r="AN121" s="187" t="s">
        <v>615</v>
      </c>
      <c r="AO121" s="13" t="s">
        <v>615</v>
      </c>
      <c r="AP121" s="187">
        <v>0</v>
      </c>
      <c r="AQ121" s="187">
        <v>0</v>
      </c>
      <c r="AR121" s="190">
        <v>0</v>
      </c>
      <c r="AS121" s="190">
        <v>0</v>
      </c>
      <c r="AT121" s="190">
        <v>0</v>
      </c>
      <c r="AU121" s="187">
        <v>0</v>
      </c>
      <c r="AV121" s="187">
        <v>0</v>
      </c>
      <c r="AW121" s="191"/>
      <c r="AX121" s="192"/>
      <c r="AY121" s="193">
        <v>42666</v>
      </c>
      <c r="AZ121" s="193"/>
      <c r="BA121" s="193"/>
      <c r="BB121" s="194"/>
      <c r="BC121" s="194"/>
      <c r="BD121" s="195"/>
      <c r="BE121" s="195" t="s">
        <v>532</v>
      </c>
      <c r="BF121" s="195"/>
      <c r="BG121" s="195">
        <v>4</v>
      </c>
      <c r="BH121" s="196" t="s">
        <v>547</v>
      </c>
      <c r="BI121" s="197">
        <v>1</v>
      </c>
      <c r="BJ121" s="198"/>
      <c r="BK121" s="199">
        <v>0</v>
      </c>
      <c r="BL121" s="13">
        <v>0</v>
      </c>
      <c r="BM121" s="13">
        <v>0</v>
      </c>
      <c r="BN121" s="13" t="s">
        <v>616</v>
      </c>
      <c r="BO121" s="13" t="s">
        <v>616</v>
      </c>
      <c r="BP121" s="200">
        <v>4</v>
      </c>
      <c r="BQ121" s="201"/>
      <c r="BR121" s="202"/>
      <c r="BS121" s="187">
        <v>1000000000</v>
      </c>
      <c r="BT121" s="203">
        <v>0</v>
      </c>
      <c r="BU121" s="204">
        <v>0</v>
      </c>
      <c r="BV121" s="203">
        <v>0</v>
      </c>
      <c r="BW121" s="205">
        <v>0</v>
      </c>
      <c r="BX121" s="205">
        <v>0</v>
      </c>
      <c r="BY121" s="205">
        <v>0</v>
      </c>
      <c r="BZ121" s="203">
        <v>0</v>
      </c>
      <c r="CA121" s="203">
        <v>0</v>
      </c>
      <c r="CB121" s="203">
        <v>0</v>
      </c>
      <c r="CC121" s="204">
        <v>0</v>
      </c>
      <c r="CD121" s="203">
        <v>0</v>
      </c>
      <c r="CE121" s="203">
        <v>0</v>
      </c>
      <c r="CF121" s="13">
        <v>0</v>
      </c>
      <c r="CG121" s="206">
        <v>0</v>
      </c>
      <c r="CH121" s="207">
        <v>0</v>
      </c>
      <c r="CI121" s="201"/>
      <c r="CJ121" s="208"/>
      <c r="CK121" s="209" t="s">
        <v>615</v>
      </c>
      <c r="CL121" s="210" t="s">
        <v>615</v>
      </c>
      <c r="CM121" s="207">
        <v>0</v>
      </c>
      <c r="CN121" s="207">
        <v>0</v>
      </c>
      <c r="CO121" s="204">
        <v>0</v>
      </c>
      <c r="CP121" s="204">
        <v>0</v>
      </c>
      <c r="CQ121" s="211"/>
      <c r="CR121" s="204">
        <v>1</v>
      </c>
      <c r="CS121" s="212">
        <v>42531</v>
      </c>
      <c r="CT121" s="212">
        <v>42780</v>
      </c>
      <c r="CU121" s="213">
        <v>42780</v>
      </c>
      <c r="CV121" s="214">
        <v>42829</v>
      </c>
      <c r="CW121" s="214" t="s">
        <v>615</v>
      </c>
      <c r="CX121" s="214" t="s">
        <v>615</v>
      </c>
      <c r="CY121" s="204">
        <v>1</v>
      </c>
      <c r="CZ121" s="204">
        <v>0.97959183673469385</v>
      </c>
      <c r="DA121" s="203">
        <v>0</v>
      </c>
      <c r="DB121" s="204">
        <v>0.97959183673469385</v>
      </c>
      <c r="DC121" s="204">
        <v>0</v>
      </c>
      <c r="DD121" s="204">
        <v>0</v>
      </c>
      <c r="DE121" s="204">
        <v>0</v>
      </c>
      <c r="DF121" s="215">
        <v>0</v>
      </c>
      <c r="DG121" s="13" t="s">
        <v>615</v>
      </c>
      <c r="DH121" s="86">
        <v>119</v>
      </c>
      <c r="DI121" s="86"/>
      <c r="DJ121" s="86">
        <v>10</v>
      </c>
      <c r="DK121" s="86" t="s">
        <v>1521</v>
      </c>
      <c r="DL121" s="86" t="e">
        <v>#N/A</v>
      </c>
      <c r="DM121" s="86" t="e">
        <v>#N/A</v>
      </c>
      <c r="DN121" s="86" t="e">
        <v>#N/A</v>
      </c>
      <c r="DO121" s="86">
        <v>11</v>
      </c>
      <c r="DP121" s="86">
        <v>2</v>
      </c>
      <c r="DQ121" s="86">
        <v>49</v>
      </c>
      <c r="DR121" s="146">
        <v>0</v>
      </c>
      <c r="DS121" s="146">
        <v>0</v>
      </c>
      <c r="DT121" s="146">
        <v>0</v>
      </c>
      <c r="DU121" s="146">
        <v>0</v>
      </c>
      <c r="DV121" s="146">
        <v>0</v>
      </c>
      <c r="DW121" s="146">
        <v>0</v>
      </c>
      <c r="DX121" s="146">
        <v>0</v>
      </c>
      <c r="DY121" s="146">
        <v>0</v>
      </c>
      <c r="DZ121" s="146">
        <v>0</v>
      </c>
      <c r="EA121" s="146">
        <v>0</v>
      </c>
      <c r="EB121" s="146">
        <v>0</v>
      </c>
      <c r="EC121" s="146">
        <v>0</v>
      </c>
      <c r="ED121" s="146">
        <v>0</v>
      </c>
      <c r="EE121" s="146">
        <v>0</v>
      </c>
      <c r="EF121" s="146">
        <v>0</v>
      </c>
      <c r="EG121" s="146">
        <v>0</v>
      </c>
      <c r="EH121" s="146">
        <v>0</v>
      </c>
      <c r="EI121" s="146">
        <v>0</v>
      </c>
      <c r="EJ121" s="146">
        <v>0</v>
      </c>
      <c r="EK121" s="146">
        <v>0</v>
      </c>
      <c r="EL121" s="146">
        <v>0</v>
      </c>
      <c r="EM121" s="146">
        <v>0</v>
      </c>
      <c r="EN121" s="146">
        <v>0</v>
      </c>
      <c r="EO121" s="146">
        <v>0</v>
      </c>
      <c r="EP121" s="146">
        <v>0</v>
      </c>
      <c r="EQ121" s="146">
        <v>0</v>
      </c>
      <c r="ER121" s="146">
        <v>0</v>
      </c>
      <c r="ES121" s="146">
        <v>0</v>
      </c>
      <c r="ET121" s="146">
        <v>0</v>
      </c>
      <c r="EU121" s="146">
        <v>0</v>
      </c>
      <c r="EV121" s="146">
        <v>0</v>
      </c>
      <c r="EW121" s="146">
        <v>0</v>
      </c>
      <c r="EX121" s="146">
        <v>0</v>
      </c>
      <c r="EY121" s="146">
        <v>0</v>
      </c>
      <c r="EZ121" s="146">
        <v>0</v>
      </c>
      <c r="FA121" s="146">
        <v>0</v>
      </c>
      <c r="FB121" s="146">
        <v>0</v>
      </c>
      <c r="FC121" s="146">
        <v>0</v>
      </c>
      <c r="FD121" s="146">
        <v>0</v>
      </c>
      <c r="FE121" s="146">
        <v>0</v>
      </c>
      <c r="FF121" s="146">
        <v>0</v>
      </c>
      <c r="FG121" s="146">
        <v>0</v>
      </c>
      <c r="FH121" s="146">
        <v>0</v>
      </c>
      <c r="FI121" s="146">
        <v>0</v>
      </c>
      <c r="FJ121" s="146">
        <v>0</v>
      </c>
      <c r="FK121" s="146">
        <v>0</v>
      </c>
      <c r="FL121" s="146">
        <v>0</v>
      </c>
      <c r="FM121" s="146">
        <v>0</v>
      </c>
      <c r="FN121" s="146">
        <v>0</v>
      </c>
      <c r="FO121" s="146">
        <v>0</v>
      </c>
      <c r="FP121" s="146">
        <v>0</v>
      </c>
      <c r="FQ121" s="146">
        <v>0</v>
      </c>
      <c r="FR121" s="146">
        <v>0</v>
      </c>
      <c r="FS121" s="160">
        <v>0</v>
      </c>
      <c r="FT121" s="160">
        <v>0</v>
      </c>
      <c r="FU121" s="160">
        <v>0</v>
      </c>
      <c r="FV121" s="160">
        <v>0</v>
      </c>
      <c r="FW121" s="160">
        <v>0</v>
      </c>
      <c r="FX121" s="160">
        <v>0</v>
      </c>
      <c r="FY121" s="160">
        <v>0</v>
      </c>
      <c r="FZ121" s="160">
        <v>0</v>
      </c>
      <c r="GA121" s="160">
        <v>0</v>
      </c>
      <c r="GB121" s="160">
        <v>0</v>
      </c>
      <c r="GC121" s="160">
        <v>0</v>
      </c>
      <c r="GD121" s="160">
        <v>0</v>
      </c>
      <c r="GE121" s="160">
        <v>0</v>
      </c>
      <c r="GF121" s="160">
        <v>0</v>
      </c>
      <c r="GG121" s="160">
        <v>0</v>
      </c>
      <c r="GH121" s="160">
        <v>0</v>
      </c>
      <c r="GI121" s="160">
        <v>0</v>
      </c>
      <c r="GJ121" s="160">
        <v>0</v>
      </c>
      <c r="GK121" s="160">
        <v>0</v>
      </c>
      <c r="GL121" s="160">
        <v>0</v>
      </c>
      <c r="GM121" s="160">
        <v>0</v>
      </c>
      <c r="GN121" s="160">
        <v>0</v>
      </c>
      <c r="GO121" s="160">
        <v>0</v>
      </c>
      <c r="GP121" s="160">
        <v>0</v>
      </c>
      <c r="GQ121" s="160">
        <v>0</v>
      </c>
      <c r="GR121" s="160">
        <v>0</v>
      </c>
      <c r="GS121" s="160">
        <v>0</v>
      </c>
      <c r="GT121" s="160">
        <v>0</v>
      </c>
      <c r="GU121" s="160">
        <v>0</v>
      </c>
      <c r="GV121" s="160">
        <v>0</v>
      </c>
      <c r="GW121" s="160">
        <v>0</v>
      </c>
      <c r="GX121" s="160">
        <v>0</v>
      </c>
      <c r="GY121" s="160">
        <v>0</v>
      </c>
      <c r="GZ121" s="160">
        <v>0</v>
      </c>
      <c r="HA121" s="160">
        <v>0</v>
      </c>
      <c r="HB121" s="160">
        <v>0</v>
      </c>
      <c r="HC121" s="160">
        <v>0</v>
      </c>
      <c r="HD121" s="160">
        <v>0</v>
      </c>
      <c r="HE121" s="160">
        <v>0</v>
      </c>
      <c r="HF121" s="160">
        <v>0</v>
      </c>
      <c r="HG121" s="160">
        <v>0</v>
      </c>
      <c r="HH121" s="146">
        <v>0</v>
      </c>
      <c r="HI121" s="146">
        <v>0</v>
      </c>
      <c r="HJ121" s="146">
        <v>0</v>
      </c>
      <c r="HK121" s="146">
        <v>0</v>
      </c>
      <c r="HL121" s="146">
        <v>0</v>
      </c>
      <c r="HM121" s="146">
        <v>0</v>
      </c>
      <c r="HN121" s="146">
        <v>0</v>
      </c>
      <c r="HO121" s="146">
        <v>0</v>
      </c>
      <c r="HP121" s="146">
        <v>0</v>
      </c>
      <c r="HQ121" s="146">
        <v>0</v>
      </c>
      <c r="HR121" s="146">
        <v>0</v>
      </c>
      <c r="HS121" s="146">
        <v>0</v>
      </c>
      <c r="HT121" s="146">
        <v>0</v>
      </c>
      <c r="HU121" s="151"/>
      <c r="HV121" s="146">
        <v>0</v>
      </c>
      <c r="HW121" s="151"/>
      <c r="HX121" s="151"/>
      <c r="HY121" s="151"/>
      <c r="HZ121" s="151"/>
      <c r="IA121" s="151"/>
      <c r="IB121" s="151"/>
      <c r="IC121" s="151"/>
      <c r="ID121" s="151"/>
      <c r="IE121" s="151"/>
      <c r="IF121" s="151"/>
      <c r="IG121" s="151"/>
      <c r="IH121" s="151"/>
      <c r="II121" s="151"/>
      <c r="IJ121" s="151"/>
      <c r="IK121" s="151"/>
      <c r="IL121" s="151"/>
      <c r="IM121" s="151"/>
      <c r="IN121" s="151"/>
      <c r="IO121" s="151"/>
      <c r="IP121" s="151"/>
      <c r="IQ121" s="151"/>
      <c r="IR121" s="151"/>
      <c r="IS121" s="151"/>
      <c r="IT121" s="151"/>
      <c r="IU121" s="151"/>
      <c r="IV121" s="151"/>
      <c r="IW121" s="151"/>
      <c r="IX121" s="151"/>
      <c r="IY121" s="151"/>
      <c r="IZ121" s="151"/>
      <c r="JA121" s="151"/>
      <c r="JB121" s="151"/>
      <c r="JC121" s="151"/>
      <c r="JD121" s="151"/>
      <c r="JE121" s="151"/>
      <c r="JF121" s="151"/>
      <c r="JG121" s="151"/>
      <c r="JH121" s="151"/>
      <c r="JI121" s="151"/>
      <c r="JJ121" s="151"/>
      <c r="JK121" s="151"/>
      <c r="JL121" s="151"/>
      <c r="JM121" s="151"/>
      <c r="JN121" s="151"/>
      <c r="JO121" s="151"/>
      <c r="JP121" s="151"/>
      <c r="JQ121" s="151"/>
      <c r="JR121" s="151"/>
      <c r="JS121" s="151"/>
      <c r="JT121" s="151"/>
      <c r="JU121" s="151"/>
      <c r="JV121" s="151"/>
      <c r="JW121" s="151"/>
      <c r="JX121" s="151"/>
      <c r="JY121" s="151"/>
      <c r="JZ121" s="151"/>
      <c r="KA121" s="151"/>
      <c r="KB121" s="151"/>
      <c r="KC121" s="151"/>
      <c r="KD121" s="151"/>
      <c r="KE121" s="151"/>
      <c r="KF121" s="151"/>
      <c r="KG121" s="151"/>
      <c r="KH121" s="151"/>
      <c r="KI121" s="151"/>
      <c r="KJ121" s="151"/>
      <c r="KK121" s="151"/>
      <c r="KL121" s="151"/>
      <c r="KM121" s="151"/>
      <c r="KN121" s="151"/>
      <c r="KO121" s="151"/>
      <c r="KP121" s="151"/>
      <c r="KQ121" s="151"/>
      <c r="KR121" s="151"/>
      <c r="KS121" s="151"/>
      <c r="KT121" s="151"/>
      <c r="KU121" s="151"/>
      <c r="KV121" s="151"/>
      <c r="KW121" s="151"/>
      <c r="KX121" s="151"/>
      <c r="KY121" s="151"/>
      <c r="KZ121" s="151"/>
      <c r="LA121" s="151"/>
      <c r="LB121" s="151"/>
      <c r="LC121" s="151"/>
      <c r="LD121" s="151"/>
      <c r="LE121" s="151"/>
    </row>
    <row r="122" spans="1:317" x14ac:dyDescent="0.2">
      <c r="A122" s="179" t="s">
        <v>849</v>
      </c>
      <c r="B122" s="180" t="s">
        <v>1021</v>
      </c>
      <c r="C122" s="181"/>
      <c r="D122" s="182">
        <v>0</v>
      </c>
      <c r="E122" s="182">
        <v>0</v>
      </c>
      <c r="F122" s="183" t="s">
        <v>1297</v>
      </c>
      <c r="G122" s="183">
        <v>0</v>
      </c>
      <c r="H122" s="183">
        <v>0</v>
      </c>
      <c r="I122" s="183">
        <v>0</v>
      </c>
      <c r="J122" s="183">
        <v>0</v>
      </c>
      <c r="K122" s="183" t="s">
        <v>1391</v>
      </c>
      <c r="L122" s="183">
        <v>0</v>
      </c>
      <c r="M122" s="183">
        <v>0</v>
      </c>
      <c r="N122" s="183" t="s">
        <v>872</v>
      </c>
      <c r="O122" s="183">
        <v>0</v>
      </c>
      <c r="P122" s="183">
        <v>0</v>
      </c>
      <c r="Q122" s="183"/>
      <c r="R122" s="183"/>
      <c r="S122" s="183"/>
      <c r="T122" s="183"/>
      <c r="U122" s="183"/>
      <c r="V122" s="183">
        <v>0</v>
      </c>
      <c r="W122" s="183">
        <v>0</v>
      </c>
      <c r="X122" s="183">
        <v>0</v>
      </c>
      <c r="Y122" s="184">
        <v>31.76</v>
      </c>
      <c r="Z122" s="184">
        <v>0</v>
      </c>
      <c r="AA122" s="184">
        <v>0</v>
      </c>
      <c r="AB122" s="185" t="s">
        <v>615</v>
      </c>
      <c r="AC122" s="185" t="s">
        <v>615</v>
      </c>
      <c r="AD122" s="186" t="s">
        <v>872</v>
      </c>
      <c r="AE122" s="186" t="s">
        <v>852</v>
      </c>
      <c r="AF122" s="187">
        <v>7</v>
      </c>
      <c r="AG122" s="187">
        <v>3</v>
      </c>
      <c r="AH122" s="187">
        <v>4</v>
      </c>
      <c r="AI122" s="188">
        <v>1</v>
      </c>
      <c r="AJ122" s="188" t="s">
        <v>615</v>
      </c>
      <c r="AK122" s="187" t="s">
        <v>1736</v>
      </c>
      <c r="AL122" s="87" t="s">
        <v>615</v>
      </c>
      <c r="AM122" s="189"/>
      <c r="AN122" s="187" t="s">
        <v>615</v>
      </c>
      <c r="AO122" s="13" t="s">
        <v>615</v>
      </c>
      <c r="AP122" s="187">
        <v>0</v>
      </c>
      <c r="AQ122" s="187">
        <v>0</v>
      </c>
      <c r="AR122" s="190">
        <v>0</v>
      </c>
      <c r="AS122" s="190">
        <v>0</v>
      </c>
      <c r="AT122" s="190">
        <v>0</v>
      </c>
      <c r="AU122" s="187">
        <v>0</v>
      </c>
      <c r="AV122" s="187">
        <v>0</v>
      </c>
      <c r="AW122" s="191"/>
      <c r="AX122" s="192"/>
      <c r="AY122" s="193">
        <v>42845</v>
      </c>
      <c r="AZ122" s="193"/>
      <c r="BA122" s="193"/>
      <c r="BB122" s="194"/>
      <c r="BC122" s="194"/>
      <c r="BD122" s="195"/>
      <c r="BE122" s="195" t="s">
        <v>532</v>
      </c>
      <c r="BF122" s="195"/>
      <c r="BG122" s="195">
        <v>4</v>
      </c>
      <c r="BH122" s="196" t="s">
        <v>547</v>
      </c>
      <c r="BI122" s="197">
        <v>1</v>
      </c>
      <c r="BJ122" s="198"/>
      <c r="BK122" s="199">
        <v>4</v>
      </c>
      <c r="BL122" s="13">
        <v>3</v>
      </c>
      <c r="BM122" s="13">
        <v>1</v>
      </c>
      <c r="BN122" s="13" t="s">
        <v>620</v>
      </c>
      <c r="BO122" s="13" t="s">
        <v>620</v>
      </c>
      <c r="BP122" s="200">
        <v>0</v>
      </c>
      <c r="BQ122" s="201"/>
      <c r="BR122" s="202"/>
      <c r="BS122" s="187">
        <v>1000000000</v>
      </c>
      <c r="BT122" s="203">
        <v>6</v>
      </c>
      <c r="BU122" s="204">
        <v>-0.5</v>
      </c>
      <c r="BV122" s="203">
        <v>0</v>
      </c>
      <c r="BW122" s="205">
        <v>0</v>
      </c>
      <c r="BX122" s="205">
        <v>0</v>
      </c>
      <c r="BY122" s="205">
        <v>0</v>
      </c>
      <c r="BZ122" s="203">
        <v>0</v>
      </c>
      <c r="CA122" s="203">
        <v>0</v>
      </c>
      <c r="CB122" s="203">
        <v>6</v>
      </c>
      <c r="CC122" s="204">
        <v>-0.5</v>
      </c>
      <c r="CD122" s="203">
        <v>0</v>
      </c>
      <c r="CE122" s="203">
        <v>0</v>
      </c>
      <c r="CF122" s="13">
        <v>0</v>
      </c>
      <c r="CG122" s="206">
        <v>0</v>
      </c>
      <c r="CH122" s="207">
        <v>2</v>
      </c>
      <c r="CI122" s="201"/>
      <c r="CJ122" s="208"/>
      <c r="CK122" s="209" t="s">
        <v>615</v>
      </c>
      <c r="CL122" s="210" t="s">
        <v>615</v>
      </c>
      <c r="CM122" s="207">
        <v>0</v>
      </c>
      <c r="CN122" s="207">
        <v>63.52</v>
      </c>
      <c r="CO122" s="204">
        <v>0</v>
      </c>
      <c r="CP122" s="204">
        <v>-6.8571428571428568</v>
      </c>
      <c r="CQ122" s="211"/>
      <c r="CR122" s="204">
        <v>1</v>
      </c>
      <c r="CS122" s="212">
        <v>42531</v>
      </c>
      <c r="CT122" s="212">
        <v>42780</v>
      </c>
      <c r="CU122" s="213">
        <v>42780</v>
      </c>
      <c r="CV122" s="214">
        <v>42829</v>
      </c>
      <c r="CW122" s="214" t="s">
        <v>615</v>
      </c>
      <c r="CX122" s="214" t="s">
        <v>615</v>
      </c>
      <c r="CY122" s="204">
        <v>2.9021451955467136E-2</v>
      </c>
      <c r="CZ122" s="204">
        <v>0.97959183673469385</v>
      </c>
      <c r="DA122" s="203">
        <v>0</v>
      </c>
      <c r="DB122" s="204">
        <v>0</v>
      </c>
      <c r="DC122" s="204">
        <v>0</v>
      </c>
      <c r="DD122" s="204">
        <v>0</v>
      </c>
      <c r="DE122" s="204">
        <v>0</v>
      </c>
      <c r="DF122" s="215">
        <v>0.97959183673469385</v>
      </c>
      <c r="DG122" s="13" t="s">
        <v>615</v>
      </c>
      <c r="DH122" s="86">
        <v>120</v>
      </c>
      <c r="DI122" s="86"/>
      <c r="DJ122" s="86">
        <v>9</v>
      </c>
      <c r="DK122" s="86" t="s">
        <v>1466</v>
      </c>
      <c r="DL122" s="86" t="e">
        <v>#N/A</v>
      </c>
      <c r="DM122" s="86">
        <v>7</v>
      </c>
      <c r="DN122" s="86" t="e">
        <v>#N/A</v>
      </c>
      <c r="DO122" s="86">
        <v>10</v>
      </c>
      <c r="DP122" s="86">
        <v>2</v>
      </c>
      <c r="DQ122" s="86">
        <v>49</v>
      </c>
      <c r="DR122" s="152">
        <v>7</v>
      </c>
      <c r="DS122" s="152">
        <v>7</v>
      </c>
      <c r="DT122" s="152">
        <v>7</v>
      </c>
      <c r="DU122" s="152">
        <v>7</v>
      </c>
      <c r="DV122" s="152">
        <v>7</v>
      </c>
      <c r="DW122" s="152">
        <v>7</v>
      </c>
      <c r="DX122" s="152">
        <v>7</v>
      </c>
      <c r="DY122" s="152">
        <v>6</v>
      </c>
      <c r="DZ122" s="152">
        <v>6</v>
      </c>
      <c r="EA122" s="152">
        <v>6</v>
      </c>
      <c r="EB122" s="152">
        <v>6</v>
      </c>
      <c r="EC122" s="152">
        <v>6</v>
      </c>
      <c r="ED122" s="152">
        <v>6</v>
      </c>
      <c r="EE122" s="152">
        <v>6</v>
      </c>
      <c r="EF122" s="152">
        <v>6</v>
      </c>
      <c r="EG122" s="152">
        <v>6</v>
      </c>
      <c r="EH122" s="152">
        <v>6</v>
      </c>
      <c r="EI122" s="152">
        <v>6</v>
      </c>
      <c r="EJ122" s="152">
        <v>6</v>
      </c>
      <c r="EK122" s="152">
        <v>6</v>
      </c>
      <c r="EL122" s="152">
        <v>6</v>
      </c>
      <c r="EM122" s="152">
        <v>6</v>
      </c>
      <c r="EN122" s="152">
        <v>6</v>
      </c>
      <c r="EO122" s="152">
        <v>6</v>
      </c>
      <c r="EP122" s="152">
        <v>6</v>
      </c>
      <c r="EQ122" s="152">
        <v>6</v>
      </c>
      <c r="ER122" s="152">
        <v>6</v>
      </c>
      <c r="ES122" s="152">
        <v>6</v>
      </c>
      <c r="ET122" s="152">
        <v>6</v>
      </c>
      <c r="EU122" s="152">
        <v>6</v>
      </c>
      <c r="EV122" s="152">
        <v>6</v>
      </c>
      <c r="EW122" s="152">
        <v>6</v>
      </c>
      <c r="EX122" s="152">
        <v>6</v>
      </c>
      <c r="EY122" s="152">
        <v>6</v>
      </c>
      <c r="EZ122" s="152">
        <v>6</v>
      </c>
      <c r="FA122" s="152">
        <v>6</v>
      </c>
      <c r="FB122" s="152">
        <v>6</v>
      </c>
      <c r="FC122" s="152">
        <v>6</v>
      </c>
      <c r="FD122" s="152">
        <v>6</v>
      </c>
      <c r="FE122" s="152">
        <v>6</v>
      </c>
      <c r="FF122" s="152">
        <v>6</v>
      </c>
      <c r="FG122" s="152">
        <v>6</v>
      </c>
      <c r="FH122" s="152">
        <v>6</v>
      </c>
      <c r="FI122" s="152">
        <v>6</v>
      </c>
      <c r="FJ122" s="152">
        <v>6</v>
      </c>
      <c r="FK122" s="152">
        <v>6</v>
      </c>
      <c r="FL122" s="152">
        <v>6</v>
      </c>
      <c r="FM122" s="152">
        <v>6</v>
      </c>
      <c r="FN122" s="152">
        <v>7</v>
      </c>
      <c r="FO122" s="152">
        <v>7</v>
      </c>
      <c r="FP122" s="152">
        <v>7</v>
      </c>
      <c r="FQ122" s="152">
        <v>7</v>
      </c>
      <c r="FR122" s="152">
        <v>7</v>
      </c>
      <c r="FS122" s="167">
        <v>7</v>
      </c>
      <c r="FT122" s="167">
        <v>7</v>
      </c>
      <c r="FU122" s="167">
        <v>7</v>
      </c>
      <c r="FV122" s="167">
        <v>7</v>
      </c>
      <c r="FW122" s="167">
        <v>7</v>
      </c>
      <c r="FX122" s="167">
        <v>7</v>
      </c>
      <c r="FY122" s="167">
        <v>7</v>
      </c>
      <c r="FZ122" s="167">
        <v>7</v>
      </c>
      <c r="GA122" s="167">
        <v>7</v>
      </c>
      <c r="GB122" s="167">
        <v>7</v>
      </c>
      <c r="GC122" s="167">
        <v>7</v>
      </c>
      <c r="GD122" s="167">
        <v>7</v>
      </c>
      <c r="GE122" s="167">
        <v>7</v>
      </c>
      <c r="GF122" s="167">
        <v>7</v>
      </c>
      <c r="GG122" s="167">
        <v>7</v>
      </c>
      <c r="GH122" s="167">
        <v>7</v>
      </c>
      <c r="GI122" s="167">
        <v>7</v>
      </c>
      <c r="GJ122" s="167">
        <v>7</v>
      </c>
      <c r="GK122" s="167">
        <v>7</v>
      </c>
      <c r="GL122" s="167">
        <v>7</v>
      </c>
      <c r="GM122" s="167">
        <v>7</v>
      </c>
      <c r="GN122" s="167">
        <v>7</v>
      </c>
      <c r="GO122" s="167">
        <v>7</v>
      </c>
      <c r="GP122" s="167">
        <v>7</v>
      </c>
      <c r="GQ122" s="167">
        <v>7</v>
      </c>
      <c r="GR122" s="167">
        <v>7</v>
      </c>
      <c r="GS122" s="167">
        <v>7</v>
      </c>
      <c r="GT122" s="167">
        <v>7</v>
      </c>
      <c r="GU122" s="167">
        <v>7</v>
      </c>
      <c r="GV122" s="167">
        <v>7</v>
      </c>
      <c r="GW122" s="167">
        <v>7</v>
      </c>
      <c r="GX122" s="167">
        <v>7</v>
      </c>
      <c r="GY122" s="167">
        <v>7</v>
      </c>
      <c r="GZ122" s="167">
        <v>7</v>
      </c>
      <c r="HA122" s="167">
        <v>7</v>
      </c>
      <c r="HB122" s="167">
        <v>7</v>
      </c>
      <c r="HC122" s="167">
        <v>7</v>
      </c>
      <c r="HD122" s="167">
        <v>7</v>
      </c>
      <c r="HE122" s="167">
        <v>7</v>
      </c>
      <c r="HF122" s="167">
        <v>7</v>
      </c>
      <c r="HG122" s="167">
        <v>7</v>
      </c>
      <c r="HH122" s="167">
        <v>7</v>
      </c>
      <c r="HI122" s="167">
        <v>7</v>
      </c>
      <c r="HJ122" s="167">
        <v>7</v>
      </c>
      <c r="HK122" s="167">
        <v>7</v>
      </c>
      <c r="HL122" s="167">
        <v>7</v>
      </c>
      <c r="HM122" s="167">
        <v>7</v>
      </c>
      <c r="HN122" s="167">
        <v>7</v>
      </c>
      <c r="HO122" s="167">
        <v>7</v>
      </c>
      <c r="HP122" s="167">
        <v>7</v>
      </c>
      <c r="HQ122" s="167">
        <v>7</v>
      </c>
      <c r="HR122" s="167">
        <v>7</v>
      </c>
      <c r="HS122" s="167">
        <v>7</v>
      </c>
      <c r="HT122" s="167">
        <v>6</v>
      </c>
      <c r="HU122" s="216"/>
      <c r="HV122" s="167">
        <v>6</v>
      </c>
      <c r="HW122" s="216"/>
      <c r="HX122" s="216"/>
      <c r="HY122" s="216"/>
      <c r="HZ122" s="216"/>
      <c r="IA122" s="216"/>
      <c r="IB122" s="216"/>
      <c r="IC122" s="216"/>
      <c r="ID122" s="216"/>
      <c r="IE122" s="216"/>
      <c r="IF122" s="216"/>
      <c r="IG122" s="216"/>
      <c r="IH122" s="216"/>
      <c r="II122" s="216"/>
      <c r="IJ122" s="216"/>
      <c r="IK122" s="216"/>
      <c r="IL122" s="216"/>
      <c r="IM122" s="216"/>
      <c r="IN122" s="216"/>
      <c r="IO122" s="216"/>
      <c r="IP122" s="216"/>
      <c r="IQ122" s="216"/>
      <c r="IR122" s="216"/>
      <c r="IS122" s="216"/>
      <c r="IT122" s="216"/>
      <c r="IU122" s="216"/>
      <c r="IV122" s="216"/>
      <c r="IW122" s="216"/>
      <c r="IX122" s="216"/>
      <c r="IY122" s="216"/>
      <c r="IZ122" s="216"/>
      <c r="JA122" s="216"/>
      <c r="JB122" s="216"/>
      <c r="JC122" s="216"/>
      <c r="JD122" s="216"/>
      <c r="JE122" s="216"/>
      <c r="JF122" s="216"/>
      <c r="JG122" s="216"/>
      <c r="JH122" s="216"/>
      <c r="JI122" s="216"/>
      <c r="JJ122" s="216"/>
      <c r="JK122" s="216"/>
      <c r="JL122" s="216"/>
      <c r="JM122" s="216"/>
      <c r="JN122" s="216"/>
      <c r="JO122" s="216"/>
      <c r="JP122" s="216"/>
      <c r="JQ122" s="216"/>
      <c r="JR122" s="216"/>
      <c r="JS122" s="216"/>
      <c r="JT122" s="216"/>
      <c r="JU122" s="216"/>
      <c r="JV122" s="216"/>
      <c r="JW122" s="216"/>
      <c r="JX122" s="216"/>
      <c r="JY122" s="216"/>
      <c r="JZ122" s="216"/>
      <c r="KA122" s="216"/>
      <c r="KB122" s="216"/>
      <c r="KC122" s="216"/>
      <c r="KD122" s="216"/>
      <c r="KE122" s="216"/>
      <c r="KF122" s="216"/>
      <c r="KG122" s="216"/>
      <c r="KH122" s="216"/>
      <c r="KI122" s="216"/>
      <c r="KJ122" s="216"/>
      <c r="KK122" s="216"/>
      <c r="KL122" s="216"/>
      <c r="KM122" s="216"/>
      <c r="KN122" s="216"/>
      <c r="KO122" s="216"/>
      <c r="KP122" s="216"/>
      <c r="KQ122" s="216"/>
      <c r="KR122" s="216"/>
      <c r="KS122" s="216"/>
      <c r="KT122" s="216"/>
      <c r="KU122" s="216"/>
      <c r="KV122" s="216"/>
      <c r="KW122" s="216"/>
      <c r="KX122" s="216"/>
      <c r="KY122" s="216"/>
      <c r="KZ122" s="216"/>
      <c r="LA122" s="216"/>
      <c r="LB122" s="216"/>
      <c r="LC122" s="216"/>
      <c r="LD122" s="216"/>
      <c r="LE122" s="216"/>
    </row>
    <row r="123" spans="1:317" x14ac:dyDescent="0.2">
      <c r="A123" s="179" t="s">
        <v>849</v>
      </c>
      <c r="B123" s="180" t="s">
        <v>1022</v>
      </c>
      <c r="C123" s="181"/>
      <c r="D123" s="182">
        <v>0</v>
      </c>
      <c r="E123" s="182">
        <v>0</v>
      </c>
      <c r="F123" s="183" t="s">
        <v>1298</v>
      </c>
      <c r="G123" s="183">
        <v>0</v>
      </c>
      <c r="H123" s="183">
        <v>0</v>
      </c>
      <c r="I123" s="183">
        <v>0</v>
      </c>
      <c r="J123" s="183">
        <v>0</v>
      </c>
      <c r="K123" s="183" t="s">
        <v>1393</v>
      </c>
      <c r="L123" s="183">
        <v>0</v>
      </c>
      <c r="M123" s="183">
        <v>0</v>
      </c>
      <c r="N123" s="183" t="s">
        <v>872</v>
      </c>
      <c r="O123" s="183">
        <v>0</v>
      </c>
      <c r="P123" s="183">
        <v>0</v>
      </c>
      <c r="Q123" s="183"/>
      <c r="R123" s="183"/>
      <c r="S123" s="183"/>
      <c r="T123" s="183"/>
      <c r="U123" s="183"/>
      <c r="V123" s="183">
        <v>0</v>
      </c>
      <c r="W123" s="183">
        <v>0</v>
      </c>
      <c r="X123" s="183">
        <v>0</v>
      </c>
      <c r="Y123" s="184">
        <v>36.840000000000003</v>
      </c>
      <c r="Z123" s="184">
        <v>76.91</v>
      </c>
      <c r="AA123" s="184">
        <v>0</v>
      </c>
      <c r="AB123" s="185" t="s">
        <v>615</v>
      </c>
      <c r="AC123" s="185" t="s">
        <v>615</v>
      </c>
      <c r="AD123" s="186" t="s">
        <v>872</v>
      </c>
      <c r="AE123" s="186" t="s">
        <v>852</v>
      </c>
      <c r="AF123" s="187">
        <v>7</v>
      </c>
      <c r="AG123" s="187">
        <v>3</v>
      </c>
      <c r="AH123" s="187">
        <v>4</v>
      </c>
      <c r="AI123" s="188">
        <v>1</v>
      </c>
      <c r="AJ123" s="188" t="s">
        <v>615</v>
      </c>
      <c r="AK123" s="187" t="s">
        <v>1737</v>
      </c>
      <c r="AL123" s="87" t="s">
        <v>615</v>
      </c>
      <c r="AM123" s="189"/>
      <c r="AN123" s="187" t="s">
        <v>615</v>
      </c>
      <c r="AO123" s="13" t="s">
        <v>615</v>
      </c>
      <c r="AP123" s="187">
        <v>1.1399999999999999</v>
      </c>
      <c r="AQ123" s="187">
        <v>12</v>
      </c>
      <c r="AR123" s="190">
        <v>0</v>
      </c>
      <c r="AS123" s="190">
        <v>21.92982456140351</v>
      </c>
      <c r="AT123" s="190">
        <v>0</v>
      </c>
      <c r="AU123" s="187">
        <v>0</v>
      </c>
      <c r="AV123" s="187">
        <v>0</v>
      </c>
      <c r="AW123" s="191"/>
      <c r="AX123" s="192"/>
      <c r="AY123" s="193">
        <v>42666</v>
      </c>
      <c r="AZ123" s="193"/>
      <c r="BA123" s="193"/>
      <c r="BB123" s="194"/>
      <c r="BC123" s="194"/>
      <c r="BD123" s="195"/>
      <c r="BE123" s="195" t="s">
        <v>532</v>
      </c>
      <c r="BF123" s="195"/>
      <c r="BG123" s="195">
        <v>4</v>
      </c>
      <c r="BH123" s="196" t="s">
        <v>547</v>
      </c>
      <c r="BI123" s="197">
        <v>1</v>
      </c>
      <c r="BJ123" s="198"/>
      <c r="BK123" s="199">
        <v>0</v>
      </c>
      <c r="BL123" s="13">
        <v>0</v>
      </c>
      <c r="BM123" s="13">
        <v>0</v>
      </c>
      <c r="BN123" s="13" t="s">
        <v>616</v>
      </c>
      <c r="BO123" s="13" t="s">
        <v>616</v>
      </c>
      <c r="BP123" s="200">
        <v>28</v>
      </c>
      <c r="BQ123" s="201"/>
      <c r="BR123" s="202"/>
      <c r="BS123" s="187">
        <v>1000000000</v>
      </c>
      <c r="BT123" s="203">
        <v>100</v>
      </c>
      <c r="BU123" s="204">
        <v>0</v>
      </c>
      <c r="BV123" s="203">
        <v>0</v>
      </c>
      <c r="BW123" s="205">
        <v>0</v>
      </c>
      <c r="BX123" s="205">
        <v>0</v>
      </c>
      <c r="BY123" s="205">
        <v>0</v>
      </c>
      <c r="BZ123" s="203">
        <v>0</v>
      </c>
      <c r="CA123" s="203">
        <v>0</v>
      </c>
      <c r="CB123" s="203">
        <v>100</v>
      </c>
      <c r="CC123" s="204">
        <v>0</v>
      </c>
      <c r="CD123" s="203">
        <v>0</v>
      </c>
      <c r="CE123" s="203">
        <v>0</v>
      </c>
      <c r="CF123" s="13">
        <v>0</v>
      </c>
      <c r="CG123" s="206">
        <v>0</v>
      </c>
      <c r="CH123" s="207">
        <v>0</v>
      </c>
      <c r="CI123" s="201"/>
      <c r="CJ123" s="208"/>
      <c r="CK123" s="209" t="s">
        <v>615</v>
      </c>
      <c r="CL123" s="210" t="s">
        <v>615</v>
      </c>
      <c r="CM123" s="207">
        <v>0</v>
      </c>
      <c r="CN123" s="207">
        <v>0</v>
      </c>
      <c r="CO123" s="204">
        <v>0</v>
      </c>
      <c r="CP123" s="204">
        <v>0</v>
      </c>
      <c r="CQ123" s="211"/>
      <c r="CR123" s="204">
        <v>1</v>
      </c>
      <c r="CS123" s="212">
        <v>42709</v>
      </c>
      <c r="CT123" s="212">
        <v>42780</v>
      </c>
      <c r="CU123" s="213">
        <v>42780</v>
      </c>
      <c r="CV123" s="214">
        <v>42829</v>
      </c>
      <c r="CW123" s="214" t="s">
        <v>615</v>
      </c>
      <c r="CX123" s="214" t="s">
        <v>615</v>
      </c>
      <c r="CY123" s="204">
        <v>0.13985357505597973</v>
      </c>
      <c r="CZ123" s="204">
        <v>0.97959183673469385</v>
      </c>
      <c r="DA123" s="203">
        <v>0</v>
      </c>
      <c r="DB123" s="204">
        <v>0</v>
      </c>
      <c r="DC123" s="204">
        <v>0</v>
      </c>
      <c r="DD123" s="204">
        <v>0</v>
      </c>
      <c r="DE123" s="204">
        <v>0</v>
      </c>
      <c r="DF123" s="215">
        <v>0.97959183673469385</v>
      </c>
      <c r="DG123" s="13" t="s">
        <v>615</v>
      </c>
      <c r="DH123" s="86">
        <v>121</v>
      </c>
      <c r="DI123" s="86"/>
      <c r="DJ123" s="86">
        <v>8</v>
      </c>
      <c r="DK123" s="86" t="s">
        <v>1449</v>
      </c>
      <c r="DL123" s="86">
        <v>5</v>
      </c>
      <c r="DM123" s="86">
        <v>6</v>
      </c>
      <c r="DN123" s="86" t="e">
        <v>#N/A</v>
      </c>
      <c r="DO123" s="86">
        <v>8</v>
      </c>
      <c r="DP123" s="86">
        <v>2</v>
      </c>
      <c r="DQ123" s="86">
        <v>49</v>
      </c>
      <c r="DR123" s="161">
        <v>113</v>
      </c>
      <c r="DS123" s="161">
        <v>113</v>
      </c>
      <c r="DT123" s="161">
        <v>113</v>
      </c>
      <c r="DU123" s="161">
        <v>113</v>
      </c>
      <c r="DV123" s="161">
        <v>113</v>
      </c>
      <c r="DW123" s="161">
        <v>113</v>
      </c>
      <c r="DX123" s="161">
        <v>113</v>
      </c>
      <c r="DY123" s="161">
        <v>113</v>
      </c>
      <c r="DZ123" s="161">
        <v>113</v>
      </c>
      <c r="EA123" s="161">
        <v>113</v>
      </c>
      <c r="EB123" s="161">
        <v>112</v>
      </c>
      <c r="EC123" s="161">
        <v>112</v>
      </c>
      <c r="ED123" s="161">
        <v>112</v>
      </c>
      <c r="EE123" s="161">
        <v>100</v>
      </c>
      <c r="EF123" s="161">
        <v>100</v>
      </c>
      <c r="EG123" s="161">
        <v>100</v>
      </c>
      <c r="EH123" s="161">
        <v>100</v>
      </c>
      <c r="EI123" s="161">
        <v>100</v>
      </c>
      <c r="EJ123" s="161">
        <v>100</v>
      </c>
      <c r="EK123" s="161">
        <v>100</v>
      </c>
      <c r="EL123" s="161">
        <v>100</v>
      </c>
      <c r="EM123" s="161">
        <v>100</v>
      </c>
      <c r="EN123" s="161">
        <v>100</v>
      </c>
      <c r="EO123" s="161">
        <v>100</v>
      </c>
      <c r="EP123" s="161">
        <v>100</v>
      </c>
      <c r="EQ123" s="161">
        <v>100</v>
      </c>
      <c r="ER123" s="161">
        <v>100</v>
      </c>
      <c r="ES123" s="161">
        <v>100</v>
      </c>
      <c r="ET123" s="161">
        <v>100</v>
      </c>
      <c r="EU123" s="161">
        <v>100</v>
      </c>
      <c r="EV123" s="161">
        <v>100</v>
      </c>
      <c r="EW123" s="161">
        <v>100</v>
      </c>
      <c r="EX123" s="161">
        <v>100</v>
      </c>
      <c r="EY123" s="161">
        <v>100</v>
      </c>
      <c r="EZ123" s="161">
        <v>100</v>
      </c>
      <c r="FA123" s="161">
        <v>100</v>
      </c>
      <c r="FB123" s="161">
        <v>100</v>
      </c>
      <c r="FC123" s="161">
        <v>100</v>
      </c>
      <c r="FD123" s="161">
        <v>100</v>
      </c>
      <c r="FE123" s="161">
        <v>100</v>
      </c>
      <c r="FF123" s="161">
        <v>100</v>
      </c>
      <c r="FG123" s="161">
        <v>100</v>
      </c>
      <c r="FH123" s="161">
        <v>100</v>
      </c>
      <c r="FI123" s="161">
        <v>100</v>
      </c>
      <c r="FJ123" s="161">
        <v>100</v>
      </c>
      <c r="FK123" s="161">
        <v>100</v>
      </c>
      <c r="FL123" s="161">
        <v>100</v>
      </c>
      <c r="FM123" s="161">
        <v>100</v>
      </c>
      <c r="FN123" s="161">
        <v>100</v>
      </c>
      <c r="FO123" s="161">
        <v>100</v>
      </c>
      <c r="FP123" s="161">
        <v>100</v>
      </c>
      <c r="FQ123" s="161">
        <v>100</v>
      </c>
      <c r="FR123" s="161">
        <v>100</v>
      </c>
      <c r="FS123" s="161">
        <v>100</v>
      </c>
      <c r="FT123" s="161">
        <v>100</v>
      </c>
      <c r="FU123" s="161">
        <v>100</v>
      </c>
      <c r="FV123" s="161">
        <v>100</v>
      </c>
      <c r="FW123" s="161">
        <v>100</v>
      </c>
      <c r="FX123" s="161">
        <v>100</v>
      </c>
      <c r="FY123" s="161">
        <v>100</v>
      </c>
      <c r="FZ123" s="161">
        <v>100</v>
      </c>
      <c r="GA123" s="161">
        <v>100</v>
      </c>
      <c r="GB123" s="161">
        <v>100</v>
      </c>
      <c r="GC123" s="161">
        <v>100</v>
      </c>
      <c r="GD123" s="161">
        <v>100</v>
      </c>
      <c r="GE123" s="161">
        <v>100</v>
      </c>
      <c r="GF123" s="161">
        <v>100</v>
      </c>
      <c r="GG123" s="161">
        <v>100</v>
      </c>
      <c r="GH123" s="161">
        <v>100</v>
      </c>
      <c r="GI123" s="161">
        <v>100</v>
      </c>
      <c r="GJ123" s="161">
        <v>100</v>
      </c>
      <c r="GK123" s="161">
        <v>100</v>
      </c>
      <c r="GL123" s="161">
        <v>100</v>
      </c>
      <c r="GM123" s="161">
        <v>100</v>
      </c>
      <c r="GN123" s="161">
        <v>100</v>
      </c>
      <c r="GO123" s="161">
        <v>100</v>
      </c>
      <c r="GP123" s="161">
        <v>100</v>
      </c>
      <c r="GQ123" s="161">
        <v>100</v>
      </c>
      <c r="GR123" s="161">
        <v>100</v>
      </c>
      <c r="GS123" s="161">
        <v>100</v>
      </c>
      <c r="GT123" s="161">
        <v>100</v>
      </c>
      <c r="GU123" s="161">
        <v>100</v>
      </c>
      <c r="GV123" s="161">
        <v>92</v>
      </c>
      <c r="GW123" s="161">
        <v>92</v>
      </c>
      <c r="GX123" s="161">
        <v>87</v>
      </c>
      <c r="GY123" s="161">
        <v>87</v>
      </c>
      <c r="GZ123" s="161">
        <v>87</v>
      </c>
      <c r="HA123" s="161">
        <v>87</v>
      </c>
      <c r="HB123" s="161">
        <v>87</v>
      </c>
      <c r="HC123" s="161">
        <v>87</v>
      </c>
      <c r="HD123" s="161">
        <v>87</v>
      </c>
      <c r="HE123" s="161">
        <v>72</v>
      </c>
      <c r="HF123" s="161">
        <v>72</v>
      </c>
      <c r="HG123" s="161">
        <v>72</v>
      </c>
      <c r="HH123" s="161">
        <v>72</v>
      </c>
      <c r="HI123" s="146">
        <v>72</v>
      </c>
      <c r="HJ123" s="146">
        <v>72</v>
      </c>
      <c r="HK123" s="146">
        <v>72</v>
      </c>
      <c r="HL123" s="146">
        <v>72</v>
      </c>
      <c r="HM123" s="146">
        <v>72</v>
      </c>
      <c r="HN123" s="146">
        <v>72</v>
      </c>
      <c r="HO123" s="146">
        <v>72</v>
      </c>
      <c r="HP123" s="146">
        <v>72</v>
      </c>
      <c r="HQ123" s="146">
        <v>72</v>
      </c>
      <c r="HR123" s="146">
        <v>72</v>
      </c>
      <c r="HS123" s="146">
        <v>72</v>
      </c>
      <c r="HT123" s="146">
        <v>100</v>
      </c>
      <c r="HU123" s="151"/>
      <c r="HV123" s="146">
        <v>100</v>
      </c>
      <c r="HW123" s="151"/>
      <c r="HX123" s="151"/>
      <c r="HY123" s="151"/>
      <c r="HZ123" s="151"/>
      <c r="IA123" s="151"/>
      <c r="IB123" s="151"/>
      <c r="IC123" s="151"/>
      <c r="ID123" s="151"/>
      <c r="IE123" s="151"/>
      <c r="IF123" s="151"/>
      <c r="IG123" s="151"/>
      <c r="IH123" s="151"/>
      <c r="II123" s="151"/>
      <c r="IJ123" s="151"/>
      <c r="IK123" s="151"/>
      <c r="IL123" s="151"/>
      <c r="IM123" s="151"/>
      <c r="IN123" s="151"/>
      <c r="IO123" s="151"/>
      <c r="IP123" s="151"/>
      <c r="IQ123" s="151"/>
      <c r="IR123" s="151"/>
      <c r="IS123" s="151"/>
      <c r="IT123" s="151"/>
      <c r="IU123" s="151"/>
      <c r="IV123" s="151"/>
      <c r="IW123" s="151"/>
      <c r="IX123" s="151"/>
      <c r="IY123" s="151"/>
      <c r="IZ123" s="151"/>
      <c r="JA123" s="151"/>
      <c r="JB123" s="151"/>
      <c r="JC123" s="151"/>
      <c r="JD123" s="151"/>
      <c r="JE123" s="151"/>
      <c r="JF123" s="151"/>
      <c r="JG123" s="151"/>
      <c r="JH123" s="151"/>
      <c r="JI123" s="151"/>
      <c r="JJ123" s="151"/>
      <c r="JK123" s="151"/>
      <c r="JL123" s="151"/>
      <c r="JM123" s="151"/>
      <c r="JN123" s="151"/>
      <c r="JO123" s="151"/>
      <c r="JP123" s="151"/>
      <c r="JQ123" s="151"/>
      <c r="JR123" s="151"/>
      <c r="JS123" s="151"/>
      <c r="JT123" s="151"/>
      <c r="JU123" s="151"/>
      <c r="JV123" s="151"/>
      <c r="JW123" s="151"/>
      <c r="JX123" s="151"/>
      <c r="JY123" s="151"/>
      <c r="JZ123" s="151"/>
      <c r="KA123" s="151"/>
      <c r="KB123" s="151"/>
      <c r="KC123" s="151"/>
      <c r="KD123" s="151"/>
      <c r="KE123" s="151"/>
      <c r="KF123" s="151"/>
      <c r="KG123" s="151"/>
      <c r="KH123" s="151"/>
      <c r="KI123" s="151"/>
      <c r="KJ123" s="151"/>
      <c r="KK123" s="151"/>
      <c r="KL123" s="151"/>
      <c r="KM123" s="151"/>
      <c r="KN123" s="151"/>
      <c r="KO123" s="151"/>
      <c r="KP123" s="151"/>
      <c r="KQ123" s="151"/>
      <c r="KR123" s="151"/>
      <c r="KS123" s="151"/>
      <c r="KT123" s="151"/>
      <c r="KU123" s="151"/>
      <c r="KV123" s="151"/>
      <c r="KW123" s="151"/>
      <c r="KX123" s="151"/>
      <c r="KY123" s="151"/>
      <c r="KZ123" s="151"/>
      <c r="LA123" s="151"/>
      <c r="LB123" s="151"/>
      <c r="LC123" s="151"/>
      <c r="LD123" s="151"/>
      <c r="LE123" s="151"/>
    </row>
    <row r="124" spans="1:317" x14ac:dyDescent="0.2">
      <c r="A124" s="179" t="s">
        <v>849</v>
      </c>
      <c r="B124" s="180" t="s">
        <v>1023</v>
      </c>
      <c r="C124" s="181"/>
      <c r="D124" s="182">
        <v>0</v>
      </c>
      <c r="E124" s="182">
        <v>0</v>
      </c>
      <c r="F124" s="183" t="s">
        <v>1299</v>
      </c>
      <c r="G124" s="183">
        <v>0</v>
      </c>
      <c r="H124" s="183">
        <v>0</v>
      </c>
      <c r="I124" s="183">
        <v>0</v>
      </c>
      <c r="J124" s="183">
        <v>0</v>
      </c>
      <c r="K124" s="183" t="s">
        <v>1394</v>
      </c>
      <c r="L124" s="183">
        <v>0</v>
      </c>
      <c r="M124" s="183">
        <v>0</v>
      </c>
      <c r="N124" s="183" t="s">
        <v>872</v>
      </c>
      <c r="O124" s="183">
        <v>0</v>
      </c>
      <c r="P124" s="183">
        <v>0</v>
      </c>
      <c r="Q124" s="183"/>
      <c r="R124" s="183"/>
      <c r="S124" s="183"/>
      <c r="T124" s="183"/>
      <c r="U124" s="183"/>
      <c r="V124" s="183">
        <v>0</v>
      </c>
      <c r="W124" s="183">
        <v>0</v>
      </c>
      <c r="X124" s="183">
        <v>0</v>
      </c>
      <c r="Y124" s="184">
        <v>25.14</v>
      </c>
      <c r="Z124" s="184">
        <v>58.87</v>
      </c>
      <c r="AA124" s="184">
        <v>0</v>
      </c>
      <c r="AB124" s="185" t="s">
        <v>615</v>
      </c>
      <c r="AC124" s="185" t="s">
        <v>615</v>
      </c>
      <c r="AD124" s="186" t="s">
        <v>872</v>
      </c>
      <c r="AE124" s="186" t="s">
        <v>852</v>
      </c>
      <c r="AF124" s="187">
        <v>7</v>
      </c>
      <c r="AG124" s="187">
        <v>3</v>
      </c>
      <c r="AH124" s="187">
        <v>4</v>
      </c>
      <c r="AI124" s="188">
        <v>1</v>
      </c>
      <c r="AJ124" s="188" t="s">
        <v>617</v>
      </c>
      <c r="AK124" s="187" t="s">
        <v>1737</v>
      </c>
      <c r="AL124" s="87">
        <v>143</v>
      </c>
      <c r="AM124" s="189"/>
      <c r="AN124" s="187">
        <v>143</v>
      </c>
      <c r="AO124" s="13" t="s">
        <v>615</v>
      </c>
      <c r="AP124" s="187">
        <v>3.36</v>
      </c>
      <c r="AQ124" s="187">
        <v>36</v>
      </c>
      <c r="AR124" s="190">
        <v>7.9613095238095237</v>
      </c>
      <c r="AS124" s="190">
        <v>6.0267857142857144</v>
      </c>
      <c r="AT124" s="190">
        <v>0</v>
      </c>
      <c r="AU124" s="187">
        <v>7</v>
      </c>
      <c r="AV124" s="187">
        <v>0</v>
      </c>
      <c r="AW124" s="191"/>
      <c r="AX124" s="192"/>
      <c r="AY124" s="193">
        <v>42666</v>
      </c>
      <c r="AZ124" s="193"/>
      <c r="BA124" s="193">
        <v>42796</v>
      </c>
      <c r="BB124" s="194"/>
      <c r="BC124" s="194"/>
      <c r="BD124" s="195"/>
      <c r="BE124" s="195" t="s">
        <v>532</v>
      </c>
      <c r="BF124" s="195"/>
      <c r="BG124" s="195">
        <v>4</v>
      </c>
      <c r="BH124" s="196" t="s">
        <v>547</v>
      </c>
      <c r="BI124" s="197">
        <v>1</v>
      </c>
      <c r="BJ124" s="198"/>
      <c r="BK124" s="199">
        <v>107</v>
      </c>
      <c r="BL124" s="13">
        <v>71</v>
      </c>
      <c r="BM124" s="13">
        <v>35</v>
      </c>
      <c r="BN124" s="13" t="s">
        <v>619</v>
      </c>
      <c r="BO124" s="13" t="s">
        <v>618</v>
      </c>
      <c r="BP124" s="200">
        <v>80</v>
      </c>
      <c r="BQ124" s="201"/>
      <c r="BR124" s="202"/>
      <c r="BS124" s="187">
        <v>1000000000</v>
      </c>
      <c r="BT124" s="203">
        <v>57</v>
      </c>
      <c r="BU124" s="204">
        <v>0.47</v>
      </c>
      <c r="BV124" s="203">
        <v>24</v>
      </c>
      <c r="BW124" s="205">
        <v>0</v>
      </c>
      <c r="BX124" s="205">
        <v>0</v>
      </c>
      <c r="BY124" s="205">
        <v>0</v>
      </c>
      <c r="BZ124" s="203">
        <v>0</v>
      </c>
      <c r="CA124" s="203">
        <v>0</v>
      </c>
      <c r="CB124" s="203">
        <v>81</v>
      </c>
      <c r="CC124" s="204">
        <v>0.24</v>
      </c>
      <c r="CD124" s="203">
        <v>0</v>
      </c>
      <c r="CE124" s="203">
        <v>0</v>
      </c>
      <c r="CF124" s="13">
        <v>26</v>
      </c>
      <c r="CG124" s="206">
        <v>28</v>
      </c>
      <c r="CH124" s="207">
        <v>61</v>
      </c>
      <c r="CI124" s="201"/>
      <c r="CJ124" s="208"/>
      <c r="CK124" s="209" t="s">
        <v>615</v>
      </c>
      <c r="CL124" s="210" t="s">
        <v>615</v>
      </c>
      <c r="CM124" s="207">
        <v>0</v>
      </c>
      <c r="CN124" s="207">
        <v>0</v>
      </c>
      <c r="CO124" s="204">
        <v>0</v>
      </c>
      <c r="CP124" s="204">
        <v>9.2001363791339923</v>
      </c>
      <c r="CQ124" s="211"/>
      <c r="CR124" s="204">
        <v>1</v>
      </c>
      <c r="CS124" s="212">
        <v>42709</v>
      </c>
      <c r="CT124" s="212">
        <v>42780</v>
      </c>
      <c r="CU124" s="213">
        <v>42780</v>
      </c>
      <c r="CV124" s="214">
        <v>42829</v>
      </c>
      <c r="CW124" s="214" t="s">
        <v>615</v>
      </c>
      <c r="CX124" s="214" t="s">
        <v>615</v>
      </c>
      <c r="CY124" s="204">
        <v>1.5127711892921603</v>
      </c>
      <c r="CZ124" s="204">
        <v>0.97959183673469385</v>
      </c>
      <c r="DA124" s="203">
        <v>1098</v>
      </c>
      <c r="DB124" s="204">
        <v>0.14285714285714285</v>
      </c>
      <c r="DC124" s="204">
        <v>0.55102040816326525</v>
      </c>
      <c r="DD124" s="204">
        <v>0.24489795918367346</v>
      </c>
      <c r="DE124" s="204">
        <v>0</v>
      </c>
      <c r="DF124" s="215">
        <v>4.0816326530612242E-2</v>
      </c>
      <c r="DG124" s="13" t="s">
        <v>615</v>
      </c>
      <c r="DH124" s="86">
        <v>122</v>
      </c>
      <c r="DI124" s="86"/>
      <c r="DJ124" s="86">
        <v>7</v>
      </c>
      <c r="DK124" s="86" t="s">
        <v>1448</v>
      </c>
      <c r="DL124" s="86">
        <v>4</v>
      </c>
      <c r="DM124" s="86">
        <v>5</v>
      </c>
      <c r="DN124" s="86" t="e">
        <v>#N/A</v>
      </c>
      <c r="DO124" s="86">
        <v>7</v>
      </c>
      <c r="DP124" s="86">
        <v>2</v>
      </c>
      <c r="DQ124" s="86">
        <v>49</v>
      </c>
      <c r="DR124" s="167">
        <v>112</v>
      </c>
      <c r="DS124" s="167">
        <v>112</v>
      </c>
      <c r="DT124" s="167">
        <v>112</v>
      </c>
      <c r="DU124" s="167">
        <v>112</v>
      </c>
      <c r="DV124" s="167">
        <v>112</v>
      </c>
      <c r="DW124" s="167">
        <v>112</v>
      </c>
      <c r="DX124" s="167">
        <v>112</v>
      </c>
      <c r="DY124" s="167">
        <v>111</v>
      </c>
      <c r="DZ124" s="167">
        <v>111</v>
      </c>
      <c r="EA124" s="167">
        <v>111</v>
      </c>
      <c r="EB124" s="167">
        <v>81</v>
      </c>
      <c r="EC124" s="167">
        <v>81</v>
      </c>
      <c r="ED124" s="167">
        <v>81</v>
      </c>
      <c r="EE124" s="167">
        <v>81</v>
      </c>
      <c r="EF124" s="164">
        <v>69</v>
      </c>
      <c r="EG124" s="164">
        <v>69</v>
      </c>
      <c r="EH124" s="164">
        <v>69</v>
      </c>
      <c r="EI124" s="164">
        <v>69</v>
      </c>
      <c r="EJ124" s="164">
        <v>69</v>
      </c>
      <c r="EK124" s="164">
        <v>69</v>
      </c>
      <c r="EL124" s="164">
        <v>69</v>
      </c>
      <c r="EM124" s="164">
        <v>69</v>
      </c>
      <c r="EN124" s="164">
        <v>69</v>
      </c>
      <c r="EO124" s="164">
        <v>69</v>
      </c>
      <c r="EP124" s="164">
        <v>69</v>
      </c>
      <c r="EQ124" s="164">
        <v>69</v>
      </c>
      <c r="ER124" s="164">
        <v>69</v>
      </c>
      <c r="ES124" s="164">
        <v>69</v>
      </c>
      <c r="ET124" s="164">
        <v>69</v>
      </c>
      <c r="EU124" s="164">
        <v>69</v>
      </c>
      <c r="EV124" s="164">
        <v>69</v>
      </c>
      <c r="EW124" s="164">
        <v>69</v>
      </c>
      <c r="EX124" s="164">
        <v>69</v>
      </c>
      <c r="EY124" s="164">
        <v>69</v>
      </c>
      <c r="EZ124" s="164">
        <v>69</v>
      </c>
      <c r="FA124" s="164">
        <v>69</v>
      </c>
      <c r="FB124" s="164">
        <v>69</v>
      </c>
      <c r="FC124" s="164">
        <v>57</v>
      </c>
      <c r="FD124" s="164">
        <v>57</v>
      </c>
      <c r="FE124" s="164">
        <v>57</v>
      </c>
      <c r="FF124" s="164">
        <v>57</v>
      </c>
      <c r="FG124" s="164">
        <v>57</v>
      </c>
      <c r="FH124" s="164">
        <v>57</v>
      </c>
      <c r="FI124" s="164">
        <v>57</v>
      </c>
      <c r="FJ124" s="164">
        <v>57</v>
      </c>
      <c r="FK124" s="164">
        <v>57</v>
      </c>
      <c r="FL124" s="164">
        <v>57</v>
      </c>
      <c r="FM124" s="164">
        <v>57</v>
      </c>
      <c r="FN124" s="165">
        <v>22</v>
      </c>
      <c r="FO124" s="165">
        <v>22</v>
      </c>
      <c r="FP124" s="165">
        <v>22</v>
      </c>
      <c r="FQ124" s="165">
        <v>22</v>
      </c>
      <c r="FR124" s="165">
        <v>22</v>
      </c>
      <c r="FS124" s="165">
        <v>22</v>
      </c>
      <c r="FT124" s="165">
        <v>22</v>
      </c>
      <c r="FU124" s="165">
        <v>22</v>
      </c>
      <c r="FV124" s="165">
        <v>22</v>
      </c>
      <c r="FW124" s="165">
        <v>22</v>
      </c>
      <c r="FX124" s="165">
        <v>22</v>
      </c>
      <c r="FY124" s="165">
        <v>22</v>
      </c>
      <c r="FZ124" s="165">
        <v>22</v>
      </c>
      <c r="GA124" s="165">
        <v>14</v>
      </c>
      <c r="GB124" s="165">
        <v>14</v>
      </c>
      <c r="GC124" s="165">
        <v>14</v>
      </c>
      <c r="GD124" s="165">
        <v>2</v>
      </c>
      <c r="GE124" s="165">
        <v>2</v>
      </c>
      <c r="GF124" s="165">
        <v>2</v>
      </c>
      <c r="GG124" s="165">
        <v>2</v>
      </c>
      <c r="GH124" s="165">
        <v>2</v>
      </c>
      <c r="GI124" s="165">
        <v>1</v>
      </c>
      <c r="GJ124" s="165">
        <v>1</v>
      </c>
      <c r="GK124" s="165">
        <v>1</v>
      </c>
      <c r="GL124" s="165">
        <v>1</v>
      </c>
      <c r="GM124" s="165">
        <v>1</v>
      </c>
      <c r="GN124" s="165">
        <v>1</v>
      </c>
      <c r="GO124" s="165">
        <v>1</v>
      </c>
      <c r="GP124" s="165">
        <v>1</v>
      </c>
      <c r="GQ124" s="165">
        <v>1</v>
      </c>
      <c r="GR124" s="165">
        <v>1</v>
      </c>
      <c r="GS124" s="165">
        <v>1</v>
      </c>
      <c r="GT124" s="165">
        <v>1</v>
      </c>
      <c r="GU124" s="165">
        <v>1</v>
      </c>
      <c r="GV124" s="165">
        <v>1</v>
      </c>
      <c r="GW124" s="165">
        <v>1</v>
      </c>
      <c r="GX124" s="165">
        <v>1</v>
      </c>
      <c r="GY124" s="165">
        <v>1</v>
      </c>
      <c r="GZ124" s="165">
        <v>1</v>
      </c>
      <c r="HA124" s="166">
        <v>0</v>
      </c>
      <c r="HB124" s="166">
        <v>0</v>
      </c>
      <c r="HC124" s="166">
        <v>0</v>
      </c>
      <c r="HD124" s="166">
        <v>0</v>
      </c>
      <c r="HE124" s="166">
        <v>0</v>
      </c>
      <c r="HF124" s="166">
        <v>0</v>
      </c>
      <c r="HG124" s="166">
        <v>0</v>
      </c>
      <c r="HH124" s="168">
        <v>60</v>
      </c>
      <c r="HI124" s="168">
        <v>60</v>
      </c>
      <c r="HJ124" s="168">
        <v>60</v>
      </c>
      <c r="HK124" s="168">
        <v>48</v>
      </c>
      <c r="HL124" s="168">
        <v>48</v>
      </c>
      <c r="HM124" s="168">
        <v>48</v>
      </c>
      <c r="HN124" s="168">
        <v>48</v>
      </c>
      <c r="HO124" s="168">
        <v>48</v>
      </c>
      <c r="HP124" s="168">
        <v>48</v>
      </c>
      <c r="HQ124" s="168">
        <v>48</v>
      </c>
      <c r="HR124" s="167">
        <v>116</v>
      </c>
      <c r="HS124" s="167">
        <v>116</v>
      </c>
      <c r="HT124" s="168">
        <v>57</v>
      </c>
      <c r="HU124" s="216"/>
      <c r="HV124" s="168">
        <v>57</v>
      </c>
      <c r="HW124" s="216"/>
      <c r="HX124" s="216"/>
      <c r="HY124" s="216"/>
      <c r="HZ124" s="216"/>
      <c r="IA124" s="216"/>
      <c r="IB124" s="216"/>
      <c r="IC124" s="216"/>
      <c r="ID124" s="216"/>
      <c r="IE124" s="216"/>
      <c r="IF124" s="216"/>
      <c r="IG124" s="216"/>
      <c r="IH124" s="216"/>
      <c r="II124" s="216"/>
      <c r="IJ124" s="216"/>
      <c r="IK124" s="216"/>
      <c r="IL124" s="216"/>
      <c r="IM124" s="216"/>
      <c r="IN124" s="216"/>
      <c r="IO124" s="216"/>
      <c r="IP124" s="216"/>
      <c r="IQ124" s="216"/>
      <c r="IR124" s="216"/>
      <c r="IS124" s="216"/>
      <c r="IT124" s="216"/>
      <c r="IU124" s="216"/>
      <c r="IV124" s="216"/>
      <c r="IW124" s="216"/>
      <c r="IX124" s="216"/>
      <c r="IY124" s="216"/>
      <c r="IZ124" s="216"/>
      <c r="JA124" s="216"/>
      <c r="JB124" s="216"/>
      <c r="JC124" s="216"/>
      <c r="JD124" s="216"/>
      <c r="JE124" s="216"/>
      <c r="JF124" s="216"/>
      <c r="JG124" s="216"/>
      <c r="JH124" s="216"/>
      <c r="JI124" s="216"/>
      <c r="JJ124" s="216"/>
      <c r="JK124" s="216"/>
      <c r="JL124" s="216"/>
      <c r="JM124" s="216"/>
      <c r="JN124" s="216"/>
      <c r="JO124" s="216"/>
      <c r="JP124" s="216"/>
      <c r="JQ124" s="216"/>
      <c r="JR124" s="216"/>
      <c r="JS124" s="216"/>
      <c r="JT124" s="216"/>
      <c r="JU124" s="216"/>
      <c r="JV124" s="216"/>
      <c r="JW124" s="216"/>
      <c r="JX124" s="216"/>
      <c r="JY124" s="216"/>
      <c r="JZ124" s="216"/>
      <c r="KA124" s="216"/>
      <c r="KB124" s="216"/>
      <c r="KC124" s="216"/>
      <c r="KD124" s="216"/>
      <c r="KE124" s="216"/>
      <c r="KF124" s="216"/>
      <c r="KG124" s="216"/>
      <c r="KH124" s="216"/>
      <c r="KI124" s="216"/>
      <c r="KJ124" s="216"/>
      <c r="KK124" s="216"/>
      <c r="KL124" s="216"/>
      <c r="KM124" s="216"/>
      <c r="KN124" s="216"/>
      <c r="KO124" s="216"/>
      <c r="KP124" s="216"/>
      <c r="KQ124" s="216"/>
      <c r="KR124" s="216"/>
      <c r="KS124" s="216"/>
      <c r="KT124" s="216"/>
      <c r="KU124" s="216"/>
      <c r="KV124" s="216"/>
      <c r="KW124" s="216"/>
      <c r="KX124" s="216"/>
      <c r="KY124" s="216"/>
      <c r="KZ124" s="216"/>
      <c r="LA124" s="216"/>
      <c r="LB124" s="216"/>
      <c r="LC124" s="216"/>
      <c r="LD124" s="216"/>
      <c r="LE124" s="216"/>
    </row>
    <row r="125" spans="1:317" x14ac:dyDescent="0.2">
      <c r="A125" s="179" t="s">
        <v>849</v>
      </c>
      <c r="B125" s="180" t="s">
        <v>1024</v>
      </c>
      <c r="C125" s="181"/>
      <c r="D125" s="182">
        <v>0</v>
      </c>
      <c r="E125" s="182">
        <v>0</v>
      </c>
      <c r="F125" s="183" t="s">
        <v>1300</v>
      </c>
      <c r="G125" s="183">
        <v>0</v>
      </c>
      <c r="H125" s="183">
        <v>0</v>
      </c>
      <c r="I125" s="183">
        <v>0</v>
      </c>
      <c r="J125" s="183">
        <v>0</v>
      </c>
      <c r="K125" s="183" t="s">
        <v>1395</v>
      </c>
      <c r="L125" s="183">
        <v>0</v>
      </c>
      <c r="M125" s="183">
        <v>0</v>
      </c>
      <c r="N125" s="183" t="s">
        <v>872</v>
      </c>
      <c r="O125" s="183">
        <v>0</v>
      </c>
      <c r="P125" s="183">
        <v>0</v>
      </c>
      <c r="Q125" s="183"/>
      <c r="R125" s="183"/>
      <c r="S125" s="183"/>
      <c r="T125" s="183"/>
      <c r="U125" s="183"/>
      <c r="V125" s="183">
        <v>0</v>
      </c>
      <c r="W125" s="183">
        <v>0</v>
      </c>
      <c r="X125" s="183">
        <v>0</v>
      </c>
      <c r="Y125" s="184">
        <v>38.049999999999997</v>
      </c>
      <c r="Z125" s="184">
        <v>0</v>
      </c>
      <c r="AA125" s="184">
        <v>0</v>
      </c>
      <c r="AB125" s="185" t="s">
        <v>615</v>
      </c>
      <c r="AC125" s="185" t="s">
        <v>615</v>
      </c>
      <c r="AD125" s="186" t="s">
        <v>872</v>
      </c>
      <c r="AE125" s="186" t="s">
        <v>852</v>
      </c>
      <c r="AF125" s="187">
        <v>7</v>
      </c>
      <c r="AG125" s="187">
        <v>3</v>
      </c>
      <c r="AH125" s="187">
        <v>4</v>
      </c>
      <c r="AI125" s="188">
        <v>1</v>
      </c>
      <c r="AJ125" s="188" t="s">
        <v>617</v>
      </c>
      <c r="AK125" s="187" t="s">
        <v>1733</v>
      </c>
      <c r="AL125" s="87">
        <v>6</v>
      </c>
      <c r="AM125" s="189"/>
      <c r="AN125" s="187">
        <v>6</v>
      </c>
      <c r="AO125" s="13" t="s">
        <v>615</v>
      </c>
      <c r="AP125" s="187">
        <v>0</v>
      </c>
      <c r="AQ125" s="187">
        <v>0</v>
      </c>
      <c r="AR125" s="190">
        <v>0</v>
      </c>
      <c r="AS125" s="190">
        <v>0</v>
      </c>
      <c r="AT125" s="190">
        <v>0</v>
      </c>
      <c r="AU125" s="187">
        <v>28</v>
      </c>
      <c r="AV125" s="187">
        <v>0</v>
      </c>
      <c r="AW125" s="191"/>
      <c r="AX125" s="192"/>
      <c r="AY125" s="193">
        <v>42666</v>
      </c>
      <c r="AZ125" s="193"/>
      <c r="BA125" s="193"/>
      <c r="BB125" s="194"/>
      <c r="BC125" s="194"/>
      <c r="BD125" s="195"/>
      <c r="BE125" s="195" t="s">
        <v>532</v>
      </c>
      <c r="BF125" s="195"/>
      <c r="BG125" s="195">
        <v>4</v>
      </c>
      <c r="BH125" s="196" t="s">
        <v>547</v>
      </c>
      <c r="BI125" s="197">
        <v>1</v>
      </c>
      <c r="BJ125" s="198"/>
      <c r="BK125" s="199">
        <v>4</v>
      </c>
      <c r="BL125" s="13">
        <v>3</v>
      </c>
      <c r="BM125" s="13">
        <v>1</v>
      </c>
      <c r="BN125" s="13" t="s">
        <v>621</v>
      </c>
      <c r="BO125" s="13" t="s">
        <v>621</v>
      </c>
      <c r="BP125" s="200">
        <v>0</v>
      </c>
      <c r="BQ125" s="201"/>
      <c r="BR125" s="202"/>
      <c r="BS125" s="187">
        <v>1000000000</v>
      </c>
      <c r="BT125" s="203">
        <v>0</v>
      </c>
      <c r="BU125" s="204">
        <v>1</v>
      </c>
      <c r="BV125" s="203">
        <v>0</v>
      </c>
      <c r="BW125" s="205">
        <v>0</v>
      </c>
      <c r="BX125" s="205">
        <v>0</v>
      </c>
      <c r="BY125" s="205">
        <v>0</v>
      </c>
      <c r="BZ125" s="203">
        <v>0</v>
      </c>
      <c r="CA125" s="203">
        <v>0</v>
      </c>
      <c r="CB125" s="203">
        <v>0</v>
      </c>
      <c r="CC125" s="204">
        <v>1</v>
      </c>
      <c r="CD125" s="203">
        <v>0</v>
      </c>
      <c r="CE125" s="203">
        <v>0</v>
      </c>
      <c r="CF125" s="13">
        <v>4</v>
      </c>
      <c r="CG125" s="206">
        <v>4</v>
      </c>
      <c r="CH125" s="207">
        <v>2</v>
      </c>
      <c r="CI125" s="201"/>
      <c r="CJ125" s="208"/>
      <c r="CK125" s="209" t="s">
        <v>615</v>
      </c>
      <c r="CL125" s="210" t="s">
        <v>615</v>
      </c>
      <c r="CM125" s="207">
        <v>-38.049999999999997</v>
      </c>
      <c r="CN125" s="207">
        <v>0</v>
      </c>
      <c r="CO125" s="204">
        <v>0</v>
      </c>
      <c r="CP125" s="204">
        <v>-6.8571428571428577</v>
      </c>
      <c r="CQ125" s="211"/>
      <c r="CR125" s="204">
        <v>1</v>
      </c>
      <c r="CS125" s="212">
        <v>42592</v>
      </c>
      <c r="CT125" s="212">
        <v>42780</v>
      </c>
      <c r="CU125" s="213">
        <v>42780</v>
      </c>
      <c r="CV125" s="214">
        <v>42829</v>
      </c>
      <c r="CW125" s="214" t="s">
        <v>615</v>
      </c>
      <c r="CX125" s="214" t="s">
        <v>615</v>
      </c>
      <c r="CY125" s="204">
        <v>1</v>
      </c>
      <c r="CZ125" s="204">
        <v>0.97959183673469385</v>
      </c>
      <c r="DA125" s="203">
        <v>1</v>
      </c>
      <c r="DB125" s="204">
        <v>0.97959183673469385</v>
      </c>
      <c r="DC125" s="204">
        <v>0</v>
      </c>
      <c r="DD125" s="204">
        <v>0</v>
      </c>
      <c r="DE125" s="204">
        <v>0</v>
      </c>
      <c r="DF125" s="215">
        <v>0</v>
      </c>
      <c r="DG125" s="13" t="s">
        <v>615</v>
      </c>
      <c r="DH125" s="86">
        <v>123</v>
      </c>
      <c r="DI125" s="86"/>
      <c r="DJ125" s="86">
        <v>5</v>
      </c>
      <c r="DK125" s="86" t="s">
        <v>1519</v>
      </c>
      <c r="DL125" s="86" t="e">
        <v>#N/A</v>
      </c>
      <c r="DM125" s="86" t="e">
        <v>#N/A</v>
      </c>
      <c r="DN125" s="86" t="e">
        <v>#N/A</v>
      </c>
      <c r="DO125" s="86">
        <v>5</v>
      </c>
      <c r="DP125" s="86">
        <v>2</v>
      </c>
      <c r="DQ125" s="86">
        <v>49</v>
      </c>
      <c r="DR125" s="146">
        <v>0</v>
      </c>
      <c r="DS125" s="146">
        <v>0</v>
      </c>
      <c r="DT125" s="146">
        <v>0</v>
      </c>
      <c r="DU125" s="146">
        <v>0</v>
      </c>
      <c r="DV125" s="146">
        <v>0</v>
      </c>
      <c r="DW125" s="146">
        <v>0</v>
      </c>
      <c r="DX125" s="146">
        <v>0</v>
      </c>
      <c r="DY125" s="146">
        <v>0</v>
      </c>
      <c r="DZ125" s="146">
        <v>0</v>
      </c>
      <c r="EA125" s="146">
        <v>0</v>
      </c>
      <c r="EB125" s="146">
        <v>0</v>
      </c>
      <c r="EC125" s="146">
        <v>0</v>
      </c>
      <c r="ED125" s="146">
        <v>0</v>
      </c>
      <c r="EE125" s="146">
        <v>0</v>
      </c>
      <c r="EF125" s="146">
        <v>0</v>
      </c>
      <c r="EG125" s="146">
        <v>0</v>
      </c>
      <c r="EH125" s="146">
        <v>0</v>
      </c>
      <c r="EI125" s="146">
        <v>0</v>
      </c>
      <c r="EJ125" s="146">
        <v>0</v>
      </c>
      <c r="EK125" s="146">
        <v>0</v>
      </c>
      <c r="EL125" s="146">
        <v>0</v>
      </c>
      <c r="EM125" s="146">
        <v>0</v>
      </c>
      <c r="EN125" s="146">
        <v>0</v>
      </c>
      <c r="EO125" s="146">
        <v>0</v>
      </c>
      <c r="EP125" s="146">
        <v>0</v>
      </c>
      <c r="EQ125" s="146">
        <v>0</v>
      </c>
      <c r="ER125" s="146">
        <v>0</v>
      </c>
      <c r="ES125" s="146">
        <v>0</v>
      </c>
      <c r="ET125" s="146">
        <v>0</v>
      </c>
      <c r="EU125" s="146">
        <v>0</v>
      </c>
      <c r="EV125" s="146">
        <v>0</v>
      </c>
      <c r="EW125" s="146">
        <v>0</v>
      </c>
      <c r="EX125" s="146">
        <v>0</v>
      </c>
      <c r="EY125" s="146">
        <v>0</v>
      </c>
      <c r="EZ125" s="146">
        <v>0</v>
      </c>
      <c r="FA125" s="146">
        <v>0</v>
      </c>
      <c r="FB125" s="146">
        <v>0</v>
      </c>
      <c r="FC125" s="146">
        <v>0</v>
      </c>
      <c r="FD125" s="146">
        <v>0</v>
      </c>
      <c r="FE125" s="146">
        <v>0</v>
      </c>
      <c r="FF125" s="146">
        <v>0</v>
      </c>
      <c r="FG125" s="146">
        <v>0</v>
      </c>
      <c r="FH125" s="146">
        <v>0</v>
      </c>
      <c r="FI125" s="146">
        <v>0</v>
      </c>
      <c r="FJ125" s="146">
        <v>0</v>
      </c>
      <c r="FK125" s="146">
        <v>0</v>
      </c>
      <c r="FL125" s="146">
        <v>0</v>
      </c>
      <c r="FM125" s="146">
        <v>0</v>
      </c>
      <c r="FN125" s="146">
        <v>0</v>
      </c>
      <c r="FO125" s="146">
        <v>0</v>
      </c>
      <c r="FP125" s="146">
        <v>0</v>
      </c>
      <c r="FQ125" s="146">
        <v>0</v>
      </c>
      <c r="FR125" s="146">
        <v>0</v>
      </c>
      <c r="FS125" s="160">
        <v>0</v>
      </c>
      <c r="FT125" s="160">
        <v>0</v>
      </c>
      <c r="FU125" s="160">
        <v>0</v>
      </c>
      <c r="FV125" s="160">
        <v>0</v>
      </c>
      <c r="FW125" s="160">
        <v>0</v>
      </c>
      <c r="FX125" s="160">
        <v>0</v>
      </c>
      <c r="FY125" s="160">
        <v>0</v>
      </c>
      <c r="FZ125" s="160">
        <v>0</v>
      </c>
      <c r="GA125" s="160">
        <v>0</v>
      </c>
      <c r="GB125" s="160">
        <v>0</v>
      </c>
      <c r="GC125" s="160">
        <v>0</v>
      </c>
      <c r="GD125" s="160">
        <v>0</v>
      </c>
      <c r="GE125" s="160">
        <v>0</v>
      </c>
      <c r="GF125" s="160">
        <v>0</v>
      </c>
      <c r="GG125" s="160">
        <v>0</v>
      </c>
      <c r="GH125" s="160">
        <v>0</v>
      </c>
      <c r="GI125" s="160">
        <v>0</v>
      </c>
      <c r="GJ125" s="160">
        <v>0</v>
      </c>
      <c r="GK125" s="160">
        <v>0</v>
      </c>
      <c r="GL125" s="160">
        <v>0</v>
      </c>
      <c r="GM125" s="160">
        <v>0</v>
      </c>
      <c r="GN125" s="160">
        <v>0</v>
      </c>
      <c r="GO125" s="160">
        <v>0</v>
      </c>
      <c r="GP125" s="160">
        <v>0</v>
      </c>
      <c r="GQ125" s="160">
        <v>0</v>
      </c>
      <c r="GR125" s="160">
        <v>0</v>
      </c>
      <c r="GS125" s="160">
        <v>0</v>
      </c>
      <c r="GT125" s="160">
        <v>0</v>
      </c>
      <c r="GU125" s="160">
        <v>0</v>
      </c>
      <c r="GV125" s="160">
        <v>0</v>
      </c>
      <c r="GW125" s="160">
        <v>0</v>
      </c>
      <c r="GX125" s="160">
        <v>0</v>
      </c>
      <c r="GY125" s="160">
        <v>0</v>
      </c>
      <c r="GZ125" s="160">
        <v>0</v>
      </c>
      <c r="HA125" s="160">
        <v>0</v>
      </c>
      <c r="HB125" s="160">
        <v>0</v>
      </c>
      <c r="HC125" s="160">
        <v>0</v>
      </c>
      <c r="HD125" s="160">
        <v>0</v>
      </c>
      <c r="HE125" s="160">
        <v>0</v>
      </c>
      <c r="HF125" s="160">
        <v>0</v>
      </c>
      <c r="HG125" s="160">
        <v>0</v>
      </c>
      <c r="HH125" s="160">
        <v>0</v>
      </c>
      <c r="HI125" s="160">
        <v>0</v>
      </c>
      <c r="HJ125" s="160">
        <v>0</v>
      </c>
      <c r="HK125" s="160">
        <v>0</v>
      </c>
      <c r="HL125" s="160">
        <v>0</v>
      </c>
      <c r="HM125" s="160">
        <v>0</v>
      </c>
      <c r="HN125" s="160">
        <v>0</v>
      </c>
      <c r="HO125" s="160">
        <v>0</v>
      </c>
      <c r="HP125" s="160">
        <v>0</v>
      </c>
      <c r="HQ125" s="160">
        <v>0</v>
      </c>
      <c r="HR125" s="160">
        <v>0</v>
      </c>
      <c r="HS125" s="160">
        <v>0</v>
      </c>
      <c r="HT125" s="160">
        <v>0</v>
      </c>
      <c r="HU125" s="151"/>
      <c r="HV125" s="160">
        <v>0</v>
      </c>
      <c r="HW125" s="151"/>
      <c r="HX125" s="151"/>
      <c r="HY125" s="151"/>
      <c r="HZ125" s="151"/>
      <c r="IA125" s="151"/>
      <c r="IB125" s="151"/>
      <c r="IC125" s="151"/>
      <c r="ID125" s="151"/>
      <c r="IE125" s="151"/>
      <c r="IF125" s="151"/>
      <c r="IG125" s="151"/>
      <c r="IH125" s="151"/>
      <c r="II125" s="151"/>
      <c r="IJ125" s="151"/>
      <c r="IK125" s="151"/>
      <c r="IL125" s="151"/>
      <c r="IM125" s="151"/>
      <c r="IN125" s="151"/>
      <c r="IO125" s="151"/>
      <c r="IP125" s="151"/>
      <c r="IQ125" s="151"/>
      <c r="IR125" s="151"/>
      <c r="IS125" s="151"/>
      <c r="IT125" s="151"/>
      <c r="IU125" s="151"/>
      <c r="IV125" s="151"/>
      <c r="IW125" s="151"/>
      <c r="IX125" s="151"/>
      <c r="IY125" s="151"/>
      <c r="IZ125" s="151"/>
      <c r="JA125" s="151"/>
      <c r="JB125" s="151"/>
      <c r="JC125" s="151"/>
      <c r="JD125" s="151"/>
      <c r="JE125" s="151"/>
      <c r="JF125" s="151"/>
      <c r="JG125" s="151"/>
      <c r="JH125" s="151"/>
      <c r="JI125" s="151"/>
      <c r="JJ125" s="151"/>
      <c r="JK125" s="151"/>
      <c r="JL125" s="151"/>
      <c r="JM125" s="151"/>
      <c r="JN125" s="151"/>
      <c r="JO125" s="151"/>
      <c r="JP125" s="151"/>
      <c r="JQ125" s="151"/>
      <c r="JR125" s="151"/>
      <c r="JS125" s="151"/>
      <c r="JT125" s="151"/>
      <c r="JU125" s="151"/>
      <c r="JV125" s="151"/>
      <c r="JW125" s="151"/>
      <c r="JX125" s="151"/>
      <c r="JY125" s="151"/>
      <c r="JZ125" s="151"/>
      <c r="KA125" s="151"/>
      <c r="KB125" s="151"/>
      <c r="KC125" s="151"/>
      <c r="KD125" s="151"/>
      <c r="KE125" s="151"/>
      <c r="KF125" s="151"/>
      <c r="KG125" s="151"/>
      <c r="KH125" s="151"/>
      <c r="KI125" s="151"/>
      <c r="KJ125" s="151"/>
      <c r="KK125" s="151"/>
      <c r="KL125" s="151"/>
      <c r="KM125" s="151"/>
      <c r="KN125" s="151"/>
      <c r="KO125" s="151"/>
      <c r="KP125" s="151"/>
      <c r="KQ125" s="151"/>
      <c r="KR125" s="151"/>
      <c r="KS125" s="151"/>
      <c r="KT125" s="151"/>
      <c r="KU125" s="151"/>
      <c r="KV125" s="151"/>
      <c r="KW125" s="151"/>
      <c r="KX125" s="151"/>
      <c r="KY125" s="151"/>
      <c r="KZ125" s="151"/>
      <c r="LA125" s="151"/>
      <c r="LB125" s="151"/>
      <c r="LC125" s="151"/>
      <c r="LD125" s="151"/>
      <c r="LE125" s="151"/>
    </row>
    <row r="126" spans="1:317" x14ac:dyDescent="0.2">
      <c r="A126" s="179" t="s">
        <v>849</v>
      </c>
      <c r="B126" s="180" t="s">
        <v>1025</v>
      </c>
      <c r="C126" s="181"/>
      <c r="D126" s="182">
        <v>0</v>
      </c>
      <c r="E126" s="182">
        <v>0</v>
      </c>
      <c r="F126" s="183" t="s">
        <v>1438</v>
      </c>
      <c r="G126" s="183">
        <v>0</v>
      </c>
      <c r="H126" s="183">
        <v>0</v>
      </c>
      <c r="I126" s="183">
        <v>0</v>
      </c>
      <c r="J126" s="183">
        <v>0</v>
      </c>
      <c r="K126" s="183" t="s">
        <v>1368</v>
      </c>
      <c r="L126" s="183">
        <v>0</v>
      </c>
      <c r="M126" s="183">
        <v>0</v>
      </c>
      <c r="N126" s="183" t="s">
        <v>881</v>
      </c>
      <c r="O126" s="183">
        <v>0</v>
      </c>
      <c r="P126" s="183">
        <v>0</v>
      </c>
      <c r="Q126" s="183"/>
      <c r="R126" s="183"/>
      <c r="S126" s="183"/>
      <c r="T126" s="183"/>
      <c r="U126" s="183"/>
      <c r="V126" s="183">
        <v>0</v>
      </c>
      <c r="W126" s="183">
        <v>0</v>
      </c>
      <c r="X126" s="183">
        <v>0</v>
      </c>
      <c r="Y126" s="184">
        <v>0</v>
      </c>
      <c r="Z126" s="184">
        <v>0.12</v>
      </c>
      <c r="AA126" s="184">
        <v>0</v>
      </c>
      <c r="AB126" s="185" t="s">
        <v>615</v>
      </c>
      <c r="AC126" s="185" t="s">
        <v>615</v>
      </c>
      <c r="AD126" s="186" t="s">
        <v>881</v>
      </c>
      <c r="AE126" s="186" t="s">
        <v>858</v>
      </c>
      <c r="AF126" s="187">
        <v>7</v>
      </c>
      <c r="AG126" s="187">
        <v>3</v>
      </c>
      <c r="AH126" s="187">
        <v>4</v>
      </c>
      <c r="AI126" s="188">
        <v>1</v>
      </c>
      <c r="AJ126" s="188" t="s">
        <v>615</v>
      </c>
      <c r="AK126" s="187" t="s">
        <v>1738</v>
      </c>
      <c r="AL126" s="87" t="s">
        <v>615</v>
      </c>
      <c r="AM126" s="189"/>
      <c r="AN126" s="187" t="s">
        <v>615</v>
      </c>
      <c r="AO126" s="13" t="s">
        <v>615</v>
      </c>
      <c r="AP126" s="187">
        <v>0</v>
      </c>
      <c r="AQ126" s="187">
        <v>0</v>
      </c>
      <c r="AR126" s="190">
        <v>0</v>
      </c>
      <c r="AS126" s="190">
        <v>0</v>
      </c>
      <c r="AT126" s="190">
        <v>0</v>
      </c>
      <c r="AU126" s="187">
        <v>0</v>
      </c>
      <c r="AV126" s="187">
        <v>0</v>
      </c>
      <c r="AW126" s="191"/>
      <c r="AX126" s="192"/>
      <c r="AY126" s="193">
        <v>42666</v>
      </c>
      <c r="AZ126" s="193"/>
      <c r="BA126" s="193"/>
      <c r="BB126" s="194"/>
      <c r="BC126" s="194"/>
      <c r="BD126" s="195"/>
      <c r="BE126" s="195" t="s">
        <v>532</v>
      </c>
      <c r="BF126" s="195"/>
      <c r="BG126" s="195">
        <v>1000</v>
      </c>
      <c r="BH126" s="196" t="s">
        <v>547</v>
      </c>
      <c r="BI126" s="197">
        <v>1</v>
      </c>
      <c r="BJ126" s="198"/>
      <c r="BK126" s="199">
        <v>0</v>
      </c>
      <c r="BL126" s="13">
        <v>0</v>
      </c>
      <c r="BM126" s="13">
        <v>0</v>
      </c>
      <c r="BN126" s="13" t="s">
        <v>616</v>
      </c>
      <c r="BO126" s="13" t="s">
        <v>616</v>
      </c>
      <c r="BP126" s="200">
        <v>0</v>
      </c>
      <c r="BQ126" s="201"/>
      <c r="BR126" s="202"/>
      <c r="BS126" s="187">
        <v>1000000000</v>
      </c>
      <c r="BT126" s="203">
        <v>0</v>
      </c>
      <c r="BU126" s="204">
        <v>0</v>
      </c>
      <c r="BV126" s="203">
        <v>0</v>
      </c>
      <c r="BW126" s="205">
        <v>0</v>
      </c>
      <c r="BX126" s="205">
        <v>0</v>
      </c>
      <c r="BY126" s="205">
        <v>0</v>
      </c>
      <c r="BZ126" s="203">
        <v>0</v>
      </c>
      <c r="CA126" s="203">
        <v>0</v>
      </c>
      <c r="CB126" s="203">
        <v>0</v>
      </c>
      <c r="CC126" s="204">
        <v>0</v>
      </c>
      <c r="CD126" s="203">
        <v>0</v>
      </c>
      <c r="CE126" s="203">
        <v>0</v>
      </c>
      <c r="CF126" s="13">
        <v>0</v>
      </c>
      <c r="CG126" s="206">
        <v>0</v>
      </c>
      <c r="CH126" s="207">
        <v>0</v>
      </c>
      <c r="CI126" s="201"/>
      <c r="CJ126" s="208"/>
      <c r="CK126" s="209" t="s">
        <v>615</v>
      </c>
      <c r="CL126" s="210" t="s">
        <v>615</v>
      </c>
      <c r="CM126" s="207">
        <v>0</v>
      </c>
      <c r="CN126" s="207">
        <v>0</v>
      </c>
      <c r="CO126" s="204">
        <v>0</v>
      </c>
      <c r="CP126" s="204">
        <v>0</v>
      </c>
      <c r="CQ126" s="211"/>
      <c r="CR126" s="204">
        <v>1</v>
      </c>
      <c r="CS126" s="212">
        <v>42558</v>
      </c>
      <c r="CT126" s="212">
        <v>42780</v>
      </c>
      <c r="CU126" s="213">
        <v>42780</v>
      </c>
      <c r="CV126" s="214">
        <v>42829</v>
      </c>
      <c r="CW126" s="214" t="s">
        <v>615</v>
      </c>
      <c r="CX126" s="214" t="s">
        <v>615</v>
      </c>
      <c r="CY126" s="204">
        <v>1</v>
      </c>
      <c r="CZ126" s="204">
        <v>0.97959183673469385</v>
      </c>
      <c r="DA126" s="203">
        <v>0</v>
      </c>
      <c r="DB126" s="204">
        <v>0.97959183673469385</v>
      </c>
      <c r="DC126" s="204">
        <v>0</v>
      </c>
      <c r="DD126" s="204">
        <v>0</v>
      </c>
      <c r="DE126" s="204">
        <v>0</v>
      </c>
      <c r="DF126" s="215">
        <v>0</v>
      </c>
      <c r="DG126" s="13" t="s">
        <v>615</v>
      </c>
      <c r="DH126" s="86">
        <v>124</v>
      </c>
      <c r="DI126" s="86"/>
      <c r="DJ126" s="86">
        <v>34</v>
      </c>
      <c r="DK126" s="86" t="s">
        <v>1528</v>
      </c>
      <c r="DL126" s="86" t="e">
        <v>#N/A</v>
      </c>
      <c r="DM126" s="86" t="e">
        <v>#N/A</v>
      </c>
      <c r="DN126" s="86" t="e">
        <v>#N/A</v>
      </c>
      <c r="DO126" s="86">
        <v>35</v>
      </c>
      <c r="DP126" s="86">
        <v>5</v>
      </c>
      <c r="DQ126" s="86">
        <v>49</v>
      </c>
      <c r="DR126" s="152">
        <v>0</v>
      </c>
      <c r="DS126" s="152">
        <v>0</v>
      </c>
      <c r="DT126" s="152">
        <v>0</v>
      </c>
      <c r="DU126" s="152">
        <v>0</v>
      </c>
      <c r="DV126" s="152">
        <v>0</v>
      </c>
      <c r="DW126" s="152">
        <v>0</v>
      </c>
      <c r="DX126" s="152">
        <v>0</v>
      </c>
      <c r="DY126" s="152">
        <v>0</v>
      </c>
      <c r="DZ126" s="152">
        <v>0</v>
      </c>
      <c r="EA126" s="152">
        <v>0</v>
      </c>
      <c r="EB126" s="152">
        <v>0</v>
      </c>
      <c r="EC126" s="152">
        <v>0</v>
      </c>
      <c r="ED126" s="152">
        <v>0</v>
      </c>
      <c r="EE126" s="152">
        <v>0</v>
      </c>
      <c r="EF126" s="152">
        <v>0</v>
      </c>
      <c r="EG126" s="152">
        <v>0</v>
      </c>
      <c r="EH126" s="152">
        <v>0</v>
      </c>
      <c r="EI126" s="152">
        <v>0</v>
      </c>
      <c r="EJ126" s="152">
        <v>0</v>
      </c>
      <c r="EK126" s="152">
        <v>0</v>
      </c>
      <c r="EL126" s="152">
        <v>0</v>
      </c>
      <c r="EM126" s="152">
        <v>0</v>
      </c>
      <c r="EN126" s="152">
        <v>0</v>
      </c>
      <c r="EO126" s="152">
        <v>0</v>
      </c>
      <c r="EP126" s="152">
        <v>0</v>
      </c>
      <c r="EQ126" s="152">
        <v>0</v>
      </c>
      <c r="ER126" s="152">
        <v>0</v>
      </c>
      <c r="ES126" s="152">
        <v>0</v>
      </c>
      <c r="ET126" s="152">
        <v>0</v>
      </c>
      <c r="EU126" s="152">
        <v>0</v>
      </c>
      <c r="EV126" s="152">
        <v>0</v>
      </c>
      <c r="EW126" s="152">
        <v>0</v>
      </c>
      <c r="EX126" s="152">
        <v>0</v>
      </c>
      <c r="EY126" s="152">
        <v>0</v>
      </c>
      <c r="EZ126" s="152">
        <v>0</v>
      </c>
      <c r="FA126" s="152">
        <v>0</v>
      </c>
      <c r="FB126" s="152">
        <v>0</v>
      </c>
      <c r="FC126" s="152">
        <v>0</v>
      </c>
      <c r="FD126" s="152">
        <v>0</v>
      </c>
      <c r="FE126" s="152">
        <v>0</v>
      </c>
      <c r="FF126" s="152">
        <v>0</v>
      </c>
      <c r="FG126" s="152">
        <v>0</v>
      </c>
      <c r="FH126" s="152">
        <v>0</v>
      </c>
      <c r="FI126" s="152">
        <v>0</v>
      </c>
      <c r="FJ126" s="152">
        <v>0</v>
      </c>
      <c r="FK126" s="152">
        <v>0</v>
      </c>
      <c r="FL126" s="152">
        <v>0</v>
      </c>
      <c r="FM126" s="152">
        <v>0</v>
      </c>
      <c r="FN126" s="152">
        <v>0</v>
      </c>
      <c r="FO126" s="152">
        <v>0</v>
      </c>
      <c r="FP126" s="152">
        <v>0</v>
      </c>
      <c r="FQ126" s="152">
        <v>0</v>
      </c>
      <c r="FR126" s="152">
        <v>0</v>
      </c>
      <c r="FS126" s="152">
        <v>0</v>
      </c>
      <c r="FT126" s="152">
        <v>0</v>
      </c>
      <c r="FU126" s="152">
        <v>0</v>
      </c>
      <c r="FV126" s="152">
        <v>0</v>
      </c>
      <c r="FW126" s="152">
        <v>0</v>
      </c>
      <c r="FX126" s="152">
        <v>0</v>
      </c>
      <c r="FY126" s="152">
        <v>0</v>
      </c>
      <c r="FZ126" s="152">
        <v>0</v>
      </c>
      <c r="GA126" s="152">
        <v>0</v>
      </c>
      <c r="GB126" s="152">
        <v>0</v>
      </c>
      <c r="GC126" s="152">
        <v>0</v>
      </c>
      <c r="GD126" s="152">
        <v>0</v>
      </c>
      <c r="GE126" s="152">
        <v>0</v>
      </c>
      <c r="GF126" s="152">
        <v>0</v>
      </c>
      <c r="GG126" s="152">
        <v>0</v>
      </c>
      <c r="GH126" s="152">
        <v>0</v>
      </c>
      <c r="GI126" s="152">
        <v>0</v>
      </c>
      <c r="GJ126" s="152">
        <v>0</v>
      </c>
      <c r="GK126" s="152">
        <v>0</v>
      </c>
      <c r="GL126" s="152">
        <v>0</v>
      </c>
      <c r="GM126" s="152">
        <v>0</v>
      </c>
      <c r="GN126" s="152">
        <v>0</v>
      </c>
      <c r="GO126" s="152">
        <v>0</v>
      </c>
      <c r="GP126" s="152">
        <v>0</v>
      </c>
      <c r="GQ126" s="152">
        <v>0</v>
      </c>
      <c r="GR126" s="152">
        <v>0</v>
      </c>
      <c r="GS126" s="152">
        <v>0</v>
      </c>
      <c r="GT126" s="152">
        <v>0</v>
      </c>
      <c r="GU126" s="152">
        <v>0</v>
      </c>
      <c r="GV126" s="152">
        <v>0</v>
      </c>
      <c r="GW126" s="152">
        <v>0</v>
      </c>
      <c r="GX126" s="152">
        <v>0</v>
      </c>
      <c r="GY126" s="152">
        <v>0</v>
      </c>
      <c r="GZ126" s="152">
        <v>0</v>
      </c>
      <c r="HA126" s="152">
        <v>0</v>
      </c>
      <c r="HB126" s="152">
        <v>0</v>
      </c>
      <c r="HC126" s="152">
        <v>0</v>
      </c>
      <c r="HD126" s="152">
        <v>0</v>
      </c>
      <c r="HE126" s="152">
        <v>0</v>
      </c>
      <c r="HF126" s="152">
        <v>0</v>
      </c>
      <c r="HG126" s="152">
        <v>0</v>
      </c>
      <c r="HH126" s="152">
        <v>0</v>
      </c>
      <c r="HI126" s="152">
        <v>0</v>
      </c>
      <c r="HJ126" s="152">
        <v>0</v>
      </c>
      <c r="HK126" s="152">
        <v>0</v>
      </c>
      <c r="HL126" s="152">
        <v>0</v>
      </c>
      <c r="HM126" s="152">
        <v>0</v>
      </c>
      <c r="HN126" s="152">
        <v>0</v>
      </c>
      <c r="HO126" s="152">
        <v>0</v>
      </c>
      <c r="HP126" s="152">
        <v>0</v>
      </c>
      <c r="HQ126" s="152">
        <v>0</v>
      </c>
      <c r="HR126" s="152">
        <v>0</v>
      </c>
      <c r="HS126" s="152">
        <v>0</v>
      </c>
      <c r="HT126" s="152">
        <v>0</v>
      </c>
      <c r="HU126" s="216"/>
      <c r="HV126" s="152">
        <v>0</v>
      </c>
      <c r="HW126" s="216"/>
      <c r="HX126" s="216"/>
      <c r="HY126" s="216"/>
      <c r="HZ126" s="216"/>
      <c r="IA126" s="216"/>
      <c r="IB126" s="216"/>
      <c r="IC126" s="216"/>
      <c r="ID126" s="216"/>
      <c r="IE126" s="216"/>
      <c r="IF126" s="216"/>
      <c r="IG126" s="216"/>
      <c r="IH126" s="216"/>
      <c r="II126" s="216"/>
      <c r="IJ126" s="216"/>
      <c r="IK126" s="216"/>
      <c r="IL126" s="216"/>
      <c r="IM126" s="216"/>
      <c r="IN126" s="216"/>
      <c r="IO126" s="216"/>
      <c r="IP126" s="216"/>
      <c r="IQ126" s="216"/>
      <c r="IR126" s="216"/>
      <c r="IS126" s="216"/>
      <c r="IT126" s="216"/>
      <c r="IU126" s="216"/>
      <c r="IV126" s="216"/>
      <c r="IW126" s="216"/>
      <c r="IX126" s="216"/>
      <c r="IY126" s="216"/>
      <c r="IZ126" s="216"/>
      <c r="JA126" s="216"/>
      <c r="JB126" s="216"/>
      <c r="JC126" s="216"/>
      <c r="JD126" s="216"/>
      <c r="JE126" s="216"/>
      <c r="JF126" s="216"/>
      <c r="JG126" s="216"/>
      <c r="JH126" s="216"/>
      <c r="JI126" s="216"/>
      <c r="JJ126" s="216"/>
      <c r="JK126" s="216"/>
      <c r="JL126" s="216"/>
      <c r="JM126" s="216"/>
      <c r="JN126" s="216"/>
      <c r="JO126" s="216"/>
      <c r="JP126" s="216"/>
      <c r="JQ126" s="216"/>
      <c r="JR126" s="216"/>
      <c r="JS126" s="216"/>
      <c r="JT126" s="216"/>
      <c r="JU126" s="216"/>
      <c r="JV126" s="216"/>
      <c r="JW126" s="216"/>
      <c r="JX126" s="216"/>
      <c r="JY126" s="216"/>
      <c r="JZ126" s="216"/>
      <c r="KA126" s="216"/>
      <c r="KB126" s="216"/>
      <c r="KC126" s="216"/>
      <c r="KD126" s="216"/>
      <c r="KE126" s="216"/>
      <c r="KF126" s="216"/>
      <c r="KG126" s="216"/>
      <c r="KH126" s="216"/>
      <c r="KI126" s="216"/>
      <c r="KJ126" s="216"/>
      <c r="KK126" s="216"/>
      <c r="KL126" s="216"/>
      <c r="KM126" s="216"/>
      <c r="KN126" s="216"/>
      <c r="KO126" s="216"/>
      <c r="KP126" s="216"/>
      <c r="KQ126" s="216"/>
      <c r="KR126" s="216"/>
      <c r="KS126" s="216"/>
      <c r="KT126" s="216"/>
      <c r="KU126" s="216"/>
      <c r="KV126" s="216"/>
      <c r="KW126" s="216"/>
      <c r="KX126" s="216"/>
      <c r="KY126" s="216"/>
      <c r="KZ126" s="216"/>
      <c r="LA126" s="216"/>
      <c r="LB126" s="216"/>
      <c r="LC126" s="216"/>
      <c r="LD126" s="216"/>
      <c r="LE126" s="216"/>
    </row>
    <row r="127" spans="1:317" x14ac:dyDescent="0.2">
      <c r="A127" s="179" t="s">
        <v>849</v>
      </c>
      <c r="B127" s="180" t="s">
        <v>1026</v>
      </c>
      <c r="C127" s="181"/>
      <c r="D127" s="182">
        <v>0</v>
      </c>
      <c r="E127" s="182">
        <v>0</v>
      </c>
      <c r="F127" s="183" t="s">
        <v>1301</v>
      </c>
      <c r="G127" s="183">
        <v>0</v>
      </c>
      <c r="H127" s="183">
        <v>0</v>
      </c>
      <c r="I127" s="183">
        <v>0</v>
      </c>
      <c r="J127" s="183">
        <v>0</v>
      </c>
      <c r="K127" s="183" t="s">
        <v>1368</v>
      </c>
      <c r="L127" s="183">
        <v>0</v>
      </c>
      <c r="M127" s="183">
        <v>0</v>
      </c>
      <c r="N127" s="183" t="s">
        <v>881</v>
      </c>
      <c r="O127" s="183">
        <v>0</v>
      </c>
      <c r="P127" s="183">
        <v>0</v>
      </c>
      <c r="Q127" s="183"/>
      <c r="R127" s="183"/>
      <c r="S127" s="183"/>
      <c r="T127" s="183"/>
      <c r="U127" s="183"/>
      <c r="V127" s="183">
        <v>0</v>
      </c>
      <c r="W127" s="183">
        <v>0</v>
      </c>
      <c r="X127" s="183">
        <v>0</v>
      </c>
      <c r="Y127" s="184">
        <v>0</v>
      </c>
      <c r="Z127" s="184">
        <v>0.17</v>
      </c>
      <c r="AA127" s="184">
        <v>0</v>
      </c>
      <c r="AB127" s="185" t="s">
        <v>615</v>
      </c>
      <c r="AC127" s="185" t="s">
        <v>615</v>
      </c>
      <c r="AD127" s="186" t="s">
        <v>881</v>
      </c>
      <c r="AE127" s="186" t="s">
        <v>858</v>
      </c>
      <c r="AF127" s="187">
        <v>7</v>
      </c>
      <c r="AG127" s="187">
        <v>3</v>
      </c>
      <c r="AH127" s="187">
        <v>4</v>
      </c>
      <c r="AI127" s="188">
        <v>1</v>
      </c>
      <c r="AJ127" s="188" t="s">
        <v>615</v>
      </c>
      <c r="AK127" s="187" t="s">
        <v>1738</v>
      </c>
      <c r="AL127" s="87" t="s">
        <v>615</v>
      </c>
      <c r="AM127" s="189"/>
      <c r="AN127" s="187" t="s">
        <v>615</v>
      </c>
      <c r="AO127" s="13" t="s">
        <v>615</v>
      </c>
      <c r="AP127" s="187">
        <v>0</v>
      </c>
      <c r="AQ127" s="187">
        <v>0</v>
      </c>
      <c r="AR127" s="190">
        <v>0</v>
      </c>
      <c r="AS127" s="190">
        <v>0</v>
      </c>
      <c r="AT127" s="190">
        <v>0</v>
      </c>
      <c r="AU127" s="187">
        <v>0</v>
      </c>
      <c r="AV127" s="187">
        <v>0</v>
      </c>
      <c r="AW127" s="191"/>
      <c r="AX127" s="192"/>
      <c r="AY127" s="193">
        <v>42666</v>
      </c>
      <c r="AZ127" s="193"/>
      <c r="BA127" s="193"/>
      <c r="BB127" s="194"/>
      <c r="BC127" s="194"/>
      <c r="BD127" s="195"/>
      <c r="BE127" s="195" t="s">
        <v>532</v>
      </c>
      <c r="BF127" s="195"/>
      <c r="BG127" s="195">
        <v>1000</v>
      </c>
      <c r="BH127" s="196" t="s">
        <v>547</v>
      </c>
      <c r="BI127" s="197">
        <v>1</v>
      </c>
      <c r="BJ127" s="198"/>
      <c r="BK127" s="199">
        <v>0</v>
      </c>
      <c r="BL127" s="13">
        <v>0</v>
      </c>
      <c r="BM127" s="13">
        <v>0</v>
      </c>
      <c r="BN127" s="13" t="s">
        <v>616</v>
      </c>
      <c r="BO127" s="13" t="s">
        <v>616</v>
      </c>
      <c r="BP127" s="200">
        <v>0</v>
      </c>
      <c r="BQ127" s="201"/>
      <c r="BR127" s="202"/>
      <c r="BS127" s="187">
        <v>1000000000</v>
      </c>
      <c r="BT127" s="203">
        <v>0</v>
      </c>
      <c r="BU127" s="204">
        <v>0</v>
      </c>
      <c r="BV127" s="203">
        <v>0</v>
      </c>
      <c r="BW127" s="205">
        <v>0</v>
      </c>
      <c r="BX127" s="205">
        <v>0</v>
      </c>
      <c r="BY127" s="205">
        <v>0</v>
      </c>
      <c r="BZ127" s="203">
        <v>0</v>
      </c>
      <c r="CA127" s="203">
        <v>0</v>
      </c>
      <c r="CB127" s="203">
        <v>0</v>
      </c>
      <c r="CC127" s="204">
        <v>0</v>
      </c>
      <c r="CD127" s="203">
        <v>0</v>
      </c>
      <c r="CE127" s="203">
        <v>0</v>
      </c>
      <c r="CF127" s="13">
        <v>0</v>
      </c>
      <c r="CG127" s="206">
        <v>0</v>
      </c>
      <c r="CH127" s="207">
        <v>0</v>
      </c>
      <c r="CI127" s="201"/>
      <c r="CJ127" s="208"/>
      <c r="CK127" s="209" t="s">
        <v>615</v>
      </c>
      <c r="CL127" s="210" t="s">
        <v>615</v>
      </c>
      <c r="CM127" s="207">
        <v>0</v>
      </c>
      <c r="CN127" s="207">
        <v>0</v>
      </c>
      <c r="CO127" s="204">
        <v>0</v>
      </c>
      <c r="CP127" s="204">
        <v>0</v>
      </c>
      <c r="CQ127" s="211"/>
      <c r="CR127" s="204">
        <v>1</v>
      </c>
      <c r="CS127" s="212">
        <v>42558</v>
      </c>
      <c r="CT127" s="212">
        <v>42780</v>
      </c>
      <c r="CU127" s="213">
        <v>42780</v>
      </c>
      <c r="CV127" s="214">
        <v>42829</v>
      </c>
      <c r="CW127" s="214" t="s">
        <v>615</v>
      </c>
      <c r="CX127" s="214" t="s">
        <v>615</v>
      </c>
      <c r="CY127" s="204">
        <v>1</v>
      </c>
      <c r="CZ127" s="204">
        <v>0.97959183673469385</v>
      </c>
      <c r="DA127" s="203">
        <v>0</v>
      </c>
      <c r="DB127" s="204">
        <v>0.97959183673469385</v>
      </c>
      <c r="DC127" s="204">
        <v>0</v>
      </c>
      <c r="DD127" s="204">
        <v>0</v>
      </c>
      <c r="DE127" s="204">
        <v>0</v>
      </c>
      <c r="DF127" s="215">
        <v>0</v>
      </c>
      <c r="DG127" s="13" t="s">
        <v>615</v>
      </c>
      <c r="DH127" s="86">
        <v>125</v>
      </c>
      <c r="DI127" s="86"/>
      <c r="DJ127" s="86">
        <v>35</v>
      </c>
      <c r="DK127" s="86" t="s">
        <v>1529</v>
      </c>
      <c r="DL127" s="86" t="e">
        <v>#N/A</v>
      </c>
      <c r="DM127" s="86" t="e">
        <v>#N/A</v>
      </c>
      <c r="DN127" s="86" t="e">
        <v>#N/A</v>
      </c>
      <c r="DO127" s="86">
        <v>36</v>
      </c>
      <c r="DP127" s="86">
        <v>5</v>
      </c>
      <c r="DQ127" s="86">
        <v>49</v>
      </c>
      <c r="DR127" s="146">
        <v>0</v>
      </c>
      <c r="DS127" s="146">
        <v>0</v>
      </c>
      <c r="DT127" s="146">
        <v>0</v>
      </c>
      <c r="DU127" s="146">
        <v>0</v>
      </c>
      <c r="DV127" s="146">
        <v>0</v>
      </c>
      <c r="DW127" s="146">
        <v>0</v>
      </c>
      <c r="DX127" s="146">
        <v>0</v>
      </c>
      <c r="DY127" s="146">
        <v>0</v>
      </c>
      <c r="DZ127" s="146">
        <v>0</v>
      </c>
      <c r="EA127" s="146">
        <v>0</v>
      </c>
      <c r="EB127" s="146">
        <v>0</v>
      </c>
      <c r="EC127" s="146">
        <v>0</v>
      </c>
      <c r="ED127" s="146">
        <v>0</v>
      </c>
      <c r="EE127" s="146">
        <v>0</v>
      </c>
      <c r="EF127" s="146">
        <v>0</v>
      </c>
      <c r="EG127" s="146">
        <v>0</v>
      </c>
      <c r="EH127" s="146">
        <v>0</v>
      </c>
      <c r="EI127" s="146">
        <v>0</v>
      </c>
      <c r="EJ127" s="146">
        <v>0</v>
      </c>
      <c r="EK127" s="146">
        <v>0</v>
      </c>
      <c r="EL127" s="146">
        <v>0</v>
      </c>
      <c r="EM127" s="146">
        <v>0</v>
      </c>
      <c r="EN127" s="146">
        <v>0</v>
      </c>
      <c r="EO127" s="146">
        <v>0</v>
      </c>
      <c r="EP127" s="146">
        <v>0</v>
      </c>
      <c r="EQ127" s="146">
        <v>0</v>
      </c>
      <c r="ER127" s="146">
        <v>0</v>
      </c>
      <c r="ES127" s="146">
        <v>0</v>
      </c>
      <c r="ET127" s="146">
        <v>0</v>
      </c>
      <c r="EU127" s="146">
        <v>0</v>
      </c>
      <c r="EV127" s="146">
        <v>0</v>
      </c>
      <c r="EW127" s="146">
        <v>0</v>
      </c>
      <c r="EX127" s="146">
        <v>0</v>
      </c>
      <c r="EY127" s="146">
        <v>0</v>
      </c>
      <c r="EZ127" s="146">
        <v>0</v>
      </c>
      <c r="FA127" s="146">
        <v>0</v>
      </c>
      <c r="FB127" s="146">
        <v>0</v>
      </c>
      <c r="FC127" s="146">
        <v>0</v>
      </c>
      <c r="FD127" s="146">
        <v>0</v>
      </c>
      <c r="FE127" s="146">
        <v>0</v>
      </c>
      <c r="FF127" s="146">
        <v>0</v>
      </c>
      <c r="FG127" s="146">
        <v>0</v>
      </c>
      <c r="FH127" s="146">
        <v>0</v>
      </c>
      <c r="FI127" s="146">
        <v>0</v>
      </c>
      <c r="FJ127" s="146">
        <v>0</v>
      </c>
      <c r="FK127" s="146">
        <v>0</v>
      </c>
      <c r="FL127" s="146">
        <v>0</v>
      </c>
      <c r="FM127" s="146">
        <v>0</v>
      </c>
      <c r="FN127" s="146">
        <v>0</v>
      </c>
      <c r="FO127" s="146">
        <v>0</v>
      </c>
      <c r="FP127" s="146">
        <v>0</v>
      </c>
      <c r="FQ127" s="146">
        <v>0</v>
      </c>
      <c r="FR127" s="146">
        <v>0</v>
      </c>
      <c r="FS127" s="146">
        <v>0</v>
      </c>
      <c r="FT127" s="146">
        <v>0</v>
      </c>
      <c r="FU127" s="146">
        <v>0</v>
      </c>
      <c r="FV127" s="146">
        <v>0</v>
      </c>
      <c r="FW127" s="146">
        <v>0</v>
      </c>
      <c r="FX127" s="146">
        <v>0</v>
      </c>
      <c r="FY127" s="146">
        <v>0</v>
      </c>
      <c r="FZ127" s="146">
        <v>0</v>
      </c>
      <c r="GA127" s="146">
        <v>0</v>
      </c>
      <c r="GB127" s="146">
        <v>0</v>
      </c>
      <c r="GC127" s="146">
        <v>0</v>
      </c>
      <c r="GD127" s="146">
        <v>0</v>
      </c>
      <c r="GE127" s="146">
        <v>0</v>
      </c>
      <c r="GF127" s="146">
        <v>0</v>
      </c>
      <c r="GG127" s="146">
        <v>0</v>
      </c>
      <c r="GH127" s="146">
        <v>0</v>
      </c>
      <c r="GI127" s="146">
        <v>0</v>
      </c>
      <c r="GJ127" s="146">
        <v>0</v>
      </c>
      <c r="GK127" s="146">
        <v>0</v>
      </c>
      <c r="GL127" s="146">
        <v>0</v>
      </c>
      <c r="GM127" s="146">
        <v>0</v>
      </c>
      <c r="GN127" s="146">
        <v>0</v>
      </c>
      <c r="GO127" s="146">
        <v>0</v>
      </c>
      <c r="GP127" s="146">
        <v>0</v>
      </c>
      <c r="GQ127" s="146">
        <v>0</v>
      </c>
      <c r="GR127" s="146">
        <v>0</v>
      </c>
      <c r="GS127" s="146">
        <v>0</v>
      </c>
      <c r="GT127" s="146">
        <v>0</v>
      </c>
      <c r="GU127" s="146">
        <v>0</v>
      </c>
      <c r="GV127" s="146">
        <v>0</v>
      </c>
      <c r="GW127" s="146">
        <v>0</v>
      </c>
      <c r="GX127" s="146">
        <v>0</v>
      </c>
      <c r="GY127" s="146">
        <v>0</v>
      </c>
      <c r="GZ127" s="146">
        <v>0</v>
      </c>
      <c r="HA127" s="146">
        <v>0</v>
      </c>
      <c r="HB127" s="146">
        <v>0</v>
      </c>
      <c r="HC127" s="146">
        <v>0</v>
      </c>
      <c r="HD127" s="146">
        <v>0</v>
      </c>
      <c r="HE127" s="146">
        <v>0</v>
      </c>
      <c r="HF127" s="146">
        <v>0</v>
      </c>
      <c r="HG127" s="146">
        <v>0</v>
      </c>
      <c r="HH127" s="146">
        <v>0</v>
      </c>
      <c r="HI127" s="146">
        <v>0</v>
      </c>
      <c r="HJ127" s="146">
        <v>0</v>
      </c>
      <c r="HK127" s="146">
        <v>0</v>
      </c>
      <c r="HL127" s="146">
        <v>0</v>
      </c>
      <c r="HM127" s="146">
        <v>0</v>
      </c>
      <c r="HN127" s="146">
        <v>0</v>
      </c>
      <c r="HO127" s="146">
        <v>0</v>
      </c>
      <c r="HP127" s="146">
        <v>0</v>
      </c>
      <c r="HQ127" s="146">
        <v>0</v>
      </c>
      <c r="HR127" s="146">
        <v>0</v>
      </c>
      <c r="HS127" s="146">
        <v>0</v>
      </c>
      <c r="HT127" s="146">
        <v>0</v>
      </c>
      <c r="HU127" s="151"/>
      <c r="HV127" s="146">
        <v>0</v>
      </c>
      <c r="HW127" s="151"/>
      <c r="HX127" s="151"/>
      <c r="HY127" s="151"/>
      <c r="HZ127" s="151"/>
      <c r="IA127" s="151"/>
      <c r="IB127" s="151"/>
      <c r="IC127" s="151"/>
      <c r="ID127" s="151"/>
      <c r="IE127" s="151"/>
      <c r="IF127" s="151"/>
      <c r="IG127" s="151"/>
      <c r="IH127" s="151"/>
      <c r="II127" s="151"/>
      <c r="IJ127" s="151"/>
      <c r="IK127" s="151"/>
      <c r="IL127" s="151"/>
      <c r="IM127" s="151"/>
      <c r="IN127" s="151"/>
      <c r="IO127" s="151"/>
      <c r="IP127" s="151"/>
      <c r="IQ127" s="151"/>
      <c r="IR127" s="151"/>
      <c r="IS127" s="151"/>
      <c r="IT127" s="151"/>
      <c r="IU127" s="151"/>
      <c r="IV127" s="151"/>
      <c r="IW127" s="151"/>
      <c r="IX127" s="151"/>
      <c r="IY127" s="151"/>
      <c r="IZ127" s="151"/>
      <c r="JA127" s="151"/>
      <c r="JB127" s="151"/>
      <c r="JC127" s="151"/>
      <c r="JD127" s="151"/>
      <c r="JE127" s="151"/>
      <c r="JF127" s="151"/>
      <c r="JG127" s="151"/>
      <c r="JH127" s="151"/>
      <c r="JI127" s="151"/>
      <c r="JJ127" s="151"/>
      <c r="JK127" s="151"/>
      <c r="JL127" s="151"/>
      <c r="JM127" s="151"/>
      <c r="JN127" s="151"/>
      <c r="JO127" s="151"/>
      <c r="JP127" s="151"/>
      <c r="JQ127" s="151"/>
      <c r="JR127" s="151"/>
      <c r="JS127" s="151"/>
      <c r="JT127" s="151"/>
      <c r="JU127" s="151"/>
      <c r="JV127" s="151"/>
      <c r="JW127" s="151"/>
      <c r="JX127" s="151"/>
      <c r="JY127" s="151"/>
      <c r="JZ127" s="151"/>
      <c r="KA127" s="151"/>
      <c r="KB127" s="151"/>
      <c r="KC127" s="151"/>
      <c r="KD127" s="151"/>
      <c r="KE127" s="151"/>
      <c r="KF127" s="151"/>
      <c r="KG127" s="151"/>
      <c r="KH127" s="151"/>
      <c r="KI127" s="151"/>
      <c r="KJ127" s="151"/>
      <c r="KK127" s="151"/>
      <c r="KL127" s="151"/>
      <c r="KM127" s="151"/>
      <c r="KN127" s="151"/>
      <c r="KO127" s="151"/>
      <c r="KP127" s="151"/>
      <c r="KQ127" s="151"/>
      <c r="KR127" s="151"/>
      <c r="KS127" s="151"/>
      <c r="KT127" s="151"/>
      <c r="KU127" s="151"/>
      <c r="KV127" s="151"/>
      <c r="KW127" s="151"/>
      <c r="KX127" s="151"/>
      <c r="KY127" s="151"/>
      <c r="KZ127" s="151"/>
      <c r="LA127" s="151"/>
      <c r="LB127" s="151"/>
      <c r="LC127" s="151"/>
      <c r="LD127" s="151"/>
      <c r="LE127" s="151"/>
    </row>
    <row r="128" spans="1:317" x14ac:dyDescent="0.2">
      <c r="A128" s="179" t="s">
        <v>849</v>
      </c>
      <c r="B128" s="180" t="s">
        <v>1027</v>
      </c>
      <c r="C128" s="181"/>
      <c r="D128" s="182">
        <v>0</v>
      </c>
      <c r="E128" s="182">
        <v>0</v>
      </c>
      <c r="F128" s="183" t="s">
        <v>1439</v>
      </c>
      <c r="G128" s="183">
        <v>0</v>
      </c>
      <c r="H128" s="183">
        <v>0</v>
      </c>
      <c r="I128" s="183">
        <v>0</v>
      </c>
      <c r="J128" s="183">
        <v>0</v>
      </c>
      <c r="K128" s="183" t="s">
        <v>1368</v>
      </c>
      <c r="L128" s="183">
        <v>0</v>
      </c>
      <c r="M128" s="183">
        <v>0</v>
      </c>
      <c r="N128" s="183" t="s">
        <v>881</v>
      </c>
      <c r="O128" s="183">
        <v>0</v>
      </c>
      <c r="P128" s="183">
        <v>0</v>
      </c>
      <c r="Q128" s="183"/>
      <c r="R128" s="183"/>
      <c r="S128" s="183"/>
      <c r="T128" s="183"/>
      <c r="U128" s="183"/>
      <c r="V128" s="183">
        <v>0</v>
      </c>
      <c r="W128" s="183">
        <v>0</v>
      </c>
      <c r="X128" s="183">
        <v>0</v>
      </c>
      <c r="Y128" s="184">
        <v>0</v>
      </c>
      <c r="Z128" s="184">
        <v>0.44</v>
      </c>
      <c r="AA128" s="184">
        <v>0</v>
      </c>
      <c r="AB128" s="185" t="s">
        <v>615</v>
      </c>
      <c r="AC128" s="185" t="s">
        <v>615</v>
      </c>
      <c r="AD128" s="186" t="s">
        <v>881</v>
      </c>
      <c r="AE128" s="186" t="s">
        <v>858</v>
      </c>
      <c r="AF128" s="187">
        <v>7</v>
      </c>
      <c r="AG128" s="187">
        <v>3</v>
      </c>
      <c r="AH128" s="187">
        <v>4</v>
      </c>
      <c r="AI128" s="188">
        <v>1</v>
      </c>
      <c r="AJ128" s="188" t="s">
        <v>615</v>
      </c>
      <c r="AK128" s="187" t="s">
        <v>1738</v>
      </c>
      <c r="AL128" s="87" t="s">
        <v>615</v>
      </c>
      <c r="AM128" s="189"/>
      <c r="AN128" s="187" t="s">
        <v>615</v>
      </c>
      <c r="AO128" s="13" t="s">
        <v>615</v>
      </c>
      <c r="AP128" s="187">
        <v>0</v>
      </c>
      <c r="AQ128" s="187">
        <v>0</v>
      </c>
      <c r="AR128" s="190">
        <v>0</v>
      </c>
      <c r="AS128" s="190">
        <v>0</v>
      </c>
      <c r="AT128" s="190">
        <v>0</v>
      </c>
      <c r="AU128" s="187">
        <v>0</v>
      </c>
      <c r="AV128" s="187">
        <v>0</v>
      </c>
      <c r="AW128" s="191"/>
      <c r="AX128" s="192"/>
      <c r="AY128" s="193">
        <v>42666</v>
      </c>
      <c r="AZ128" s="193"/>
      <c r="BA128" s="193"/>
      <c r="BB128" s="194"/>
      <c r="BC128" s="194"/>
      <c r="BD128" s="195"/>
      <c r="BE128" s="195" t="s">
        <v>532</v>
      </c>
      <c r="BF128" s="195"/>
      <c r="BG128" s="195">
        <v>1000</v>
      </c>
      <c r="BH128" s="196" t="s">
        <v>547</v>
      </c>
      <c r="BI128" s="197">
        <v>1</v>
      </c>
      <c r="BJ128" s="198"/>
      <c r="BK128" s="199">
        <v>0</v>
      </c>
      <c r="BL128" s="13">
        <v>0</v>
      </c>
      <c r="BM128" s="13">
        <v>0</v>
      </c>
      <c r="BN128" s="13" t="s">
        <v>616</v>
      </c>
      <c r="BO128" s="13" t="s">
        <v>616</v>
      </c>
      <c r="BP128" s="200">
        <v>0</v>
      </c>
      <c r="BQ128" s="201"/>
      <c r="BR128" s="202"/>
      <c r="BS128" s="187">
        <v>1000000000</v>
      </c>
      <c r="BT128" s="203">
        <v>0</v>
      </c>
      <c r="BU128" s="204">
        <v>0</v>
      </c>
      <c r="BV128" s="203">
        <v>0</v>
      </c>
      <c r="BW128" s="205">
        <v>0</v>
      </c>
      <c r="BX128" s="205">
        <v>0</v>
      </c>
      <c r="BY128" s="205">
        <v>0</v>
      </c>
      <c r="BZ128" s="203">
        <v>0</v>
      </c>
      <c r="CA128" s="203">
        <v>0</v>
      </c>
      <c r="CB128" s="203">
        <v>0</v>
      </c>
      <c r="CC128" s="204">
        <v>0</v>
      </c>
      <c r="CD128" s="203">
        <v>0</v>
      </c>
      <c r="CE128" s="203">
        <v>0</v>
      </c>
      <c r="CF128" s="13">
        <v>0</v>
      </c>
      <c r="CG128" s="206">
        <v>0</v>
      </c>
      <c r="CH128" s="207">
        <v>0</v>
      </c>
      <c r="CI128" s="201"/>
      <c r="CJ128" s="208"/>
      <c r="CK128" s="209" t="s">
        <v>615</v>
      </c>
      <c r="CL128" s="210" t="s">
        <v>615</v>
      </c>
      <c r="CM128" s="207">
        <v>0</v>
      </c>
      <c r="CN128" s="207">
        <v>0</v>
      </c>
      <c r="CO128" s="204">
        <v>0</v>
      </c>
      <c r="CP128" s="204">
        <v>0</v>
      </c>
      <c r="CQ128" s="211"/>
      <c r="CR128" s="204">
        <v>1</v>
      </c>
      <c r="CS128" s="212">
        <v>42558</v>
      </c>
      <c r="CT128" s="212">
        <v>42780</v>
      </c>
      <c r="CU128" s="213">
        <v>42780</v>
      </c>
      <c r="CV128" s="214">
        <v>42829</v>
      </c>
      <c r="CW128" s="214" t="s">
        <v>615</v>
      </c>
      <c r="CX128" s="214" t="s">
        <v>615</v>
      </c>
      <c r="CY128" s="204">
        <v>1</v>
      </c>
      <c r="CZ128" s="204">
        <v>0.97959183673469385</v>
      </c>
      <c r="DA128" s="203">
        <v>0</v>
      </c>
      <c r="DB128" s="204">
        <v>0.97959183673469385</v>
      </c>
      <c r="DC128" s="204">
        <v>0</v>
      </c>
      <c r="DD128" s="204">
        <v>0</v>
      </c>
      <c r="DE128" s="204">
        <v>0</v>
      </c>
      <c r="DF128" s="215">
        <v>0</v>
      </c>
      <c r="DG128" s="13" t="s">
        <v>615</v>
      </c>
      <c r="DH128" s="86">
        <v>126</v>
      </c>
      <c r="DI128" s="86"/>
      <c r="DJ128" s="86">
        <v>37</v>
      </c>
      <c r="DK128" s="86" t="s">
        <v>1531</v>
      </c>
      <c r="DL128" s="86" t="e">
        <v>#N/A</v>
      </c>
      <c r="DM128" s="86" t="e">
        <v>#N/A</v>
      </c>
      <c r="DN128" s="86" t="e">
        <v>#N/A</v>
      </c>
      <c r="DO128" s="86">
        <v>38</v>
      </c>
      <c r="DP128" s="86">
        <v>5</v>
      </c>
      <c r="DQ128" s="86">
        <v>49</v>
      </c>
      <c r="DR128" s="152">
        <v>0</v>
      </c>
      <c r="DS128" s="152">
        <v>0</v>
      </c>
      <c r="DT128" s="152">
        <v>0</v>
      </c>
      <c r="DU128" s="152">
        <v>0</v>
      </c>
      <c r="DV128" s="152">
        <v>0</v>
      </c>
      <c r="DW128" s="152">
        <v>0</v>
      </c>
      <c r="DX128" s="152">
        <v>0</v>
      </c>
      <c r="DY128" s="152">
        <v>0</v>
      </c>
      <c r="DZ128" s="152">
        <v>0</v>
      </c>
      <c r="EA128" s="152">
        <v>0</v>
      </c>
      <c r="EB128" s="152">
        <v>0</v>
      </c>
      <c r="EC128" s="152">
        <v>0</v>
      </c>
      <c r="ED128" s="152">
        <v>0</v>
      </c>
      <c r="EE128" s="152">
        <v>0</v>
      </c>
      <c r="EF128" s="152">
        <v>0</v>
      </c>
      <c r="EG128" s="152">
        <v>0</v>
      </c>
      <c r="EH128" s="152">
        <v>0</v>
      </c>
      <c r="EI128" s="152">
        <v>0</v>
      </c>
      <c r="EJ128" s="152">
        <v>0</v>
      </c>
      <c r="EK128" s="152">
        <v>0</v>
      </c>
      <c r="EL128" s="152">
        <v>0</v>
      </c>
      <c r="EM128" s="152">
        <v>0</v>
      </c>
      <c r="EN128" s="152">
        <v>0</v>
      </c>
      <c r="EO128" s="152">
        <v>0</v>
      </c>
      <c r="EP128" s="152">
        <v>0</v>
      </c>
      <c r="EQ128" s="152">
        <v>0</v>
      </c>
      <c r="ER128" s="152">
        <v>0</v>
      </c>
      <c r="ES128" s="152">
        <v>0</v>
      </c>
      <c r="ET128" s="152">
        <v>0</v>
      </c>
      <c r="EU128" s="152">
        <v>0</v>
      </c>
      <c r="EV128" s="152">
        <v>0</v>
      </c>
      <c r="EW128" s="152">
        <v>0</v>
      </c>
      <c r="EX128" s="152">
        <v>0</v>
      </c>
      <c r="EY128" s="152">
        <v>0</v>
      </c>
      <c r="EZ128" s="152">
        <v>0</v>
      </c>
      <c r="FA128" s="152">
        <v>0</v>
      </c>
      <c r="FB128" s="152">
        <v>0</v>
      </c>
      <c r="FC128" s="152">
        <v>0</v>
      </c>
      <c r="FD128" s="152">
        <v>0</v>
      </c>
      <c r="FE128" s="152">
        <v>0</v>
      </c>
      <c r="FF128" s="152">
        <v>0</v>
      </c>
      <c r="FG128" s="152">
        <v>0</v>
      </c>
      <c r="FH128" s="152">
        <v>0</v>
      </c>
      <c r="FI128" s="152">
        <v>0</v>
      </c>
      <c r="FJ128" s="152">
        <v>0</v>
      </c>
      <c r="FK128" s="152">
        <v>0</v>
      </c>
      <c r="FL128" s="152">
        <v>0</v>
      </c>
      <c r="FM128" s="152">
        <v>0</v>
      </c>
      <c r="FN128" s="152">
        <v>0</v>
      </c>
      <c r="FO128" s="152">
        <v>0</v>
      </c>
      <c r="FP128" s="152">
        <v>0</v>
      </c>
      <c r="FQ128" s="152">
        <v>0</v>
      </c>
      <c r="FR128" s="152">
        <v>0</v>
      </c>
      <c r="FS128" s="152">
        <v>0</v>
      </c>
      <c r="FT128" s="152">
        <v>0</v>
      </c>
      <c r="FU128" s="152">
        <v>0</v>
      </c>
      <c r="FV128" s="152">
        <v>0</v>
      </c>
      <c r="FW128" s="152">
        <v>0</v>
      </c>
      <c r="FX128" s="152">
        <v>0</v>
      </c>
      <c r="FY128" s="152">
        <v>0</v>
      </c>
      <c r="FZ128" s="152">
        <v>0</v>
      </c>
      <c r="GA128" s="152">
        <v>0</v>
      </c>
      <c r="GB128" s="152">
        <v>0</v>
      </c>
      <c r="GC128" s="152">
        <v>0</v>
      </c>
      <c r="GD128" s="152">
        <v>0</v>
      </c>
      <c r="GE128" s="152">
        <v>0</v>
      </c>
      <c r="GF128" s="152">
        <v>0</v>
      </c>
      <c r="GG128" s="152">
        <v>0</v>
      </c>
      <c r="GH128" s="152">
        <v>0</v>
      </c>
      <c r="GI128" s="152">
        <v>0</v>
      </c>
      <c r="GJ128" s="152">
        <v>0</v>
      </c>
      <c r="GK128" s="152">
        <v>0</v>
      </c>
      <c r="GL128" s="152">
        <v>0</v>
      </c>
      <c r="GM128" s="152">
        <v>0</v>
      </c>
      <c r="GN128" s="152">
        <v>0</v>
      </c>
      <c r="GO128" s="152">
        <v>0</v>
      </c>
      <c r="GP128" s="152">
        <v>0</v>
      </c>
      <c r="GQ128" s="152">
        <v>0</v>
      </c>
      <c r="GR128" s="152">
        <v>0</v>
      </c>
      <c r="GS128" s="152">
        <v>0</v>
      </c>
      <c r="GT128" s="152">
        <v>0</v>
      </c>
      <c r="GU128" s="152">
        <v>0</v>
      </c>
      <c r="GV128" s="152">
        <v>0</v>
      </c>
      <c r="GW128" s="152">
        <v>0</v>
      </c>
      <c r="GX128" s="152">
        <v>0</v>
      </c>
      <c r="GY128" s="152">
        <v>0</v>
      </c>
      <c r="GZ128" s="152">
        <v>0</v>
      </c>
      <c r="HA128" s="152">
        <v>0</v>
      </c>
      <c r="HB128" s="152">
        <v>0</v>
      </c>
      <c r="HC128" s="152">
        <v>0</v>
      </c>
      <c r="HD128" s="152">
        <v>0</v>
      </c>
      <c r="HE128" s="152">
        <v>0</v>
      </c>
      <c r="HF128" s="152">
        <v>0</v>
      </c>
      <c r="HG128" s="152">
        <v>0</v>
      </c>
      <c r="HH128" s="152">
        <v>0</v>
      </c>
      <c r="HI128" s="152">
        <v>0</v>
      </c>
      <c r="HJ128" s="152">
        <v>0</v>
      </c>
      <c r="HK128" s="152">
        <v>0</v>
      </c>
      <c r="HL128" s="152">
        <v>0</v>
      </c>
      <c r="HM128" s="152">
        <v>0</v>
      </c>
      <c r="HN128" s="152">
        <v>0</v>
      </c>
      <c r="HO128" s="152">
        <v>0</v>
      </c>
      <c r="HP128" s="152">
        <v>0</v>
      </c>
      <c r="HQ128" s="152">
        <v>0</v>
      </c>
      <c r="HR128" s="152">
        <v>0</v>
      </c>
      <c r="HS128" s="152">
        <v>0</v>
      </c>
      <c r="HT128" s="152">
        <v>0</v>
      </c>
      <c r="HU128" s="216"/>
      <c r="HV128" s="152">
        <v>0</v>
      </c>
      <c r="HW128" s="216"/>
      <c r="HX128" s="216"/>
      <c r="HY128" s="216"/>
      <c r="HZ128" s="216"/>
      <c r="IA128" s="216"/>
      <c r="IB128" s="216"/>
      <c r="IC128" s="216"/>
      <c r="ID128" s="216"/>
      <c r="IE128" s="216"/>
      <c r="IF128" s="216"/>
      <c r="IG128" s="216"/>
      <c r="IH128" s="216"/>
      <c r="II128" s="216"/>
      <c r="IJ128" s="216"/>
      <c r="IK128" s="216"/>
      <c r="IL128" s="216"/>
      <c r="IM128" s="216"/>
      <c r="IN128" s="216"/>
      <c r="IO128" s="216"/>
      <c r="IP128" s="216"/>
      <c r="IQ128" s="216"/>
      <c r="IR128" s="216"/>
      <c r="IS128" s="216"/>
      <c r="IT128" s="216"/>
      <c r="IU128" s="216"/>
      <c r="IV128" s="216"/>
      <c r="IW128" s="216"/>
      <c r="IX128" s="216"/>
      <c r="IY128" s="216"/>
      <c r="IZ128" s="216"/>
      <c r="JA128" s="216"/>
      <c r="JB128" s="216"/>
      <c r="JC128" s="216"/>
      <c r="JD128" s="216"/>
      <c r="JE128" s="216"/>
      <c r="JF128" s="216"/>
      <c r="JG128" s="216"/>
      <c r="JH128" s="216"/>
      <c r="JI128" s="216"/>
      <c r="JJ128" s="216"/>
      <c r="JK128" s="216"/>
      <c r="JL128" s="216"/>
      <c r="JM128" s="216"/>
      <c r="JN128" s="216"/>
      <c r="JO128" s="216"/>
      <c r="JP128" s="216"/>
      <c r="JQ128" s="216"/>
      <c r="JR128" s="216"/>
      <c r="JS128" s="216"/>
      <c r="JT128" s="216"/>
      <c r="JU128" s="216"/>
      <c r="JV128" s="216"/>
      <c r="JW128" s="216"/>
      <c r="JX128" s="216"/>
      <c r="JY128" s="216"/>
      <c r="JZ128" s="216"/>
      <c r="KA128" s="216"/>
      <c r="KB128" s="216"/>
      <c r="KC128" s="216"/>
      <c r="KD128" s="216"/>
      <c r="KE128" s="216"/>
      <c r="KF128" s="216"/>
      <c r="KG128" s="216"/>
      <c r="KH128" s="216"/>
      <c r="KI128" s="216"/>
      <c r="KJ128" s="216"/>
      <c r="KK128" s="216"/>
      <c r="KL128" s="216"/>
      <c r="KM128" s="216"/>
      <c r="KN128" s="216"/>
      <c r="KO128" s="216"/>
      <c r="KP128" s="216"/>
      <c r="KQ128" s="216"/>
      <c r="KR128" s="216"/>
      <c r="KS128" s="216"/>
      <c r="KT128" s="216"/>
      <c r="KU128" s="216"/>
      <c r="KV128" s="216"/>
      <c r="KW128" s="216"/>
      <c r="KX128" s="216"/>
      <c r="KY128" s="216"/>
      <c r="KZ128" s="216"/>
      <c r="LA128" s="216"/>
      <c r="LB128" s="216"/>
      <c r="LC128" s="216"/>
      <c r="LD128" s="216"/>
      <c r="LE128" s="216"/>
    </row>
    <row r="129" spans="1:317" x14ac:dyDescent="0.2">
      <c r="A129" s="179" t="s">
        <v>849</v>
      </c>
      <c r="B129" s="180" t="s">
        <v>1028</v>
      </c>
      <c r="C129" s="181"/>
      <c r="D129" s="182">
        <v>0</v>
      </c>
      <c r="E129" s="182">
        <v>0</v>
      </c>
      <c r="F129" s="183" t="s">
        <v>1302</v>
      </c>
      <c r="G129" s="183">
        <v>0</v>
      </c>
      <c r="H129" s="183">
        <v>0</v>
      </c>
      <c r="I129" s="183">
        <v>0</v>
      </c>
      <c r="J129" s="183">
        <v>0</v>
      </c>
      <c r="K129" s="183" t="s">
        <v>1368</v>
      </c>
      <c r="L129" s="183">
        <v>0</v>
      </c>
      <c r="M129" s="183">
        <v>0</v>
      </c>
      <c r="N129" s="183" t="s">
        <v>881</v>
      </c>
      <c r="O129" s="183">
        <v>0</v>
      </c>
      <c r="P129" s="183">
        <v>0</v>
      </c>
      <c r="Q129" s="183"/>
      <c r="R129" s="183"/>
      <c r="S129" s="183"/>
      <c r="T129" s="183"/>
      <c r="U129" s="183"/>
      <c r="V129" s="183">
        <v>0</v>
      </c>
      <c r="W129" s="183">
        <v>0</v>
      </c>
      <c r="X129" s="183">
        <v>0</v>
      </c>
      <c r="Y129" s="184">
        <v>0</v>
      </c>
      <c r="Z129" s="184">
        <v>0.59</v>
      </c>
      <c r="AA129" s="184">
        <v>0</v>
      </c>
      <c r="AB129" s="185" t="s">
        <v>615</v>
      </c>
      <c r="AC129" s="185" t="s">
        <v>615</v>
      </c>
      <c r="AD129" s="186" t="s">
        <v>881</v>
      </c>
      <c r="AE129" s="186" t="s">
        <v>858</v>
      </c>
      <c r="AF129" s="187">
        <v>7</v>
      </c>
      <c r="AG129" s="187">
        <v>3</v>
      </c>
      <c r="AH129" s="187">
        <v>4</v>
      </c>
      <c r="AI129" s="188">
        <v>1</v>
      </c>
      <c r="AJ129" s="188" t="s">
        <v>615</v>
      </c>
      <c r="AK129" s="187" t="s">
        <v>1738</v>
      </c>
      <c r="AL129" s="87" t="s">
        <v>615</v>
      </c>
      <c r="AM129" s="189"/>
      <c r="AN129" s="187" t="s">
        <v>615</v>
      </c>
      <c r="AO129" s="13" t="s">
        <v>615</v>
      </c>
      <c r="AP129" s="187">
        <v>0</v>
      </c>
      <c r="AQ129" s="187">
        <v>0</v>
      </c>
      <c r="AR129" s="190">
        <v>0</v>
      </c>
      <c r="AS129" s="190">
        <v>0</v>
      </c>
      <c r="AT129" s="190">
        <v>0</v>
      </c>
      <c r="AU129" s="187">
        <v>0</v>
      </c>
      <c r="AV129" s="187">
        <v>0</v>
      </c>
      <c r="AW129" s="191"/>
      <c r="AX129" s="192"/>
      <c r="AY129" s="193">
        <v>42666</v>
      </c>
      <c r="AZ129" s="193"/>
      <c r="BA129" s="193"/>
      <c r="BB129" s="194"/>
      <c r="BC129" s="194"/>
      <c r="BD129" s="195"/>
      <c r="BE129" s="195" t="s">
        <v>532</v>
      </c>
      <c r="BF129" s="195"/>
      <c r="BG129" s="195">
        <v>1000</v>
      </c>
      <c r="BH129" s="196" t="s">
        <v>547</v>
      </c>
      <c r="BI129" s="197">
        <v>1</v>
      </c>
      <c r="BJ129" s="198"/>
      <c r="BK129" s="199">
        <v>0</v>
      </c>
      <c r="BL129" s="13">
        <v>0</v>
      </c>
      <c r="BM129" s="13">
        <v>0</v>
      </c>
      <c r="BN129" s="13" t="s">
        <v>616</v>
      </c>
      <c r="BO129" s="13" t="s">
        <v>616</v>
      </c>
      <c r="BP129" s="200">
        <v>0</v>
      </c>
      <c r="BQ129" s="201"/>
      <c r="BR129" s="202"/>
      <c r="BS129" s="187">
        <v>1000000000</v>
      </c>
      <c r="BT129" s="203">
        <v>0</v>
      </c>
      <c r="BU129" s="204">
        <v>0</v>
      </c>
      <c r="BV129" s="203">
        <v>0</v>
      </c>
      <c r="BW129" s="205">
        <v>0</v>
      </c>
      <c r="BX129" s="205">
        <v>0</v>
      </c>
      <c r="BY129" s="205">
        <v>0</v>
      </c>
      <c r="BZ129" s="203">
        <v>0</v>
      </c>
      <c r="CA129" s="203">
        <v>0</v>
      </c>
      <c r="CB129" s="203">
        <v>0</v>
      </c>
      <c r="CC129" s="204">
        <v>0</v>
      </c>
      <c r="CD129" s="203">
        <v>0</v>
      </c>
      <c r="CE129" s="203">
        <v>0</v>
      </c>
      <c r="CF129" s="13">
        <v>0</v>
      </c>
      <c r="CG129" s="206">
        <v>0</v>
      </c>
      <c r="CH129" s="207">
        <v>0</v>
      </c>
      <c r="CI129" s="201"/>
      <c r="CJ129" s="208"/>
      <c r="CK129" s="209" t="s">
        <v>615</v>
      </c>
      <c r="CL129" s="210" t="s">
        <v>615</v>
      </c>
      <c r="CM129" s="207">
        <v>0</v>
      </c>
      <c r="CN129" s="207">
        <v>0</v>
      </c>
      <c r="CO129" s="204">
        <v>0</v>
      </c>
      <c r="CP129" s="204">
        <v>0</v>
      </c>
      <c r="CQ129" s="211"/>
      <c r="CR129" s="204">
        <v>1</v>
      </c>
      <c r="CS129" s="212">
        <v>42558</v>
      </c>
      <c r="CT129" s="212">
        <v>42780</v>
      </c>
      <c r="CU129" s="213">
        <v>42780</v>
      </c>
      <c r="CV129" s="214">
        <v>42829</v>
      </c>
      <c r="CW129" s="214" t="s">
        <v>615</v>
      </c>
      <c r="CX129" s="214" t="s">
        <v>615</v>
      </c>
      <c r="CY129" s="204">
        <v>1</v>
      </c>
      <c r="CZ129" s="204">
        <v>0.97959183673469385</v>
      </c>
      <c r="DA129" s="203">
        <v>0</v>
      </c>
      <c r="DB129" s="204">
        <v>0.97959183673469385</v>
      </c>
      <c r="DC129" s="204">
        <v>0</v>
      </c>
      <c r="DD129" s="204">
        <v>0</v>
      </c>
      <c r="DE129" s="204">
        <v>0</v>
      </c>
      <c r="DF129" s="215">
        <v>0</v>
      </c>
      <c r="DG129" s="13" t="s">
        <v>615</v>
      </c>
      <c r="DH129" s="86">
        <v>127</v>
      </c>
      <c r="DI129" s="86"/>
      <c r="DJ129" s="86">
        <v>38</v>
      </c>
      <c r="DK129" s="86" t="s">
        <v>1532</v>
      </c>
      <c r="DL129" s="86" t="e">
        <v>#N/A</v>
      </c>
      <c r="DM129" s="86" t="e">
        <v>#N/A</v>
      </c>
      <c r="DN129" s="86" t="e">
        <v>#N/A</v>
      </c>
      <c r="DO129" s="86">
        <v>39</v>
      </c>
      <c r="DP129" s="86">
        <v>5</v>
      </c>
      <c r="DQ129" s="86">
        <v>49</v>
      </c>
      <c r="DR129" s="146">
        <v>0</v>
      </c>
      <c r="DS129" s="146">
        <v>0</v>
      </c>
      <c r="DT129" s="146">
        <v>0</v>
      </c>
      <c r="DU129" s="146">
        <v>0</v>
      </c>
      <c r="DV129" s="146">
        <v>0</v>
      </c>
      <c r="DW129" s="146">
        <v>0</v>
      </c>
      <c r="DX129" s="146">
        <v>0</v>
      </c>
      <c r="DY129" s="146">
        <v>0</v>
      </c>
      <c r="DZ129" s="146">
        <v>0</v>
      </c>
      <c r="EA129" s="146">
        <v>0</v>
      </c>
      <c r="EB129" s="146">
        <v>0</v>
      </c>
      <c r="EC129" s="146">
        <v>0</v>
      </c>
      <c r="ED129" s="146">
        <v>0</v>
      </c>
      <c r="EE129" s="146">
        <v>0</v>
      </c>
      <c r="EF129" s="146">
        <v>0</v>
      </c>
      <c r="EG129" s="146">
        <v>0</v>
      </c>
      <c r="EH129" s="146">
        <v>0</v>
      </c>
      <c r="EI129" s="146">
        <v>0</v>
      </c>
      <c r="EJ129" s="146">
        <v>0</v>
      </c>
      <c r="EK129" s="146">
        <v>0</v>
      </c>
      <c r="EL129" s="146">
        <v>0</v>
      </c>
      <c r="EM129" s="146">
        <v>0</v>
      </c>
      <c r="EN129" s="146">
        <v>0</v>
      </c>
      <c r="EO129" s="146">
        <v>0</v>
      </c>
      <c r="EP129" s="146">
        <v>0</v>
      </c>
      <c r="EQ129" s="146">
        <v>0</v>
      </c>
      <c r="ER129" s="146">
        <v>0</v>
      </c>
      <c r="ES129" s="146">
        <v>0</v>
      </c>
      <c r="ET129" s="146">
        <v>0</v>
      </c>
      <c r="EU129" s="146">
        <v>0</v>
      </c>
      <c r="EV129" s="146">
        <v>0</v>
      </c>
      <c r="EW129" s="146">
        <v>0</v>
      </c>
      <c r="EX129" s="146">
        <v>0</v>
      </c>
      <c r="EY129" s="146">
        <v>0</v>
      </c>
      <c r="EZ129" s="146">
        <v>0</v>
      </c>
      <c r="FA129" s="146">
        <v>0</v>
      </c>
      <c r="FB129" s="146">
        <v>0</v>
      </c>
      <c r="FC129" s="146">
        <v>0</v>
      </c>
      <c r="FD129" s="146">
        <v>0</v>
      </c>
      <c r="FE129" s="146">
        <v>0</v>
      </c>
      <c r="FF129" s="146">
        <v>0</v>
      </c>
      <c r="FG129" s="146">
        <v>0</v>
      </c>
      <c r="FH129" s="146">
        <v>0</v>
      </c>
      <c r="FI129" s="146">
        <v>0</v>
      </c>
      <c r="FJ129" s="146">
        <v>0</v>
      </c>
      <c r="FK129" s="146">
        <v>0</v>
      </c>
      <c r="FL129" s="146">
        <v>0</v>
      </c>
      <c r="FM129" s="146">
        <v>0</v>
      </c>
      <c r="FN129" s="146">
        <v>0</v>
      </c>
      <c r="FO129" s="146">
        <v>0</v>
      </c>
      <c r="FP129" s="146">
        <v>0</v>
      </c>
      <c r="FQ129" s="146">
        <v>0</v>
      </c>
      <c r="FR129" s="146">
        <v>0</v>
      </c>
      <c r="FS129" s="146">
        <v>0</v>
      </c>
      <c r="FT129" s="146">
        <v>0</v>
      </c>
      <c r="FU129" s="146">
        <v>0</v>
      </c>
      <c r="FV129" s="146">
        <v>0</v>
      </c>
      <c r="FW129" s="146">
        <v>0</v>
      </c>
      <c r="FX129" s="146">
        <v>0</v>
      </c>
      <c r="FY129" s="146">
        <v>0</v>
      </c>
      <c r="FZ129" s="146">
        <v>0</v>
      </c>
      <c r="GA129" s="146">
        <v>0</v>
      </c>
      <c r="GB129" s="146">
        <v>0</v>
      </c>
      <c r="GC129" s="146">
        <v>0</v>
      </c>
      <c r="GD129" s="146">
        <v>0</v>
      </c>
      <c r="GE129" s="146">
        <v>0</v>
      </c>
      <c r="GF129" s="146">
        <v>0</v>
      </c>
      <c r="GG129" s="146">
        <v>0</v>
      </c>
      <c r="GH129" s="146">
        <v>0</v>
      </c>
      <c r="GI129" s="146">
        <v>0</v>
      </c>
      <c r="GJ129" s="146">
        <v>0</v>
      </c>
      <c r="GK129" s="146">
        <v>0</v>
      </c>
      <c r="GL129" s="146">
        <v>0</v>
      </c>
      <c r="GM129" s="146">
        <v>0</v>
      </c>
      <c r="GN129" s="146">
        <v>0</v>
      </c>
      <c r="GO129" s="146">
        <v>0</v>
      </c>
      <c r="GP129" s="146">
        <v>0</v>
      </c>
      <c r="GQ129" s="146">
        <v>0</v>
      </c>
      <c r="GR129" s="146">
        <v>0</v>
      </c>
      <c r="GS129" s="146">
        <v>0</v>
      </c>
      <c r="GT129" s="146">
        <v>0</v>
      </c>
      <c r="GU129" s="146">
        <v>0</v>
      </c>
      <c r="GV129" s="146">
        <v>0</v>
      </c>
      <c r="GW129" s="146">
        <v>0</v>
      </c>
      <c r="GX129" s="146">
        <v>0</v>
      </c>
      <c r="GY129" s="146">
        <v>0</v>
      </c>
      <c r="GZ129" s="146">
        <v>0</v>
      </c>
      <c r="HA129" s="146">
        <v>0</v>
      </c>
      <c r="HB129" s="146">
        <v>0</v>
      </c>
      <c r="HC129" s="146">
        <v>0</v>
      </c>
      <c r="HD129" s="146">
        <v>0</v>
      </c>
      <c r="HE129" s="146">
        <v>0</v>
      </c>
      <c r="HF129" s="146">
        <v>0</v>
      </c>
      <c r="HG129" s="146">
        <v>0</v>
      </c>
      <c r="HH129" s="146">
        <v>0</v>
      </c>
      <c r="HI129" s="146">
        <v>0</v>
      </c>
      <c r="HJ129" s="146">
        <v>0</v>
      </c>
      <c r="HK129" s="146">
        <v>0</v>
      </c>
      <c r="HL129" s="146">
        <v>0</v>
      </c>
      <c r="HM129" s="146">
        <v>0</v>
      </c>
      <c r="HN129" s="146">
        <v>0</v>
      </c>
      <c r="HO129" s="146">
        <v>0</v>
      </c>
      <c r="HP129" s="146">
        <v>0</v>
      </c>
      <c r="HQ129" s="146">
        <v>0</v>
      </c>
      <c r="HR129" s="146">
        <v>0</v>
      </c>
      <c r="HS129" s="146">
        <v>0</v>
      </c>
      <c r="HT129" s="146">
        <v>0</v>
      </c>
      <c r="HU129" s="151"/>
      <c r="HV129" s="146">
        <v>0</v>
      </c>
      <c r="HW129" s="151"/>
      <c r="HX129" s="151"/>
      <c r="HY129" s="151"/>
      <c r="HZ129" s="151"/>
      <c r="IA129" s="151"/>
      <c r="IB129" s="151"/>
      <c r="IC129" s="151"/>
      <c r="ID129" s="151"/>
      <c r="IE129" s="151"/>
      <c r="IF129" s="151"/>
      <c r="IG129" s="151"/>
      <c r="IH129" s="151"/>
      <c r="II129" s="151"/>
      <c r="IJ129" s="151"/>
      <c r="IK129" s="151"/>
      <c r="IL129" s="151"/>
      <c r="IM129" s="151"/>
      <c r="IN129" s="151"/>
      <c r="IO129" s="151"/>
      <c r="IP129" s="151"/>
      <c r="IQ129" s="151"/>
      <c r="IR129" s="151"/>
      <c r="IS129" s="151"/>
      <c r="IT129" s="151"/>
      <c r="IU129" s="151"/>
      <c r="IV129" s="151"/>
      <c r="IW129" s="151"/>
      <c r="IX129" s="151"/>
      <c r="IY129" s="151"/>
      <c r="IZ129" s="151"/>
      <c r="JA129" s="151"/>
      <c r="JB129" s="151"/>
      <c r="JC129" s="151"/>
      <c r="JD129" s="151"/>
      <c r="JE129" s="151"/>
      <c r="JF129" s="151"/>
      <c r="JG129" s="151"/>
      <c r="JH129" s="151"/>
      <c r="JI129" s="151"/>
      <c r="JJ129" s="151"/>
      <c r="JK129" s="151"/>
      <c r="JL129" s="151"/>
      <c r="JM129" s="151"/>
      <c r="JN129" s="151"/>
      <c r="JO129" s="151"/>
      <c r="JP129" s="151"/>
      <c r="JQ129" s="151"/>
      <c r="JR129" s="151"/>
      <c r="JS129" s="151"/>
      <c r="JT129" s="151"/>
      <c r="JU129" s="151"/>
      <c r="JV129" s="151"/>
      <c r="JW129" s="151"/>
      <c r="JX129" s="151"/>
      <c r="JY129" s="151"/>
      <c r="JZ129" s="151"/>
      <c r="KA129" s="151"/>
      <c r="KB129" s="151"/>
      <c r="KC129" s="151"/>
      <c r="KD129" s="151"/>
      <c r="KE129" s="151"/>
      <c r="KF129" s="151"/>
      <c r="KG129" s="151"/>
      <c r="KH129" s="151"/>
      <c r="KI129" s="151"/>
      <c r="KJ129" s="151"/>
      <c r="KK129" s="151"/>
      <c r="KL129" s="151"/>
      <c r="KM129" s="151"/>
      <c r="KN129" s="151"/>
      <c r="KO129" s="151"/>
      <c r="KP129" s="151"/>
      <c r="KQ129" s="151"/>
      <c r="KR129" s="151"/>
      <c r="KS129" s="151"/>
      <c r="KT129" s="151"/>
      <c r="KU129" s="151"/>
      <c r="KV129" s="151"/>
      <c r="KW129" s="151"/>
      <c r="KX129" s="151"/>
      <c r="KY129" s="151"/>
      <c r="KZ129" s="151"/>
      <c r="LA129" s="151"/>
      <c r="LB129" s="151"/>
      <c r="LC129" s="151"/>
      <c r="LD129" s="151"/>
      <c r="LE129" s="151"/>
    </row>
    <row r="130" spans="1:317" x14ac:dyDescent="0.2">
      <c r="A130" s="179" t="s">
        <v>849</v>
      </c>
      <c r="B130" s="180" t="s">
        <v>1029</v>
      </c>
      <c r="C130" s="181"/>
      <c r="D130" s="182">
        <v>0</v>
      </c>
      <c r="E130" s="182">
        <v>0</v>
      </c>
      <c r="F130" s="183" t="s">
        <v>1303</v>
      </c>
      <c r="G130" s="183">
        <v>0</v>
      </c>
      <c r="H130" s="183">
        <v>0</v>
      </c>
      <c r="I130" s="183">
        <v>0</v>
      </c>
      <c r="J130" s="183">
        <v>0</v>
      </c>
      <c r="K130" s="183" t="s">
        <v>1368</v>
      </c>
      <c r="L130" s="183">
        <v>0</v>
      </c>
      <c r="M130" s="183">
        <v>0</v>
      </c>
      <c r="N130" s="183" t="s">
        <v>881</v>
      </c>
      <c r="O130" s="183">
        <v>0</v>
      </c>
      <c r="P130" s="183">
        <v>0</v>
      </c>
      <c r="Q130" s="183"/>
      <c r="R130" s="183"/>
      <c r="S130" s="183"/>
      <c r="T130" s="183"/>
      <c r="U130" s="183"/>
      <c r="V130" s="183">
        <v>0</v>
      </c>
      <c r="W130" s="183">
        <v>0</v>
      </c>
      <c r="X130" s="183">
        <v>0</v>
      </c>
      <c r="Y130" s="184">
        <v>0</v>
      </c>
      <c r="Z130" s="184">
        <v>0.73</v>
      </c>
      <c r="AA130" s="184">
        <v>0</v>
      </c>
      <c r="AB130" s="185" t="s">
        <v>615</v>
      </c>
      <c r="AC130" s="185" t="s">
        <v>615</v>
      </c>
      <c r="AD130" s="186" t="s">
        <v>881</v>
      </c>
      <c r="AE130" s="186" t="s">
        <v>858</v>
      </c>
      <c r="AF130" s="187">
        <v>7</v>
      </c>
      <c r="AG130" s="187">
        <v>3</v>
      </c>
      <c r="AH130" s="187">
        <v>4</v>
      </c>
      <c r="AI130" s="188">
        <v>1</v>
      </c>
      <c r="AJ130" s="188" t="s">
        <v>615</v>
      </c>
      <c r="AK130" s="187" t="s">
        <v>1738</v>
      </c>
      <c r="AL130" s="87" t="s">
        <v>615</v>
      </c>
      <c r="AM130" s="189"/>
      <c r="AN130" s="187" t="s">
        <v>615</v>
      </c>
      <c r="AO130" s="13" t="s">
        <v>615</v>
      </c>
      <c r="AP130" s="187">
        <v>0</v>
      </c>
      <c r="AQ130" s="187">
        <v>0</v>
      </c>
      <c r="AR130" s="190">
        <v>0</v>
      </c>
      <c r="AS130" s="190">
        <v>0</v>
      </c>
      <c r="AT130" s="190">
        <v>0</v>
      </c>
      <c r="AU130" s="187">
        <v>0</v>
      </c>
      <c r="AV130" s="187">
        <v>0</v>
      </c>
      <c r="AW130" s="191"/>
      <c r="AX130" s="192"/>
      <c r="AY130" s="193">
        <v>42666</v>
      </c>
      <c r="AZ130" s="193"/>
      <c r="BA130" s="193"/>
      <c r="BB130" s="194"/>
      <c r="BC130" s="194"/>
      <c r="BD130" s="195"/>
      <c r="BE130" s="195" t="s">
        <v>532</v>
      </c>
      <c r="BF130" s="195"/>
      <c r="BG130" s="195">
        <v>500</v>
      </c>
      <c r="BH130" s="196" t="s">
        <v>547</v>
      </c>
      <c r="BI130" s="197">
        <v>1</v>
      </c>
      <c r="BJ130" s="198"/>
      <c r="BK130" s="199">
        <v>0</v>
      </c>
      <c r="BL130" s="13">
        <v>0</v>
      </c>
      <c r="BM130" s="13">
        <v>0</v>
      </c>
      <c r="BN130" s="13" t="s">
        <v>616</v>
      </c>
      <c r="BO130" s="13" t="s">
        <v>616</v>
      </c>
      <c r="BP130" s="200">
        <v>0</v>
      </c>
      <c r="BQ130" s="201"/>
      <c r="BR130" s="202"/>
      <c r="BS130" s="187">
        <v>1000000000</v>
      </c>
      <c r="BT130" s="203">
        <v>0</v>
      </c>
      <c r="BU130" s="204">
        <v>0</v>
      </c>
      <c r="BV130" s="203">
        <v>0</v>
      </c>
      <c r="BW130" s="205">
        <v>0</v>
      </c>
      <c r="BX130" s="205">
        <v>0</v>
      </c>
      <c r="BY130" s="205">
        <v>0</v>
      </c>
      <c r="BZ130" s="203">
        <v>0</v>
      </c>
      <c r="CA130" s="203">
        <v>0</v>
      </c>
      <c r="CB130" s="203">
        <v>0</v>
      </c>
      <c r="CC130" s="204">
        <v>0</v>
      </c>
      <c r="CD130" s="203">
        <v>0</v>
      </c>
      <c r="CE130" s="203">
        <v>0</v>
      </c>
      <c r="CF130" s="13">
        <v>0</v>
      </c>
      <c r="CG130" s="206">
        <v>0</v>
      </c>
      <c r="CH130" s="207">
        <v>0</v>
      </c>
      <c r="CI130" s="201"/>
      <c r="CJ130" s="208"/>
      <c r="CK130" s="209" t="s">
        <v>615</v>
      </c>
      <c r="CL130" s="210" t="s">
        <v>615</v>
      </c>
      <c r="CM130" s="207">
        <v>0</v>
      </c>
      <c r="CN130" s="207">
        <v>0</v>
      </c>
      <c r="CO130" s="204">
        <v>0</v>
      </c>
      <c r="CP130" s="204">
        <v>0</v>
      </c>
      <c r="CQ130" s="211"/>
      <c r="CR130" s="204">
        <v>1</v>
      </c>
      <c r="CS130" s="212">
        <v>42558</v>
      </c>
      <c r="CT130" s="212">
        <v>42780</v>
      </c>
      <c r="CU130" s="213">
        <v>42780</v>
      </c>
      <c r="CV130" s="214">
        <v>42829</v>
      </c>
      <c r="CW130" s="214" t="s">
        <v>615</v>
      </c>
      <c r="CX130" s="214" t="s">
        <v>615</v>
      </c>
      <c r="CY130" s="204">
        <v>1</v>
      </c>
      <c r="CZ130" s="204">
        <v>0.97959183673469385</v>
      </c>
      <c r="DA130" s="203">
        <v>0</v>
      </c>
      <c r="DB130" s="204">
        <v>0.97959183673469385</v>
      </c>
      <c r="DC130" s="204">
        <v>0</v>
      </c>
      <c r="DD130" s="204">
        <v>0</v>
      </c>
      <c r="DE130" s="204">
        <v>0</v>
      </c>
      <c r="DF130" s="215">
        <v>0</v>
      </c>
      <c r="DG130" s="13" t="s">
        <v>615</v>
      </c>
      <c r="DH130" s="86">
        <v>128</v>
      </c>
      <c r="DI130" s="86"/>
      <c r="DJ130" s="86">
        <v>39</v>
      </c>
      <c r="DK130" s="86" t="s">
        <v>1533</v>
      </c>
      <c r="DL130" s="86" t="e">
        <v>#N/A</v>
      </c>
      <c r="DM130" s="86" t="e">
        <v>#N/A</v>
      </c>
      <c r="DN130" s="86" t="e">
        <v>#N/A</v>
      </c>
      <c r="DO130" s="86">
        <v>40</v>
      </c>
      <c r="DP130" s="86">
        <v>5</v>
      </c>
      <c r="DQ130" s="86">
        <v>49</v>
      </c>
      <c r="DR130" s="152">
        <v>0</v>
      </c>
      <c r="DS130" s="152">
        <v>0</v>
      </c>
      <c r="DT130" s="152">
        <v>0</v>
      </c>
      <c r="DU130" s="152">
        <v>0</v>
      </c>
      <c r="DV130" s="152">
        <v>0</v>
      </c>
      <c r="DW130" s="152">
        <v>0</v>
      </c>
      <c r="DX130" s="152">
        <v>0</v>
      </c>
      <c r="DY130" s="152">
        <v>0</v>
      </c>
      <c r="DZ130" s="152">
        <v>0</v>
      </c>
      <c r="EA130" s="152">
        <v>0</v>
      </c>
      <c r="EB130" s="152">
        <v>0</v>
      </c>
      <c r="EC130" s="152">
        <v>0</v>
      </c>
      <c r="ED130" s="152">
        <v>0</v>
      </c>
      <c r="EE130" s="152">
        <v>0</v>
      </c>
      <c r="EF130" s="152">
        <v>0</v>
      </c>
      <c r="EG130" s="152">
        <v>0</v>
      </c>
      <c r="EH130" s="152">
        <v>0</v>
      </c>
      <c r="EI130" s="152">
        <v>0</v>
      </c>
      <c r="EJ130" s="152">
        <v>0</v>
      </c>
      <c r="EK130" s="152">
        <v>0</v>
      </c>
      <c r="EL130" s="152">
        <v>0</v>
      </c>
      <c r="EM130" s="152">
        <v>0</v>
      </c>
      <c r="EN130" s="152">
        <v>0</v>
      </c>
      <c r="EO130" s="152">
        <v>0</v>
      </c>
      <c r="EP130" s="152">
        <v>0</v>
      </c>
      <c r="EQ130" s="152">
        <v>0</v>
      </c>
      <c r="ER130" s="152">
        <v>0</v>
      </c>
      <c r="ES130" s="152">
        <v>0</v>
      </c>
      <c r="ET130" s="152">
        <v>0</v>
      </c>
      <c r="EU130" s="152">
        <v>0</v>
      </c>
      <c r="EV130" s="152">
        <v>0</v>
      </c>
      <c r="EW130" s="152">
        <v>0</v>
      </c>
      <c r="EX130" s="152">
        <v>0</v>
      </c>
      <c r="EY130" s="152">
        <v>0</v>
      </c>
      <c r="EZ130" s="152">
        <v>0</v>
      </c>
      <c r="FA130" s="152">
        <v>0</v>
      </c>
      <c r="FB130" s="152">
        <v>0</v>
      </c>
      <c r="FC130" s="152">
        <v>0</v>
      </c>
      <c r="FD130" s="152">
        <v>0</v>
      </c>
      <c r="FE130" s="152">
        <v>0</v>
      </c>
      <c r="FF130" s="152">
        <v>0</v>
      </c>
      <c r="FG130" s="152">
        <v>0</v>
      </c>
      <c r="FH130" s="152">
        <v>0</v>
      </c>
      <c r="FI130" s="152">
        <v>0</v>
      </c>
      <c r="FJ130" s="152">
        <v>0</v>
      </c>
      <c r="FK130" s="152">
        <v>0</v>
      </c>
      <c r="FL130" s="152">
        <v>0</v>
      </c>
      <c r="FM130" s="152">
        <v>0</v>
      </c>
      <c r="FN130" s="152">
        <v>0</v>
      </c>
      <c r="FO130" s="152">
        <v>0</v>
      </c>
      <c r="FP130" s="152">
        <v>0</v>
      </c>
      <c r="FQ130" s="152">
        <v>0</v>
      </c>
      <c r="FR130" s="152">
        <v>0</v>
      </c>
      <c r="FS130" s="152">
        <v>0</v>
      </c>
      <c r="FT130" s="152">
        <v>0</v>
      </c>
      <c r="FU130" s="152">
        <v>0</v>
      </c>
      <c r="FV130" s="152">
        <v>0</v>
      </c>
      <c r="FW130" s="152">
        <v>0</v>
      </c>
      <c r="FX130" s="152">
        <v>0</v>
      </c>
      <c r="FY130" s="152">
        <v>0</v>
      </c>
      <c r="FZ130" s="152">
        <v>0</v>
      </c>
      <c r="GA130" s="152">
        <v>0</v>
      </c>
      <c r="GB130" s="152">
        <v>0</v>
      </c>
      <c r="GC130" s="152">
        <v>0</v>
      </c>
      <c r="GD130" s="152">
        <v>0</v>
      </c>
      <c r="GE130" s="152">
        <v>0</v>
      </c>
      <c r="GF130" s="152">
        <v>0</v>
      </c>
      <c r="GG130" s="152">
        <v>0</v>
      </c>
      <c r="GH130" s="152">
        <v>0</v>
      </c>
      <c r="GI130" s="152">
        <v>0</v>
      </c>
      <c r="GJ130" s="152">
        <v>0</v>
      </c>
      <c r="GK130" s="152">
        <v>0</v>
      </c>
      <c r="GL130" s="152">
        <v>0</v>
      </c>
      <c r="GM130" s="152">
        <v>0</v>
      </c>
      <c r="GN130" s="152">
        <v>0</v>
      </c>
      <c r="GO130" s="152">
        <v>0</v>
      </c>
      <c r="GP130" s="152">
        <v>0</v>
      </c>
      <c r="GQ130" s="152">
        <v>0</v>
      </c>
      <c r="GR130" s="152">
        <v>0</v>
      </c>
      <c r="GS130" s="152">
        <v>0</v>
      </c>
      <c r="GT130" s="152">
        <v>0</v>
      </c>
      <c r="GU130" s="152">
        <v>0</v>
      </c>
      <c r="GV130" s="152">
        <v>0</v>
      </c>
      <c r="GW130" s="152">
        <v>0</v>
      </c>
      <c r="GX130" s="152">
        <v>0</v>
      </c>
      <c r="GY130" s="152">
        <v>0</v>
      </c>
      <c r="GZ130" s="152">
        <v>0</v>
      </c>
      <c r="HA130" s="152">
        <v>0</v>
      </c>
      <c r="HB130" s="152">
        <v>0</v>
      </c>
      <c r="HC130" s="152">
        <v>0</v>
      </c>
      <c r="HD130" s="152">
        <v>0</v>
      </c>
      <c r="HE130" s="152">
        <v>0</v>
      </c>
      <c r="HF130" s="152">
        <v>0</v>
      </c>
      <c r="HG130" s="152">
        <v>0</v>
      </c>
      <c r="HH130" s="152">
        <v>0</v>
      </c>
      <c r="HI130" s="152">
        <v>0</v>
      </c>
      <c r="HJ130" s="152">
        <v>0</v>
      </c>
      <c r="HK130" s="152">
        <v>0</v>
      </c>
      <c r="HL130" s="152">
        <v>0</v>
      </c>
      <c r="HM130" s="152">
        <v>0</v>
      </c>
      <c r="HN130" s="152">
        <v>0</v>
      </c>
      <c r="HO130" s="152">
        <v>0</v>
      </c>
      <c r="HP130" s="152">
        <v>0</v>
      </c>
      <c r="HQ130" s="152">
        <v>0</v>
      </c>
      <c r="HR130" s="152">
        <v>0</v>
      </c>
      <c r="HS130" s="152">
        <v>0</v>
      </c>
      <c r="HT130" s="152">
        <v>0</v>
      </c>
      <c r="HU130" s="216"/>
      <c r="HV130" s="152">
        <v>0</v>
      </c>
      <c r="HW130" s="216"/>
      <c r="HX130" s="216"/>
      <c r="HY130" s="216"/>
      <c r="HZ130" s="216"/>
      <c r="IA130" s="216"/>
      <c r="IB130" s="216"/>
      <c r="IC130" s="216"/>
      <c r="ID130" s="216"/>
      <c r="IE130" s="216"/>
      <c r="IF130" s="216"/>
      <c r="IG130" s="216"/>
      <c r="IH130" s="216"/>
      <c r="II130" s="216"/>
      <c r="IJ130" s="216"/>
      <c r="IK130" s="216"/>
      <c r="IL130" s="216"/>
      <c r="IM130" s="216"/>
      <c r="IN130" s="216"/>
      <c r="IO130" s="216"/>
      <c r="IP130" s="216"/>
      <c r="IQ130" s="216"/>
      <c r="IR130" s="216"/>
      <c r="IS130" s="216"/>
      <c r="IT130" s="216"/>
      <c r="IU130" s="216"/>
      <c r="IV130" s="216"/>
      <c r="IW130" s="216"/>
      <c r="IX130" s="216"/>
      <c r="IY130" s="216"/>
      <c r="IZ130" s="216"/>
      <c r="JA130" s="216"/>
      <c r="JB130" s="216"/>
      <c r="JC130" s="216"/>
      <c r="JD130" s="216"/>
      <c r="JE130" s="216"/>
      <c r="JF130" s="216"/>
      <c r="JG130" s="216"/>
      <c r="JH130" s="216"/>
      <c r="JI130" s="216"/>
      <c r="JJ130" s="216"/>
      <c r="JK130" s="216"/>
      <c r="JL130" s="216"/>
      <c r="JM130" s="216"/>
      <c r="JN130" s="216"/>
      <c r="JO130" s="216"/>
      <c r="JP130" s="216"/>
      <c r="JQ130" s="216"/>
      <c r="JR130" s="216"/>
      <c r="JS130" s="216"/>
      <c r="JT130" s="216"/>
      <c r="JU130" s="216"/>
      <c r="JV130" s="216"/>
      <c r="JW130" s="216"/>
      <c r="JX130" s="216"/>
      <c r="JY130" s="216"/>
      <c r="JZ130" s="216"/>
      <c r="KA130" s="216"/>
      <c r="KB130" s="216"/>
      <c r="KC130" s="216"/>
      <c r="KD130" s="216"/>
      <c r="KE130" s="216"/>
      <c r="KF130" s="216"/>
      <c r="KG130" s="216"/>
      <c r="KH130" s="216"/>
      <c r="KI130" s="216"/>
      <c r="KJ130" s="216"/>
      <c r="KK130" s="216"/>
      <c r="KL130" s="216"/>
      <c r="KM130" s="216"/>
      <c r="KN130" s="216"/>
      <c r="KO130" s="216"/>
      <c r="KP130" s="216"/>
      <c r="KQ130" s="216"/>
      <c r="KR130" s="216"/>
      <c r="KS130" s="216"/>
      <c r="KT130" s="216"/>
      <c r="KU130" s="216"/>
      <c r="KV130" s="216"/>
      <c r="KW130" s="216"/>
      <c r="KX130" s="216"/>
      <c r="KY130" s="216"/>
      <c r="KZ130" s="216"/>
      <c r="LA130" s="216"/>
      <c r="LB130" s="216"/>
      <c r="LC130" s="216"/>
      <c r="LD130" s="216"/>
      <c r="LE130" s="216"/>
    </row>
    <row r="131" spans="1:317" x14ac:dyDescent="0.2">
      <c r="A131" s="179" t="s">
        <v>849</v>
      </c>
      <c r="B131" s="180" t="s">
        <v>1030</v>
      </c>
      <c r="C131" s="181"/>
      <c r="D131" s="182">
        <v>0</v>
      </c>
      <c r="E131" s="182">
        <v>0</v>
      </c>
      <c r="F131" s="183" t="s">
        <v>1440</v>
      </c>
      <c r="G131" s="183">
        <v>0</v>
      </c>
      <c r="H131" s="183">
        <v>0</v>
      </c>
      <c r="I131" s="183">
        <v>0</v>
      </c>
      <c r="J131" s="183">
        <v>0</v>
      </c>
      <c r="K131" s="183" t="s">
        <v>1368</v>
      </c>
      <c r="L131" s="183">
        <v>0</v>
      </c>
      <c r="M131" s="183">
        <v>0</v>
      </c>
      <c r="N131" s="183" t="s">
        <v>881</v>
      </c>
      <c r="O131" s="183">
        <v>0</v>
      </c>
      <c r="P131" s="183">
        <v>0</v>
      </c>
      <c r="Q131" s="183"/>
      <c r="R131" s="183"/>
      <c r="S131" s="183"/>
      <c r="T131" s="183"/>
      <c r="U131" s="183"/>
      <c r="V131" s="183">
        <v>0</v>
      </c>
      <c r="W131" s="183">
        <v>0</v>
      </c>
      <c r="X131" s="183">
        <v>0</v>
      </c>
      <c r="Y131" s="184">
        <v>0</v>
      </c>
      <c r="Z131" s="184">
        <v>1.67</v>
      </c>
      <c r="AA131" s="184">
        <v>0</v>
      </c>
      <c r="AB131" s="185" t="s">
        <v>615</v>
      </c>
      <c r="AC131" s="185" t="s">
        <v>615</v>
      </c>
      <c r="AD131" s="186" t="s">
        <v>881</v>
      </c>
      <c r="AE131" s="186" t="s">
        <v>858</v>
      </c>
      <c r="AF131" s="187">
        <v>7</v>
      </c>
      <c r="AG131" s="187">
        <v>3</v>
      </c>
      <c r="AH131" s="187">
        <v>4</v>
      </c>
      <c r="AI131" s="188">
        <v>1</v>
      </c>
      <c r="AJ131" s="188" t="s">
        <v>615</v>
      </c>
      <c r="AK131" s="187" t="s">
        <v>1738</v>
      </c>
      <c r="AL131" s="87" t="s">
        <v>615</v>
      </c>
      <c r="AM131" s="189"/>
      <c r="AN131" s="187" t="s">
        <v>615</v>
      </c>
      <c r="AO131" s="13" t="s">
        <v>615</v>
      </c>
      <c r="AP131" s="187">
        <v>0</v>
      </c>
      <c r="AQ131" s="187">
        <v>0</v>
      </c>
      <c r="AR131" s="190">
        <v>0</v>
      </c>
      <c r="AS131" s="190">
        <v>0</v>
      </c>
      <c r="AT131" s="190">
        <v>0</v>
      </c>
      <c r="AU131" s="187">
        <v>0</v>
      </c>
      <c r="AV131" s="187">
        <v>0</v>
      </c>
      <c r="AW131" s="191"/>
      <c r="AX131" s="192"/>
      <c r="AY131" s="193">
        <v>42666</v>
      </c>
      <c r="AZ131" s="193"/>
      <c r="BA131" s="193"/>
      <c r="BB131" s="194"/>
      <c r="BC131" s="194"/>
      <c r="BD131" s="195"/>
      <c r="BE131" s="195" t="s">
        <v>532</v>
      </c>
      <c r="BF131" s="195"/>
      <c r="BG131" s="195">
        <v>300</v>
      </c>
      <c r="BH131" s="196" t="s">
        <v>547</v>
      </c>
      <c r="BI131" s="197">
        <v>1</v>
      </c>
      <c r="BJ131" s="198"/>
      <c r="BK131" s="199">
        <v>0</v>
      </c>
      <c r="BL131" s="13">
        <v>0</v>
      </c>
      <c r="BM131" s="13">
        <v>0</v>
      </c>
      <c r="BN131" s="13" t="s">
        <v>616</v>
      </c>
      <c r="BO131" s="13" t="s">
        <v>616</v>
      </c>
      <c r="BP131" s="200">
        <v>0</v>
      </c>
      <c r="BQ131" s="201"/>
      <c r="BR131" s="202"/>
      <c r="BS131" s="187">
        <v>1000000000</v>
      </c>
      <c r="BT131" s="203">
        <v>0</v>
      </c>
      <c r="BU131" s="204">
        <v>0</v>
      </c>
      <c r="BV131" s="203">
        <v>0</v>
      </c>
      <c r="BW131" s="205">
        <v>0</v>
      </c>
      <c r="BX131" s="205">
        <v>0</v>
      </c>
      <c r="BY131" s="205">
        <v>0</v>
      </c>
      <c r="BZ131" s="203">
        <v>0</v>
      </c>
      <c r="CA131" s="203">
        <v>0</v>
      </c>
      <c r="CB131" s="203">
        <v>0</v>
      </c>
      <c r="CC131" s="204">
        <v>0</v>
      </c>
      <c r="CD131" s="203">
        <v>0</v>
      </c>
      <c r="CE131" s="203">
        <v>0</v>
      </c>
      <c r="CF131" s="13">
        <v>0</v>
      </c>
      <c r="CG131" s="206">
        <v>0</v>
      </c>
      <c r="CH131" s="207">
        <v>0</v>
      </c>
      <c r="CI131" s="201"/>
      <c r="CJ131" s="208"/>
      <c r="CK131" s="209" t="s">
        <v>615</v>
      </c>
      <c r="CL131" s="210" t="s">
        <v>615</v>
      </c>
      <c r="CM131" s="207">
        <v>0</v>
      </c>
      <c r="CN131" s="207">
        <v>0</v>
      </c>
      <c r="CO131" s="204">
        <v>0</v>
      </c>
      <c r="CP131" s="204">
        <v>0</v>
      </c>
      <c r="CQ131" s="211"/>
      <c r="CR131" s="204">
        <v>1</v>
      </c>
      <c r="CS131" s="212">
        <v>42558</v>
      </c>
      <c r="CT131" s="212">
        <v>42780</v>
      </c>
      <c r="CU131" s="213">
        <v>42780</v>
      </c>
      <c r="CV131" s="214">
        <v>42829</v>
      </c>
      <c r="CW131" s="214" t="s">
        <v>615</v>
      </c>
      <c r="CX131" s="214" t="s">
        <v>615</v>
      </c>
      <c r="CY131" s="204">
        <v>1</v>
      </c>
      <c r="CZ131" s="204">
        <v>0.97959183673469385</v>
      </c>
      <c r="DA131" s="203">
        <v>0</v>
      </c>
      <c r="DB131" s="204">
        <v>0.97959183673469385</v>
      </c>
      <c r="DC131" s="204">
        <v>0</v>
      </c>
      <c r="DD131" s="204">
        <v>0</v>
      </c>
      <c r="DE131" s="204">
        <v>0</v>
      </c>
      <c r="DF131" s="215">
        <v>0</v>
      </c>
      <c r="DG131" s="13" t="s">
        <v>615</v>
      </c>
      <c r="DH131" s="86">
        <v>129</v>
      </c>
      <c r="DI131" s="86"/>
      <c r="DJ131" s="86">
        <v>40</v>
      </c>
      <c r="DK131" s="86" t="s">
        <v>1534</v>
      </c>
      <c r="DL131" s="86" t="e">
        <v>#N/A</v>
      </c>
      <c r="DM131" s="86" t="e">
        <v>#N/A</v>
      </c>
      <c r="DN131" s="86" t="e">
        <v>#N/A</v>
      </c>
      <c r="DO131" s="86">
        <v>41</v>
      </c>
      <c r="DP131" s="86">
        <v>5</v>
      </c>
      <c r="DQ131" s="86">
        <v>49</v>
      </c>
      <c r="DR131" s="146">
        <v>0</v>
      </c>
      <c r="DS131" s="146">
        <v>0</v>
      </c>
      <c r="DT131" s="146">
        <v>0</v>
      </c>
      <c r="DU131" s="146">
        <v>0</v>
      </c>
      <c r="DV131" s="146">
        <v>0</v>
      </c>
      <c r="DW131" s="146">
        <v>0</v>
      </c>
      <c r="DX131" s="146">
        <v>0</v>
      </c>
      <c r="DY131" s="146">
        <v>0</v>
      </c>
      <c r="DZ131" s="146">
        <v>0</v>
      </c>
      <c r="EA131" s="146">
        <v>0</v>
      </c>
      <c r="EB131" s="146">
        <v>0</v>
      </c>
      <c r="EC131" s="146">
        <v>0</v>
      </c>
      <c r="ED131" s="146">
        <v>0</v>
      </c>
      <c r="EE131" s="146">
        <v>0</v>
      </c>
      <c r="EF131" s="146">
        <v>0</v>
      </c>
      <c r="EG131" s="146">
        <v>0</v>
      </c>
      <c r="EH131" s="146">
        <v>0</v>
      </c>
      <c r="EI131" s="146">
        <v>0</v>
      </c>
      <c r="EJ131" s="146">
        <v>0</v>
      </c>
      <c r="EK131" s="146">
        <v>0</v>
      </c>
      <c r="EL131" s="146">
        <v>0</v>
      </c>
      <c r="EM131" s="146">
        <v>0</v>
      </c>
      <c r="EN131" s="146">
        <v>0</v>
      </c>
      <c r="EO131" s="146">
        <v>0</v>
      </c>
      <c r="EP131" s="146">
        <v>0</v>
      </c>
      <c r="EQ131" s="146">
        <v>0</v>
      </c>
      <c r="ER131" s="146">
        <v>0</v>
      </c>
      <c r="ES131" s="146">
        <v>0</v>
      </c>
      <c r="ET131" s="146">
        <v>0</v>
      </c>
      <c r="EU131" s="146">
        <v>0</v>
      </c>
      <c r="EV131" s="146">
        <v>0</v>
      </c>
      <c r="EW131" s="146">
        <v>0</v>
      </c>
      <c r="EX131" s="146">
        <v>0</v>
      </c>
      <c r="EY131" s="146">
        <v>0</v>
      </c>
      <c r="EZ131" s="146">
        <v>0</v>
      </c>
      <c r="FA131" s="146">
        <v>0</v>
      </c>
      <c r="FB131" s="146">
        <v>0</v>
      </c>
      <c r="FC131" s="146">
        <v>0</v>
      </c>
      <c r="FD131" s="146">
        <v>0</v>
      </c>
      <c r="FE131" s="146">
        <v>0</v>
      </c>
      <c r="FF131" s="146">
        <v>0</v>
      </c>
      <c r="FG131" s="146">
        <v>0</v>
      </c>
      <c r="FH131" s="146">
        <v>0</v>
      </c>
      <c r="FI131" s="146">
        <v>0</v>
      </c>
      <c r="FJ131" s="146">
        <v>0</v>
      </c>
      <c r="FK131" s="146">
        <v>0</v>
      </c>
      <c r="FL131" s="146">
        <v>0</v>
      </c>
      <c r="FM131" s="146">
        <v>0</v>
      </c>
      <c r="FN131" s="146">
        <v>0</v>
      </c>
      <c r="FO131" s="146">
        <v>0</v>
      </c>
      <c r="FP131" s="146">
        <v>0</v>
      </c>
      <c r="FQ131" s="146">
        <v>0</v>
      </c>
      <c r="FR131" s="146">
        <v>0</v>
      </c>
      <c r="FS131" s="146">
        <v>0</v>
      </c>
      <c r="FT131" s="146">
        <v>0</v>
      </c>
      <c r="FU131" s="146">
        <v>0</v>
      </c>
      <c r="FV131" s="146">
        <v>0</v>
      </c>
      <c r="FW131" s="146">
        <v>0</v>
      </c>
      <c r="FX131" s="146">
        <v>0</v>
      </c>
      <c r="FY131" s="146">
        <v>0</v>
      </c>
      <c r="FZ131" s="146">
        <v>0</v>
      </c>
      <c r="GA131" s="146">
        <v>0</v>
      </c>
      <c r="GB131" s="146">
        <v>0</v>
      </c>
      <c r="GC131" s="146">
        <v>0</v>
      </c>
      <c r="GD131" s="146">
        <v>0</v>
      </c>
      <c r="GE131" s="146">
        <v>0</v>
      </c>
      <c r="GF131" s="146">
        <v>0</v>
      </c>
      <c r="GG131" s="146">
        <v>0</v>
      </c>
      <c r="GH131" s="146">
        <v>0</v>
      </c>
      <c r="GI131" s="146">
        <v>0</v>
      </c>
      <c r="GJ131" s="146">
        <v>0</v>
      </c>
      <c r="GK131" s="146">
        <v>0</v>
      </c>
      <c r="GL131" s="146">
        <v>0</v>
      </c>
      <c r="GM131" s="146">
        <v>0</v>
      </c>
      <c r="GN131" s="146">
        <v>0</v>
      </c>
      <c r="GO131" s="146">
        <v>0</v>
      </c>
      <c r="GP131" s="146">
        <v>0</v>
      </c>
      <c r="GQ131" s="146">
        <v>0</v>
      </c>
      <c r="GR131" s="146">
        <v>0</v>
      </c>
      <c r="GS131" s="146">
        <v>0</v>
      </c>
      <c r="GT131" s="146">
        <v>0</v>
      </c>
      <c r="GU131" s="146">
        <v>0</v>
      </c>
      <c r="GV131" s="146">
        <v>0</v>
      </c>
      <c r="GW131" s="146">
        <v>0</v>
      </c>
      <c r="GX131" s="146">
        <v>0</v>
      </c>
      <c r="GY131" s="146">
        <v>0</v>
      </c>
      <c r="GZ131" s="146">
        <v>0</v>
      </c>
      <c r="HA131" s="146">
        <v>0</v>
      </c>
      <c r="HB131" s="146">
        <v>0</v>
      </c>
      <c r="HC131" s="146">
        <v>0</v>
      </c>
      <c r="HD131" s="146">
        <v>0</v>
      </c>
      <c r="HE131" s="146">
        <v>0</v>
      </c>
      <c r="HF131" s="146">
        <v>0</v>
      </c>
      <c r="HG131" s="146">
        <v>0</v>
      </c>
      <c r="HH131" s="146">
        <v>0</v>
      </c>
      <c r="HI131" s="146">
        <v>0</v>
      </c>
      <c r="HJ131" s="146">
        <v>0</v>
      </c>
      <c r="HK131" s="146">
        <v>0</v>
      </c>
      <c r="HL131" s="146">
        <v>0</v>
      </c>
      <c r="HM131" s="146">
        <v>0</v>
      </c>
      <c r="HN131" s="146">
        <v>0</v>
      </c>
      <c r="HO131" s="146">
        <v>0</v>
      </c>
      <c r="HP131" s="146">
        <v>0</v>
      </c>
      <c r="HQ131" s="146">
        <v>0</v>
      </c>
      <c r="HR131" s="146">
        <v>0</v>
      </c>
      <c r="HS131" s="146">
        <v>0</v>
      </c>
      <c r="HT131" s="146">
        <v>0</v>
      </c>
      <c r="HU131" s="151"/>
      <c r="HV131" s="146">
        <v>0</v>
      </c>
      <c r="HW131" s="151"/>
      <c r="HX131" s="151"/>
      <c r="HY131" s="151"/>
      <c r="HZ131" s="151"/>
      <c r="IA131" s="151"/>
      <c r="IB131" s="151"/>
      <c r="IC131" s="151"/>
      <c r="ID131" s="151"/>
      <c r="IE131" s="151"/>
      <c r="IF131" s="151"/>
      <c r="IG131" s="151"/>
      <c r="IH131" s="151"/>
      <c r="II131" s="151"/>
      <c r="IJ131" s="151"/>
      <c r="IK131" s="151"/>
      <c r="IL131" s="151"/>
      <c r="IM131" s="151"/>
      <c r="IN131" s="151"/>
      <c r="IO131" s="151"/>
      <c r="IP131" s="151"/>
      <c r="IQ131" s="151"/>
      <c r="IR131" s="151"/>
      <c r="IS131" s="151"/>
      <c r="IT131" s="151"/>
      <c r="IU131" s="151"/>
      <c r="IV131" s="151"/>
      <c r="IW131" s="151"/>
      <c r="IX131" s="151"/>
      <c r="IY131" s="151"/>
      <c r="IZ131" s="151"/>
      <c r="JA131" s="151"/>
      <c r="JB131" s="151"/>
      <c r="JC131" s="151"/>
      <c r="JD131" s="151"/>
      <c r="JE131" s="151"/>
      <c r="JF131" s="151"/>
      <c r="JG131" s="151"/>
      <c r="JH131" s="151"/>
      <c r="JI131" s="151"/>
      <c r="JJ131" s="151"/>
      <c r="JK131" s="151"/>
      <c r="JL131" s="151"/>
      <c r="JM131" s="151"/>
      <c r="JN131" s="151"/>
      <c r="JO131" s="151"/>
      <c r="JP131" s="151"/>
      <c r="JQ131" s="151"/>
      <c r="JR131" s="151"/>
      <c r="JS131" s="151"/>
      <c r="JT131" s="151"/>
      <c r="JU131" s="151"/>
      <c r="JV131" s="151"/>
      <c r="JW131" s="151"/>
      <c r="JX131" s="151"/>
      <c r="JY131" s="151"/>
      <c r="JZ131" s="151"/>
      <c r="KA131" s="151"/>
      <c r="KB131" s="151"/>
      <c r="KC131" s="151"/>
      <c r="KD131" s="151"/>
      <c r="KE131" s="151"/>
      <c r="KF131" s="151"/>
      <c r="KG131" s="151"/>
      <c r="KH131" s="151"/>
      <c r="KI131" s="151"/>
      <c r="KJ131" s="151"/>
      <c r="KK131" s="151"/>
      <c r="KL131" s="151"/>
      <c r="KM131" s="151"/>
      <c r="KN131" s="151"/>
      <c r="KO131" s="151"/>
      <c r="KP131" s="151"/>
      <c r="KQ131" s="151"/>
      <c r="KR131" s="151"/>
      <c r="KS131" s="151"/>
      <c r="KT131" s="151"/>
      <c r="KU131" s="151"/>
      <c r="KV131" s="151"/>
      <c r="KW131" s="151"/>
      <c r="KX131" s="151"/>
      <c r="KY131" s="151"/>
      <c r="KZ131" s="151"/>
      <c r="LA131" s="151"/>
      <c r="LB131" s="151"/>
      <c r="LC131" s="151"/>
      <c r="LD131" s="151"/>
      <c r="LE131" s="151"/>
    </row>
    <row r="132" spans="1:317" x14ac:dyDescent="0.2">
      <c r="A132" s="179" t="s">
        <v>849</v>
      </c>
      <c r="B132" s="180" t="s">
        <v>1031</v>
      </c>
      <c r="C132" s="181"/>
      <c r="D132" s="182">
        <v>0</v>
      </c>
      <c r="E132" s="182">
        <v>0</v>
      </c>
      <c r="F132" s="183" t="s">
        <v>1304</v>
      </c>
      <c r="G132" s="183">
        <v>0</v>
      </c>
      <c r="H132" s="183">
        <v>0</v>
      </c>
      <c r="I132" s="183">
        <v>0</v>
      </c>
      <c r="J132" s="183">
        <v>0</v>
      </c>
      <c r="K132" s="183" t="s">
        <v>1368</v>
      </c>
      <c r="L132" s="183">
        <v>0</v>
      </c>
      <c r="M132" s="183">
        <v>0</v>
      </c>
      <c r="N132" s="183" t="s">
        <v>881</v>
      </c>
      <c r="O132" s="183">
        <v>0</v>
      </c>
      <c r="P132" s="183">
        <v>0</v>
      </c>
      <c r="Q132" s="183"/>
      <c r="R132" s="183"/>
      <c r="S132" s="183"/>
      <c r="T132" s="183"/>
      <c r="U132" s="183"/>
      <c r="V132" s="183">
        <v>0</v>
      </c>
      <c r="W132" s="183">
        <v>0</v>
      </c>
      <c r="X132" s="183">
        <v>0</v>
      </c>
      <c r="Y132" s="184">
        <v>0</v>
      </c>
      <c r="Z132" s="184">
        <v>2.88</v>
      </c>
      <c r="AA132" s="184">
        <v>0</v>
      </c>
      <c r="AB132" s="185" t="s">
        <v>615</v>
      </c>
      <c r="AC132" s="185" t="s">
        <v>615</v>
      </c>
      <c r="AD132" s="186" t="s">
        <v>881</v>
      </c>
      <c r="AE132" s="186" t="s">
        <v>858</v>
      </c>
      <c r="AF132" s="187">
        <v>7</v>
      </c>
      <c r="AG132" s="187">
        <v>3</v>
      </c>
      <c r="AH132" s="187">
        <v>4</v>
      </c>
      <c r="AI132" s="188">
        <v>1</v>
      </c>
      <c r="AJ132" s="188" t="s">
        <v>615</v>
      </c>
      <c r="AK132" s="187" t="s">
        <v>1738</v>
      </c>
      <c r="AL132" s="87" t="s">
        <v>615</v>
      </c>
      <c r="AM132" s="189"/>
      <c r="AN132" s="187" t="s">
        <v>615</v>
      </c>
      <c r="AO132" s="13" t="s">
        <v>615</v>
      </c>
      <c r="AP132" s="187">
        <v>0</v>
      </c>
      <c r="AQ132" s="187">
        <v>0</v>
      </c>
      <c r="AR132" s="190">
        <v>0</v>
      </c>
      <c r="AS132" s="190">
        <v>0</v>
      </c>
      <c r="AT132" s="190">
        <v>0</v>
      </c>
      <c r="AU132" s="187">
        <v>0</v>
      </c>
      <c r="AV132" s="187">
        <v>0</v>
      </c>
      <c r="AW132" s="191"/>
      <c r="AX132" s="192"/>
      <c r="AY132" s="193">
        <v>42666</v>
      </c>
      <c r="AZ132" s="193"/>
      <c r="BA132" s="193"/>
      <c r="BB132" s="194"/>
      <c r="BC132" s="194"/>
      <c r="BD132" s="195"/>
      <c r="BE132" s="195" t="s">
        <v>532</v>
      </c>
      <c r="BF132" s="195"/>
      <c r="BG132" s="195">
        <v>250</v>
      </c>
      <c r="BH132" s="196" t="s">
        <v>547</v>
      </c>
      <c r="BI132" s="197">
        <v>1</v>
      </c>
      <c r="BJ132" s="198"/>
      <c r="BK132" s="199">
        <v>0</v>
      </c>
      <c r="BL132" s="13">
        <v>0</v>
      </c>
      <c r="BM132" s="13">
        <v>0</v>
      </c>
      <c r="BN132" s="13" t="s">
        <v>616</v>
      </c>
      <c r="BO132" s="13" t="s">
        <v>616</v>
      </c>
      <c r="BP132" s="200">
        <v>0</v>
      </c>
      <c r="BQ132" s="201"/>
      <c r="BR132" s="202"/>
      <c r="BS132" s="187">
        <v>1000000000</v>
      </c>
      <c r="BT132" s="203">
        <v>0</v>
      </c>
      <c r="BU132" s="204">
        <v>0</v>
      </c>
      <c r="BV132" s="203">
        <v>0</v>
      </c>
      <c r="BW132" s="205">
        <v>0</v>
      </c>
      <c r="BX132" s="205">
        <v>0</v>
      </c>
      <c r="BY132" s="205">
        <v>0</v>
      </c>
      <c r="BZ132" s="203">
        <v>0</v>
      </c>
      <c r="CA132" s="203">
        <v>0</v>
      </c>
      <c r="CB132" s="203">
        <v>0</v>
      </c>
      <c r="CC132" s="204">
        <v>0</v>
      </c>
      <c r="CD132" s="203">
        <v>0</v>
      </c>
      <c r="CE132" s="203">
        <v>0</v>
      </c>
      <c r="CF132" s="13">
        <v>0</v>
      </c>
      <c r="CG132" s="206">
        <v>0</v>
      </c>
      <c r="CH132" s="207">
        <v>0</v>
      </c>
      <c r="CI132" s="201"/>
      <c r="CJ132" s="208"/>
      <c r="CK132" s="209" t="s">
        <v>615</v>
      </c>
      <c r="CL132" s="210" t="s">
        <v>615</v>
      </c>
      <c r="CM132" s="207">
        <v>0</v>
      </c>
      <c r="CN132" s="207">
        <v>0</v>
      </c>
      <c r="CO132" s="204">
        <v>0</v>
      </c>
      <c r="CP132" s="204">
        <v>0</v>
      </c>
      <c r="CQ132" s="211"/>
      <c r="CR132" s="204">
        <v>1</v>
      </c>
      <c r="CS132" s="212">
        <v>42558</v>
      </c>
      <c r="CT132" s="212">
        <v>42780</v>
      </c>
      <c r="CU132" s="213">
        <v>42780</v>
      </c>
      <c r="CV132" s="214">
        <v>42829</v>
      </c>
      <c r="CW132" s="214" t="s">
        <v>615</v>
      </c>
      <c r="CX132" s="214" t="s">
        <v>615</v>
      </c>
      <c r="CY132" s="204">
        <v>1</v>
      </c>
      <c r="CZ132" s="204">
        <v>0.97959183673469385</v>
      </c>
      <c r="DA132" s="203">
        <v>0</v>
      </c>
      <c r="DB132" s="204">
        <v>0.97959183673469385</v>
      </c>
      <c r="DC132" s="204">
        <v>0</v>
      </c>
      <c r="DD132" s="204">
        <v>0</v>
      </c>
      <c r="DE132" s="204">
        <v>0</v>
      </c>
      <c r="DF132" s="215">
        <v>0</v>
      </c>
      <c r="DG132" s="13" t="s">
        <v>615</v>
      </c>
      <c r="DH132" s="86">
        <v>130</v>
      </c>
      <c r="DI132" s="86"/>
      <c r="DJ132" s="86">
        <v>41</v>
      </c>
      <c r="DK132" s="86" t="s">
        <v>1535</v>
      </c>
      <c r="DL132" s="86" t="e">
        <v>#N/A</v>
      </c>
      <c r="DM132" s="86" t="e">
        <v>#N/A</v>
      </c>
      <c r="DN132" s="86" t="e">
        <v>#N/A</v>
      </c>
      <c r="DO132" s="86">
        <v>42</v>
      </c>
      <c r="DP132" s="86">
        <v>5</v>
      </c>
      <c r="DQ132" s="86">
        <v>49</v>
      </c>
      <c r="DR132" s="152">
        <v>0</v>
      </c>
      <c r="DS132" s="152">
        <v>0</v>
      </c>
      <c r="DT132" s="152">
        <v>0</v>
      </c>
      <c r="DU132" s="152">
        <v>0</v>
      </c>
      <c r="DV132" s="152">
        <v>0</v>
      </c>
      <c r="DW132" s="152">
        <v>0</v>
      </c>
      <c r="DX132" s="152">
        <v>0</v>
      </c>
      <c r="DY132" s="152">
        <v>0</v>
      </c>
      <c r="DZ132" s="152">
        <v>0</v>
      </c>
      <c r="EA132" s="152">
        <v>0</v>
      </c>
      <c r="EB132" s="152">
        <v>0</v>
      </c>
      <c r="EC132" s="152">
        <v>0</v>
      </c>
      <c r="ED132" s="152">
        <v>0</v>
      </c>
      <c r="EE132" s="152">
        <v>0</v>
      </c>
      <c r="EF132" s="152">
        <v>0</v>
      </c>
      <c r="EG132" s="152">
        <v>0</v>
      </c>
      <c r="EH132" s="152">
        <v>0</v>
      </c>
      <c r="EI132" s="152">
        <v>0</v>
      </c>
      <c r="EJ132" s="152">
        <v>0</v>
      </c>
      <c r="EK132" s="152">
        <v>0</v>
      </c>
      <c r="EL132" s="152">
        <v>0</v>
      </c>
      <c r="EM132" s="152">
        <v>0</v>
      </c>
      <c r="EN132" s="152">
        <v>0</v>
      </c>
      <c r="EO132" s="152">
        <v>0</v>
      </c>
      <c r="EP132" s="152">
        <v>0</v>
      </c>
      <c r="EQ132" s="152">
        <v>0</v>
      </c>
      <c r="ER132" s="152">
        <v>0</v>
      </c>
      <c r="ES132" s="152">
        <v>0</v>
      </c>
      <c r="ET132" s="152">
        <v>0</v>
      </c>
      <c r="EU132" s="152">
        <v>0</v>
      </c>
      <c r="EV132" s="152">
        <v>0</v>
      </c>
      <c r="EW132" s="152">
        <v>0</v>
      </c>
      <c r="EX132" s="152">
        <v>0</v>
      </c>
      <c r="EY132" s="152">
        <v>0</v>
      </c>
      <c r="EZ132" s="152">
        <v>0</v>
      </c>
      <c r="FA132" s="152">
        <v>0</v>
      </c>
      <c r="FB132" s="152">
        <v>0</v>
      </c>
      <c r="FC132" s="152">
        <v>0</v>
      </c>
      <c r="FD132" s="152">
        <v>0</v>
      </c>
      <c r="FE132" s="152">
        <v>0</v>
      </c>
      <c r="FF132" s="152">
        <v>0</v>
      </c>
      <c r="FG132" s="152">
        <v>0</v>
      </c>
      <c r="FH132" s="152">
        <v>0</v>
      </c>
      <c r="FI132" s="152">
        <v>0</v>
      </c>
      <c r="FJ132" s="152">
        <v>0</v>
      </c>
      <c r="FK132" s="152">
        <v>0</v>
      </c>
      <c r="FL132" s="152">
        <v>0</v>
      </c>
      <c r="FM132" s="152">
        <v>0</v>
      </c>
      <c r="FN132" s="152">
        <v>0</v>
      </c>
      <c r="FO132" s="152">
        <v>0</v>
      </c>
      <c r="FP132" s="152">
        <v>0</v>
      </c>
      <c r="FQ132" s="152">
        <v>0</v>
      </c>
      <c r="FR132" s="152">
        <v>0</v>
      </c>
      <c r="FS132" s="152">
        <v>0</v>
      </c>
      <c r="FT132" s="152">
        <v>0</v>
      </c>
      <c r="FU132" s="152">
        <v>0</v>
      </c>
      <c r="FV132" s="152">
        <v>0</v>
      </c>
      <c r="FW132" s="152">
        <v>0</v>
      </c>
      <c r="FX132" s="152">
        <v>0</v>
      </c>
      <c r="FY132" s="152">
        <v>0</v>
      </c>
      <c r="FZ132" s="152">
        <v>0</v>
      </c>
      <c r="GA132" s="152">
        <v>0</v>
      </c>
      <c r="GB132" s="152">
        <v>0</v>
      </c>
      <c r="GC132" s="152">
        <v>0</v>
      </c>
      <c r="GD132" s="152">
        <v>0</v>
      </c>
      <c r="GE132" s="152">
        <v>0</v>
      </c>
      <c r="GF132" s="152">
        <v>0</v>
      </c>
      <c r="GG132" s="152">
        <v>0</v>
      </c>
      <c r="GH132" s="152">
        <v>0</v>
      </c>
      <c r="GI132" s="152">
        <v>0</v>
      </c>
      <c r="GJ132" s="152">
        <v>0</v>
      </c>
      <c r="GK132" s="152">
        <v>0</v>
      </c>
      <c r="GL132" s="152">
        <v>0</v>
      </c>
      <c r="GM132" s="152">
        <v>0</v>
      </c>
      <c r="GN132" s="152">
        <v>0</v>
      </c>
      <c r="GO132" s="152">
        <v>0</v>
      </c>
      <c r="GP132" s="152">
        <v>0</v>
      </c>
      <c r="GQ132" s="152">
        <v>0</v>
      </c>
      <c r="GR132" s="152">
        <v>0</v>
      </c>
      <c r="GS132" s="152">
        <v>0</v>
      </c>
      <c r="GT132" s="152">
        <v>0</v>
      </c>
      <c r="GU132" s="152">
        <v>0</v>
      </c>
      <c r="GV132" s="152">
        <v>0</v>
      </c>
      <c r="GW132" s="152">
        <v>0</v>
      </c>
      <c r="GX132" s="152">
        <v>0</v>
      </c>
      <c r="GY132" s="152">
        <v>0</v>
      </c>
      <c r="GZ132" s="152">
        <v>0</v>
      </c>
      <c r="HA132" s="152">
        <v>0</v>
      </c>
      <c r="HB132" s="152">
        <v>0</v>
      </c>
      <c r="HC132" s="152">
        <v>0</v>
      </c>
      <c r="HD132" s="152">
        <v>0</v>
      </c>
      <c r="HE132" s="152">
        <v>0</v>
      </c>
      <c r="HF132" s="152">
        <v>0</v>
      </c>
      <c r="HG132" s="152">
        <v>0</v>
      </c>
      <c r="HH132" s="152">
        <v>0</v>
      </c>
      <c r="HI132" s="152">
        <v>0</v>
      </c>
      <c r="HJ132" s="152">
        <v>0</v>
      </c>
      <c r="HK132" s="152">
        <v>0</v>
      </c>
      <c r="HL132" s="152">
        <v>0</v>
      </c>
      <c r="HM132" s="152">
        <v>0</v>
      </c>
      <c r="HN132" s="152">
        <v>0</v>
      </c>
      <c r="HO132" s="152">
        <v>0</v>
      </c>
      <c r="HP132" s="152">
        <v>0</v>
      </c>
      <c r="HQ132" s="152">
        <v>0</v>
      </c>
      <c r="HR132" s="152">
        <v>0</v>
      </c>
      <c r="HS132" s="152">
        <v>0</v>
      </c>
      <c r="HT132" s="152">
        <v>0</v>
      </c>
      <c r="HU132" s="216"/>
      <c r="HV132" s="152">
        <v>0</v>
      </c>
      <c r="HW132" s="216"/>
      <c r="HX132" s="216"/>
      <c r="HY132" s="216"/>
      <c r="HZ132" s="216"/>
      <c r="IA132" s="216"/>
      <c r="IB132" s="216"/>
      <c r="IC132" s="216"/>
      <c r="ID132" s="216"/>
      <c r="IE132" s="216"/>
      <c r="IF132" s="216"/>
      <c r="IG132" s="216"/>
      <c r="IH132" s="216"/>
      <c r="II132" s="216"/>
      <c r="IJ132" s="216"/>
      <c r="IK132" s="216"/>
      <c r="IL132" s="216"/>
      <c r="IM132" s="216"/>
      <c r="IN132" s="216"/>
      <c r="IO132" s="216"/>
      <c r="IP132" s="216"/>
      <c r="IQ132" s="216"/>
      <c r="IR132" s="216"/>
      <c r="IS132" s="216"/>
      <c r="IT132" s="216"/>
      <c r="IU132" s="216"/>
      <c r="IV132" s="216"/>
      <c r="IW132" s="216"/>
      <c r="IX132" s="216"/>
      <c r="IY132" s="216"/>
      <c r="IZ132" s="216"/>
      <c r="JA132" s="216"/>
      <c r="JB132" s="216"/>
      <c r="JC132" s="216"/>
      <c r="JD132" s="216"/>
      <c r="JE132" s="216"/>
      <c r="JF132" s="216"/>
      <c r="JG132" s="216"/>
      <c r="JH132" s="216"/>
      <c r="JI132" s="216"/>
      <c r="JJ132" s="216"/>
      <c r="JK132" s="216"/>
      <c r="JL132" s="216"/>
      <c r="JM132" s="216"/>
      <c r="JN132" s="216"/>
      <c r="JO132" s="216"/>
      <c r="JP132" s="216"/>
      <c r="JQ132" s="216"/>
      <c r="JR132" s="216"/>
      <c r="JS132" s="216"/>
      <c r="JT132" s="216"/>
      <c r="JU132" s="216"/>
      <c r="JV132" s="216"/>
      <c r="JW132" s="216"/>
      <c r="JX132" s="216"/>
      <c r="JY132" s="216"/>
      <c r="JZ132" s="216"/>
      <c r="KA132" s="216"/>
      <c r="KB132" s="216"/>
      <c r="KC132" s="216"/>
      <c r="KD132" s="216"/>
      <c r="KE132" s="216"/>
      <c r="KF132" s="216"/>
      <c r="KG132" s="216"/>
      <c r="KH132" s="216"/>
      <c r="KI132" s="216"/>
      <c r="KJ132" s="216"/>
      <c r="KK132" s="216"/>
      <c r="KL132" s="216"/>
      <c r="KM132" s="216"/>
      <c r="KN132" s="216"/>
      <c r="KO132" s="216"/>
      <c r="KP132" s="216"/>
      <c r="KQ132" s="216"/>
      <c r="KR132" s="216"/>
      <c r="KS132" s="216"/>
      <c r="KT132" s="216"/>
      <c r="KU132" s="216"/>
      <c r="KV132" s="216"/>
      <c r="KW132" s="216"/>
      <c r="KX132" s="216"/>
      <c r="KY132" s="216"/>
      <c r="KZ132" s="216"/>
      <c r="LA132" s="216"/>
      <c r="LB132" s="216"/>
      <c r="LC132" s="216"/>
      <c r="LD132" s="216"/>
      <c r="LE132" s="216"/>
    </row>
    <row r="133" spans="1:317" x14ac:dyDescent="0.2">
      <c r="A133" s="179" t="s">
        <v>849</v>
      </c>
      <c r="B133" s="180" t="s">
        <v>1032</v>
      </c>
      <c r="C133" s="181"/>
      <c r="D133" s="182">
        <v>0</v>
      </c>
      <c r="E133" s="182">
        <v>0</v>
      </c>
      <c r="F133" s="183" t="s">
        <v>1441</v>
      </c>
      <c r="G133" s="183">
        <v>0</v>
      </c>
      <c r="H133" s="183">
        <v>0</v>
      </c>
      <c r="I133" s="183">
        <v>0</v>
      </c>
      <c r="J133" s="183">
        <v>0</v>
      </c>
      <c r="K133" s="183" t="s">
        <v>1368</v>
      </c>
      <c r="L133" s="183">
        <v>0</v>
      </c>
      <c r="M133" s="183">
        <v>0</v>
      </c>
      <c r="N133" s="183" t="s">
        <v>881</v>
      </c>
      <c r="O133" s="183">
        <v>0</v>
      </c>
      <c r="P133" s="183">
        <v>0</v>
      </c>
      <c r="Q133" s="183"/>
      <c r="R133" s="183"/>
      <c r="S133" s="183"/>
      <c r="T133" s="183"/>
      <c r="U133" s="183"/>
      <c r="V133" s="183">
        <v>0</v>
      </c>
      <c r="W133" s="183">
        <v>0</v>
      </c>
      <c r="X133" s="183">
        <v>0</v>
      </c>
      <c r="Y133" s="184">
        <v>0</v>
      </c>
      <c r="Z133" s="184">
        <v>3.74</v>
      </c>
      <c r="AA133" s="184">
        <v>0</v>
      </c>
      <c r="AB133" s="185" t="s">
        <v>615</v>
      </c>
      <c r="AC133" s="185" t="s">
        <v>615</v>
      </c>
      <c r="AD133" s="186" t="s">
        <v>881</v>
      </c>
      <c r="AE133" s="186" t="s">
        <v>858</v>
      </c>
      <c r="AF133" s="187">
        <v>7</v>
      </c>
      <c r="AG133" s="187">
        <v>3</v>
      </c>
      <c r="AH133" s="187">
        <v>4</v>
      </c>
      <c r="AI133" s="188">
        <v>1</v>
      </c>
      <c r="AJ133" s="188" t="s">
        <v>615</v>
      </c>
      <c r="AK133" s="187" t="s">
        <v>1738</v>
      </c>
      <c r="AL133" s="87" t="s">
        <v>615</v>
      </c>
      <c r="AM133" s="189"/>
      <c r="AN133" s="187" t="s">
        <v>615</v>
      </c>
      <c r="AO133" s="13" t="s">
        <v>615</v>
      </c>
      <c r="AP133" s="187">
        <v>0</v>
      </c>
      <c r="AQ133" s="187">
        <v>0</v>
      </c>
      <c r="AR133" s="190">
        <v>0</v>
      </c>
      <c r="AS133" s="190">
        <v>0</v>
      </c>
      <c r="AT133" s="190">
        <v>0</v>
      </c>
      <c r="AU133" s="187">
        <v>0</v>
      </c>
      <c r="AV133" s="187">
        <v>0</v>
      </c>
      <c r="AW133" s="191"/>
      <c r="AX133" s="192"/>
      <c r="AY133" s="193">
        <v>42666</v>
      </c>
      <c r="AZ133" s="193"/>
      <c r="BA133" s="193"/>
      <c r="BB133" s="194"/>
      <c r="BC133" s="194"/>
      <c r="BD133" s="195"/>
      <c r="BE133" s="195" t="s">
        <v>532</v>
      </c>
      <c r="BF133" s="195"/>
      <c r="BG133" s="195">
        <v>100</v>
      </c>
      <c r="BH133" s="196" t="s">
        <v>547</v>
      </c>
      <c r="BI133" s="197">
        <v>1</v>
      </c>
      <c r="BJ133" s="198"/>
      <c r="BK133" s="199">
        <v>0</v>
      </c>
      <c r="BL133" s="13">
        <v>0</v>
      </c>
      <c r="BM133" s="13">
        <v>0</v>
      </c>
      <c r="BN133" s="13" t="s">
        <v>616</v>
      </c>
      <c r="BO133" s="13" t="s">
        <v>616</v>
      </c>
      <c r="BP133" s="200">
        <v>0</v>
      </c>
      <c r="BQ133" s="201"/>
      <c r="BR133" s="202"/>
      <c r="BS133" s="187">
        <v>1000000000</v>
      </c>
      <c r="BT133" s="203">
        <v>0</v>
      </c>
      <c r="BU133" s="204">
        <v>0</v>
      </c>
      <c r="BV133" s="203">
        <v>0</v>
      </c>
      <c r="BW133" s="205">
        <v>0</v>
      </c>
      <c r="BX133" s="205">
        <v>0</v>
      </c>
      <c r="BY133" s="205">
        <v>0</v>
      </c>
      <c r="BZ133" s="203">
        <v>0</v>
      </c>
      <c r="CA133" s="203">
        <v>0</v>
      </c>
      <c r="CB133" s="203">
        <v>0</v>
      </c>
      <c r="CC133" s="204">
        <v>0</v>
      </c>
      <c r="CD133" s="203">
        <v>0</v>
      </c>
      <c r="CE133" s="203">
        <v>0</v>
      </c>
      <c r="CF133" s="13">
        <v>0</v>
      </c>
      <c r="CG133" s="206">
        <v>0</v>
      </c>
      <c r="CH133" s="207">
        <v>0</v>
      </c>
      <c r="CI133" s="201"/>
      <c r="CJ133" s="208"/>
      <c r="CK133" s="209" t="s">
        <v>615</v>
      </c>
      <c r="CL133" s="210" t="s">
        <v>615</v>
      </c>
      <c r="CM133" s="207">
        <v>0</v>
      </c>
      <c r="CN133" s="207">
        <v>0</v>
      </c>
      <c r="CO133" s="204">
        <v>0</v>
      </c>
      <c r="CP133" s="204">
        <v>0</v>
      </c>
      <c r="CQ133" s="211"/>
      <c r="CR133" s="204">
        <v>1</v>
      </c>
      <c r="CS133" s="212">
        <v>42558</v>
      </c>
      <c r="CT133" s="212">
        <v>42780</v>
      </c>
      <c r="CU133" s="213">
        <v>42780</v>
      </c>
      <c r="CV133" s="214">
        <v>42829</v>
      </c>
      <c r="CW133" s="214" t="s">
        <v>615</v>
      </c>
      <c r="CX133" s="214" t="s">
        <v>615</v>
      </c>
      <c r="CY133" s="204">
        <v>1</v>
      </c>
      <c r="CZ133" s="204">
        <v>0.97959183673469385</v>
      </c>
      <c r="DA133" s="203">
        <v>0</v>
      </c>
      <c r="DB133" s="204">
        <v>0.97959183673469385</v>
      </c>
      <c r="DC133" s="204">
        <v>0</v>
      </c>
      <c r="DD133" s="204">
        <v>0</v>
      </c>
      <c r="DE133" s="204">
        <v>0</v>
      </c>
      <c r="DF133" s="215">
        <v>0</v>
      </c>
      <c r="DG133" s="13" t="s">
        <v>615</v>
      </c>
      <c r="DH133" s="86">
        <v>131</v>
      </c>
      <c r="DI133" s="86"/>
      <c r="DJ133" s="86">
        <v>42</v>
      </c>
      <c r="DK133" s="86" t="s">
        <v>1536</v>
      </c>
      <c r="DL133" s="86" t="e">
        <v>#N/A</v>
      </c>
      <c r="DM133" s="86" t="e">
        <v>#N/A</v>
      </c>
      <c r="DN133" s="86" t="e">
        <v>#N/A</v>
      </c>
      <c r="DO133" s="86">
        <v>43</v>
      </c>
      <c r="DP133" s="86">
        <v>5</v>
      </c>
      <c r="DQ133" s="86">
        <v>49</v>
      </c>
      <c r="DR133" s="146">
        <v>0</v>
      </c>
      <c r="DS133" s="146">
        <v>0</v>
      </c>
      <c r="DT133" s="146">
        <v>0</v>
      </c>
      <c r="DU133" s="146">
        <v>0</v>
      </c>
      <c r="DV133" s="146">
        <v>0</v>
      </c>
      <c r="DW133" s="146">
        <v>0</v>
      </c>
      <c r="DX133" s="146">
        <v>0</v>
      </c>
      <c r="DY133" s="146">
        <v>0</v>
      </c>
      <c r="DZ133" s="146">
        <v>0</v>
      </c>
      <c r="EA133" s="146">
        <v>0</v>
      </c>
      <c r="EB133" s="146">
        <v>0</v>
      </c>
      <c r="EC133" s="146">
        <v>0</v>
      </c>
      <c r="ED133" s="146">
        <v>0</v>
      </c>
      <c r="EE133" s="146">
        <v>0</v>
      </c>
      <c r="EF133" s="146">
        <v>0</v>
      </c>
      <c r="EG133" s="146">
        <v>0</v>
      </c>
      <c r="EH133" s="146">
        <v>0</v>
      </c>
      <c r="EI133" s="146">
        <v>0</v>
      </c>
      <c r="EJ133" s="146">
        <v>0</v>
      </c>
      <c r="EK133" s="146">
        <v>0</v>
      </c>
      <c r="EL133" s="146">
        <v>0</v>
      </c>
      <c r="EM133" s="146">
        <v>0</v>
      </c>
      <c r="EN133" s="146">
        <v>0</v>
      </c>
      <c r="EO133" s="146">
        <v>0</v>
      </c>
      <c r="EP133" s="146">
        <v>0</v>
      </c>
      <c r="EQ133" s="146">
        <v>0</v>
      </c>
      <c r="ER133" s="146">
        <v>0</v>
      </c>
      <c r="ES133" s="146">
        <v>0</v>
      </c>
      <c r="ET133" s="146">
        <v>0</v>
      </c>
      <c r="EU133" s="146">
        <v>0</v>
      </c>
      <c r="EV133" s="146">
        <v>0</v>
      </c>
      <c r="EW133" s="146">
        <v>0</v>
      </c>
      <c r="EX133" s="146">
        <v>0</v>
      </c>
      <c r="EY133" s="146">
        <v>0</v>
      </c>
      <c r="EZ133" s="146">
        <v>0</v>
      </c>
      <c r="FA133" s="146">
        <v>0</v>
      </c>
      <c r="FB133" s="146">
        <v>0</v>
      </c>
      <c r="FC133" s="146">
        <v>0</v>
      </c>
      <c r="FD133" s="146">
        <v>0</v>
      </c>
      <c r="FE133" s="146">
        <v>0</v>
      </c>
      <c r="FF133" s="146">
        <v>0</v>
      </c>
      <c r="FG133" s="146">
        <v>0</v>
      </c>
      <c r="FH133" s="146">
        <v>0</v>
      </c>
      <c r="FI133" s="146">
        <v>0</v>
      </c>
      <c r="FJ133" s="146">
        <v>0</v>
      </c>
      <c r="FK133" s="146">
        <v>0</v>
      </c>
      <c r="FL133" s="146">
        <v>0</v>
      </c>
      <c r="FM133" s="146">
        <v>0</v>
      </c>
      <c r="FN133" s="146">
        <v>0</v>
      </c>
      <c r="FO133" s="146">
        <v>0</v>
      </c>
      <c r="FP133" s="146">
        <v>0</v>
      </c>
      <c r="FQ133" s="146">
        <v>0</v>
      </c>
      <c r="FR133" s="146">
        <v>0</v>
      </c>
      <c r="FS133" s="146">
        <v>0</v>
      </c>
      <c r="FT133" s="146">
        <v>0</v>
      </c>
      <c r="FU133" s="146">
        <v>0</v>
      </c>
      <c r="FV133" s="146">
        <v>0</v>
      </c>
      <c r="FW133" s="146">
        <v>0</v>
      </c>
      <c r="FX133" s="146">
        <v>0</v>
      </c>
      <c r="FY133" s="146">
        <v>0</v>
      </c>
      <c r="FZ133" s="146">
        <v>0</v>
      </c>
      <c r="GA133" s="146">
        <v>0</v>
      </c>
      <c r="GB133" s="146">
        <v>0</v>
      </c>
      <c r="GC133" s="146">
        <v>0</v>
      </c>
      <c r="GD133" s="146">
        <v>0</v>
      </c>
      <c r="GE133" s="146">
        <v>0</v>
      </c>
      <c r="GF133" s="146">
        <v>0</v>
      </c>
      <c r="GG133" s="146">
        <v>0</v>
      </c>
      <c r="GH133" s="146">
        <v>0</v>
      </c>
      <c r="GI133" s="146">
        <v>0</v>
      </c>
      <c r="GJ133" s="146">
        <v>0</v>
      </c>
      <c r="GK133" s="146">
        <v>0</v>
      </c>
      <c r="GL133" s="146">
        <v>0</v>
      </c>
      <c r="GM133" s="146">
        <v>0</v>
      </c>
      <c r="GN133" s="146">
        <v>0</v>
      </c>
      <c r="GO133" s="146">
        <v>0</v>
      </c>
      <c r="GP133" s="146">
        <v>0</v>
      </c>
      <c r="GQ133" s="146">
        <v>0</v>
      </c>
      <c r="GR133" s="146">
        <v>0</v>
      </c>
      <c r="GS133" s="146">
        <v>0</v>
      </c>
      <c r="GT133" s="146">
        <v>0</v>
      </c>
      <c r="GU133" s="146">
        <v>0</v>
      </c>
      <c r="GV133" s="146">
        <v>0</v>
      </c>
      <c r="GW133" s="146">
        <v>0</v>
      </c>
      <c r="GX133" s="146">
        <v>0</v>
      </c>
      <c r="GY133" s="146">
        <v>0</v>
      </c>
      <c r="GZ133" s="146">
        <v>0</v>
      </c>
      <c r="HA133" s="146">
        <v>0</v>
      </c>
      <c r="HB133" s="146">
        <v>0</v>
      </c>
      <c r="HC133" s="146">
        <v>0</v>
      </c>
      <c r="HD133" s="146">
        <v>0</v>
      </c>
      <c r="HE133" s="146">
        <v>0</v>
      </c>
      <c r="HF133" s="146">
        <v>0</v>
      </c>
      <c r="HG133" s="146">
        <v>0</v>
      </c>
      <c r="HH133" s="146">
        <v>0</v>
      </c>
      <c r="HI133" s="146">
        <v>0</v>
      </c>
      <c r="HJ133" s="146">
        <v>0</v>
      </c>
      <c r="HK133" s="146">
        <v>0</v>
      </c>
      <c r="HL133" s="146">
        <v>0</v>
      </c>
      <c r="HM133" s="146">
        <v>0</v>
      </c>
      <c r="HN133" s="146">
        <v>0</v>
      </c>
      <c r="HO133" s="146">
        <v>0</v>
      </c>
      <c r="HP133" s="146">
        <v>0</v>
      </c>
      <c r="HQ133" s="146">
        <v>0</v>
      </c>
      <c r="HR133" s="146">
        <v>0</v>
      </c>
      <c r="HS133" s="146">
        <v>0</v>
      </c>
      <c r="HT133" s="146">
        <v>0</v>
      </c>
      <c r="HU133" s="151"/>
      <c r="HV133" s="146">
        <v>0</v>
      </c>
      <c r="HW133" s="151"/>
      <c r="HX133" s="151"/>
      <c r="HY133" s="151"/>
      <c r="HZ133" s="151"/>
      <c r="IA133" s="151"/>
      <c r="IB133" s="151"/>
      <c r="IC133" s="151"/>
      <c r="ID133" s="151"/>
      <c r="IE133" s="151"/>
      <c r="IF133" s="151"/>
      <c r="IG133" s="151"/>
      <c r="IH133" s="151"/>
      <c r="II133" s="151"/>
      <c r="IJ133" s="151"/>
      <c r="IK133" s="151"/>
      <c r="IL133" s="151"/>
      <c r="IM133" s="151"/>
      <c r="IN133" s="151"/>
      <c r="IO133" s="151"/>
      <c r="IP133" s="151"/>
      <c r="IQ133" s="151"/>
      <c r="IR133" s="151"/>
      <c r="IS133" s="151"/>
      <c r="IT133" s="151"/>
      <c r="IU133" s="151"/>
      <c r="IV133" s="151"/>
      <c r="IW133" s="151"/>
      <c r="IX133" s="151"/>
      <c r="IY133" s="151"/>
      <c r="IZ133" s="151"/>
      <c r="JA133" s="151"/>
      <c r="JB133" s="151"/>
      <c r="JC133" s="151"/>
      <c r="JD133" s="151"/>
      <c r="JE133" s="151"/>
      <c r="JF133" s="151"/>
      <c r="JG133" s="151"/>
      <c r="JH133" s="151"/>
      <c r="JI133" s="151"/>
      <c r="JJ133" s="151"/>
      <c r="JK133" s="151"/>
      <c r="JL133" s="151"/>
      <c r="JM133" s="151"/>
      <c r="JN133" s="151"/>
      <c r="JO133" s="151"/>
      <c r="JP133" s="151"/>
      <c r="JQ133" s="151"/>
      <c r="JR133" s="151"/>
      <c r="JS133" s="151"/>
      <c r="JT133" s="151"/>
      <c r="JU133" s="151"/>
      <c r="JV133" s="151"/>
      <c r="JW133" s="151"/>
      <c r="JX133" s="151"/>
      <c r="JY133" s="151"/>
      <c r="JZ133" s="151"/>
      <c r="KA133" s="151"/>
      <c r="KB133" s="151"/>
      <c r="KC133" s="151"/>
      <c r="KD133" s="151"/>
      <c r="KE133" s="151"/>
      <c r="KF133" s="151"/>
      <c r="KG133" s="151"/>
      <c r="KH133" s="151"/>
      <c r="KI133" s="151"/>
      <c r="KJ133" s="151"/>
      <c r="KK133" s="151"/>
      <c r="KL133" s="151"/>
      <c r="KM133" s="151"/>
      <c r="KN133" s="151"/>
      <c r="KO133" s="151"/>
      <c r="KP133" s="151"/>
      <c r="KQ133" s="151"/>
      <c r="KR133" s="151"/>
      <c r="KS133" s="151"/>
      <c r="KT133" s="151"/>
      <c r="KU133" s="151"/>
      <c r="KV133" s="151"/>
      <c r="KW133" s="151"/>
      <c r="KX133" s="151"/>
      <c r="KY133" s="151"/>
      <c r="KZ133" s="151"/>
      <c r="LA133" s="151"/>
      <c r="LB133" s="151"/>
      <c r="LC133" s="151"/>
      <c r="LD133" s="151"/>
      <c r="LE133" s="151"/>
    </row>
    <row r="134" spans="1:317" x14ac:dyDescent="0.2">
      <c r="A134" s="179" t="s">
        <v>849</v>
      </c>
      <c r="B134" s="180" t="s">
        <v>1033</v>
      </c>
      <c r="C134" s="181"/>
      <c r="D134" s="182">
        <v>0</v>
      </c>
      <c r="E134" s="182">
        <v>0</v>
      </c>
      <c r="F134" s="183" t="s">
        <v>1442</v>
      </c>
      <c r="G134" s="183">
        <v>0</v>
      </c>
      <c r="H134" s="183">
        <v>0</v>
      </c>
      <c r="I134" s="183">
        <v>0</v>
      </c>
      <c r="J134" s="183">
        <v>0</v>
      </c>
      <c r="K134" s="183" t="s">
        <v>1368</v>
      </c>
      <c r="L134" s="183">
        <v>0</v>
      </c>
      <c r="M134" s="183">
        <v>0</v>
      </c>
      <c r="N134" s="183" t="s">
        <v>881</v>
      </c>
      <c r="O134" s="183">
        <v>0</v>
      </c>
      <c r="P134" s="183">
        <v>0</v>
      </c>
      <c r="Q134" s="183"/>
      <c r="R134" s="183"/>
      <c r="S134" s="183"/>
      <c r="T134" s="183"/>
      <c r="U134" s="183"/>
      <c r="V134" s="183">
        <v>0</v>
      </c>
      <c r="W134" s="183">
        <v>0</v>
      </c>
      <c r="X134" s="183">
        <v>0</v>
      </c>
      <c r="Y134" s="184">
        <v>0</v>
      </c>
      <c r="Z134" s="184">
        <v>5</v>
      </c>
      <c r="AA134" s="184">
        <v>0</v>
      </c>
      <c r="AB134" s="185" t="s">
        <v>615</v>
      </c>
      <c r="AC134" s="185" t="s">
        <v>615</v>
      </c>
      <c r="AD134" s="186" t="s">
        <v>881</v>
      </c>
      <c r="AE134" s="186" t="s">
        <v>858</v>
      </c>
      <c r="AF134" s="187">
        <v>7</v>
      </c>
      <c r="AG134" s="187">
        <v>3</v>
      </c>
      <c r="AH134" s="187">
        <v>4</v>
      </c>
      <c r="AI134" s="188">
        <v>1</v>
      </c>
      <c r="AJ134" s="188" t="s">
        <v>615</v>
      </c>
      <c r="AK134" s="187" t="s">
        <v>1738</v>
      </c>
      <c r="AL134" s="87" t="s">
        <v>615</v>
      </c>
      <c r="AM134" s="189"/>
      <c r="AN134" s="187" t="s">
        <v>615</v>
      </c>
      <c r="AO134" s="13" t="s">
        <v>615</v>
      </c>
      <c r="AP134" s="187">
        <v>0</v>
      </c>
      <c r="AQ134" s="187">
        <v>0</v>
      </c>
      <c r="AR134" s="190">
        <v>0</v>
      </c>
      <c r="AS134" s="190">
        <v>0</v>
      </c>
      <c r="AT134" s="190">
        <v>0</v>
      </c>
      <c r="AU134" s="187">
        <v>0</v>
      </c>
      <c r="AV134" s="187">
        <v>0</v>
      </c>
      <c r="AW134" s="191"/>
      <c r="AX134" s="192"/>
      <c r="AY134" s="193">
        <v>42666</v>
      </c>
      <c r="AZ134" s="193"/>
      <c r="BA134" s="193"/>
      <c r="BB134" s="194"/>
      <c r="BC134" s="194"/>
      <c r="BD134" s="195"/>
      <c r="BE134" s="195" t="s">
        <v>532</v>
      </c>
      <c r="BF134" s="195"/>
      <c r="BG134" s="195">
        <v>100</v>
      </c>
      <c r="BH134" s="196" t="s">
        <v>547</v>
      </c>
      <c r="BI134" s="197">
        <v>1</v>
      </c>
      <c r="BJ134" s="198"/>
      <c r="BK134" s="199">
        <v>0</v>
      </c>
      <c r="BL134" s="13">
        <v>0</v>
      </c>
      <c r="BM134" s="13">
        <v>0</v>
      </c>
      <c r="BN134" s="13" t="s">
        <v>616</v>
      </c>
      <c r="BO134" s="13" t="s">
        <v>616</v>
      </c>
      <c r="BP134" s="200">
        <v>0</v>
      </c>
      <c r="BQ134" s="201"/>
      <c r="BR134" s="202"/>
      <c r="BS134" s="187">
        <v>1000000000</v>
      </c>
      <c r="BT134" s="203">
        <v>0</v>
      </c>
      <c r="BU134" s="204">
        <v>0</v>
      </c>
      <c r="BV134" s="203">
        <v>0</v>
      </c>
      <c r="BW134" s="205">
        <v>0</v>
      </c>
      <c r="BX134" s="205">
        <v>0</v>
      </c>
      <c r="BY134" s="205">
        <v>0</v>
      </c>
      <c r="BZ134" s="203">
        <v>0</v>
      </c>
      <c r="CA134" s="203">
        <v>0</v>
      </c>
      <c r="CB134" s="203">
        <v>0</v>
      </c>
      <c r="CC134" s="204">
        <v>0</v>
      </c>
      <c r="CD134" s="203">
        <v>0</v>
      </c>
      <c r="CE134" s="203">
        <v>0</v>
      </c>
      <c r="CF134" s="13">
        <v>0</v>
      </c>
      <c r="CG134" s="206">
        <v>0</v>
      </c>
      <c r="CH134" s="207">
        <v>0</v>
      </c>
      <c r="CI134" s="201"/>
      <c r="CJ134" s="208"/>
      <c r="CK134" s="209" t="s">
        <v>615</v>
      </c>
      <c r="CL134" s="210" t="s">
        <v>615</v>
      </c>
      <c r="CM134" s="207">
        <v>0</v>
      </c>
      <c r="CN134" s="207">
        <v>0</v>
      </c>
      <c r="CO134" s="204">
        <v>0</v>
      </c>
      <c r="CP134" s="204">
        <v>0</v>
      </c>
      <c r="CQ134" s="211"/>
      <c r="CR134" s="204">
        <v>1</v>
      </c>
      <c r="CS134" s="212">
        <v>42558</v>
      </c>
      <c r="CT134" s="212">
        <v>42780</v>
      </c>
      <c r="CU134" s="213">
        <v>42780</v>
      </c>
      <c r="CV134" s="214">
        <v>42829</v>
      </c>
      <c r="CW134" s="214" t="s">
        <v>615</v>
      </c>
      <c r="CX134" s="214" t="s">
        <v>615</v>
      </c>
      <c r="CY134" s="204">
        <v>1</v>
      </c>
      <c r="CZ134" s="204">
        <v>0.97959183673469385</v>
      </c>
      <c r="DA134" s="203">
        <v>0</v>
      </c>
      <c r="DB134" s="204">
        <v>0.97959183673469385</v>
      </c>
      <c r="DC134" s="204">
        <v>0</v>
      </c>
      <c r="DD134" s="204">
        <v>0</v>
      </c>
      <c r="DE134" s="204">
        <v>0</v>
      </c>
      <c r="DF134" s="215">
        <v>0</v>
      </c>
      <c r="DG134" s="13" t="s">
        <v>615</v>
      </c>
      <c r="DH134" s="86">
        <v>132</v>
      </c>
      <c r="DI134" s="86"/>
      <c r="DJ134" s="86">
        <v>43</v>
      </c>
      <c r="DK134" s="86" t="s">
        <v>1537</v>
      </c>
      <c r="DL134" s="86" t="e">
        <v>#N/A</v>
      </c>
      <c r="DM134" s="86" t="e">
        <v>#N/A</v>
      </c>
      <c r="DN134" s="86" t="e">
        <v>#N/A</v>
      </c>
      <c r="DO134" s="86">
        <v>44</v>
      </c>
      <c r="DP134" s="86">
        <v>5</v>
      </c>
      <c r="DQ134" s="86">
        <v>49</v>
      </c>
      <c r="DR134" s="152">
        <v>0</v>
      </c>
      <c r="DS134" s="152">
        <v>0</v>
      </c>
      <c r="DT134" s="152">
        <v>0</v>
      </c>
      <c r="DU134" s="152">
        <v>0</v>
      </c>
      <c r="DV134" s="152">
        <v>0</v>
      </c>
      <c r="DW134" s="152">
        <v>0</v>
      </c>
      <c r="DX134" s="152">
        <v>0</v>
      </c>
      <c r="DY134" s="152">
        <v>0</v>
      </c>
      <c r="DZ134" s="152">
        <v>0</v>
      </c>
      <c r="EA134" s="152">
        <v>0</v>
      </c>
      <c r="EB134" s="152">
        <v>0</v>
      </c>
      <c r="EC134" s="152">
        <v>0</v>
      </c>
      <c r="ED134" s="152">
        <v>0</v>
      </c>
      <c r="EE134" s="152">
        <v>0</v>
      </c>
      <c r="EF134" s="152">
        <v>0</v>
      </c>
      <c r="EG134" s="152">
        <v>0</v>
      </c>
      <c r="EH134" s="152">
        <v>0</v>
      </c>
      <c r="EI134" s="152">
        <v>0</v>
      </c>
      <c r="EJ134" s="152">
        <v>0</v>
      </c>
      <c r="EK134" s="152">
        <v>0</v>
      </c>
      <c r="EL134" s="152">
        <v>0</v>
      </c>
      <c r="EM134" s="152">
        <v>0</v>
      </c>
      <c r="EN134" s="152">
        <v>0</v>
      </c>
      <c r="EO134" s="152">
        <v>0</v>
      </c>
      <c r="EP134" s="152">
        <v>0</v>
      </c>
      <c r="EQ134" s="152">
        <v>0</v>
      </c>
      <c r="ER134" s="152">
        <v>0</v>
      </c>
      <c r="ES134" s="152">
        <v>0</v>
      </c>
      <c r="ET134" s="152">
        <v>0</v>
      </c>
      <c r="EU134" s="152">
        <v>0</v>
      </c>
      <c r="EV134" s="152">
        <v>0</v>
      </c>
      <c r="EW134" s="152">
        <v>0</v>
      </c>
      <c r="EX134" s="152">
        <v>0</v>
      </c>
      <c r="EY134" s="152">
        <v>0</v>
      </c>
      <c r="EZ134" s="152">
        <v>0</v>
      </c>
      <c r="FA134" s="152">
        <v>0</v>
      </c>
      <c r="FB134" s="152">
        <v>0</v>
      </c>
      <c r="FC134" s="152">
        <v>0</v>
      </c>
      <c r="FD134" s="152">
        <v>0</v>
      </c>
      <c r="FE134" s="152">
        <v>0</v>
      </c>
      <c r="FF134" s="152">
        <v>0</v>
      </c>
      <c r="FG134" s="152">
        <v>0</v>
      </c>
      <c r="FH134" s="152">
        <v>0</v>
      </c>
      <c r="FI134" s="152">
        <v>0</v>
      </c>
      <c r="FJ134" s="152">
        <v>0</v>
      </c>
      <c r="FK134" s="152">
        <v>0</v>
      </c>
      <c r="FL134" s="152">
        <v>0</v>
      </c>
      <c r="FM134" s="152">
        <v>0</v>
      </c>
      <c r="FN134" s="152">
        <v>0</v>
      </c>
      <c r="FO134" s="152">
        <v>0</v>
      </c>
      <c r="FP134" s="152">
        <v>0</v>
      </c>
      <c r="FQ134" s="152">
        <v>0</v>
      </c>
      <c r="FR134" s="152">
        <v>0</v>
      </c>
      <c r="FS134" s="152">
        <v>0</v>
      </c>
      <c r="FT134" s="152">
        <v>0</v>
      </c>
      <c r="FU134" s="152">
        <v>0</v>
      </c>
      <c r="FV134" s="152">
        <v>0</v>
      </c>
      <c r="FW134" s="152">
        <v>0</v>
      </c>
      <c r="FX134" s="152">
        <v>0</v>
      </c>
      <c r="FY134" s="152">
        <v>0</v>
      </c>
      <c r="FZ134" s="152">
        <v>0</v>
      </c>
      <c r="GA134" s="152">
        <v>0</v>
      </c>
      <c r="GB134" s="152">
        <v>0</v>
      </c>
      <c r="GC134" s="152">
        <v>0</v>
      </c>
      <c r="GD134" s="152">
        <v>0</v>
      </c>
      <c r="GE134" s="152">
        <v>0</v>
      </c>
      <c r="GF134" s="152">
        <v>0</v>
      </c>
      <c r="GG134" s="152">
        <v>0</v>
      </c>
      <c r="GH134" s="152">
        <v>0</v>
      </c>
      <c r="GI134" s="152">
        <v>0</v>
      </c>
      <c r="GJ134" s="152">
        <v>0</v>
      </c>
      <c r="GK134" s="152">
        <v>0</v>
      </c>
      <c r="GL134" s="152">
        <v>0</v>
      </c>
      <c r="GM134" s="152">
        <v>0</v>
      </c>
      <c r="GN134" s="152">
        <v>0</v>
      </c>
      <c r="GO134" s="152">
        <v>0</v>
      </c>
      <c r="GP134" s="152">
        <v>0</v>
      </c>
      <c r="GQ134" s="152">
        <v>0</v>
      </c>
      <c r="GR134" s="152">
        <v>0</v>
      </c>
      <c r="GS134" s="152">
        <v>0</v>
      </c>
      <c r="GT134" s="152">
        <v>0</v>
      </c>
      <c r="GU134" s="152">
        <v>0</v>
      </c>
      <c r="GV134" s="152">
        <v>0</v>
      </c>
      <c r="GW134" s="152">
        <v>0</v>
      </c>
      <c r="GX134" s="152">
        <v>0</v>
      </c>
      <c r="GY134" s="152">
        <v>0</v>
      </c>
      <c r="GZ134" s="152">
        <v>0</v>
      </c>
      <c r="HA134" s="152">
        <v>0</v>
      </c>
      <c r="HB134" s="152">
        <v>0</v>
      </c>
      <c r="HC134" s="152">
        <v>0</v>
      </c>
      <c r="HD134" s="152">
        <v>0</v>
      </c>
      <c r="HE134" s="152">
        <v>0</v>
      </c>
      <c r="HF134" s="152">
        <v>0</v>
      </c>
      <c r="HG134" s="152">
        <v>0</v>
      </c>
      <c r="HH134" s="152">
        <v>0</v>
      </c>
      <c r="HI134" s="152">
        <v>0</v>
      </c>
      <c r="HJ134" s="152">
        <v>0</v>
      </c>
      <c r="HK134" s="152">
        <v>0</v>
      </c>
      <c r="HL134" s="152">
        <v>0</v>
      </c>
      <c r="HM134" s="152">
        <v>0</v>
      </c>
      <c r="HN134" s="152">
        <v>0</v>
      </c>
      <c r="HO134" s="152">
        <v>0</v>
      </c>
      <c r="HP134" s="152">
        <v>0</v>
      </c>
      <c r="HQ134" s="152">
        <v>0</v>
      </c>
      <c r="HR134" s="152">
        <v>0</v>
      </c>
      <c r="HS134" s="152">
        <v>0</v>
      </c>
      <c r="HT134" s="152">
        <v>0</v>
      </c>
      <c r="HU134" s="216"/>
      <c r="HV134" s="152">
        <v>0</v>
      </c>
      <c r="HW134" s="216"/>
      <c r="HX134" s="216"/>
      <c r="HY134" s="216"/>
      <c r="HZ134" s="216"/>
      <c r="IA134" s="216"/>
      <c r="IB134" s="216"/>
      <c r="IC134" s="216"/>
      <c r="ID134" s="216"/>
      <c r="IE134" s="216"/>
      <c r="IF134" s="216"/>
      <c r="IG134" s="216"/>
      <c r="IH134" s="216"/>
      <c r="II134" s="216"/>
      <c r="IJ134" s="216"/>
      <c r="IK134" s="216"/>
      <c r="IL134" s="216"/>
      <c r="IM134" s="216"/>
      <c r="IN134" s="216"/>
      <c r="IO134" s="216"/>
      <c r="IP134" s="216"/>
      <c r="IQ134" s="216"/>
      <c r="IR134" s="216"/>
      <c r="IS134" s="216"/>
      <c r="IT134" s="216"/>
      <c r="IU134" s="216"/>
      <c r="IV134" s="216"/>
      <c r="IW134" s="216"/>
      <c r="IX134" s="216"/>
      <c r="IY134" s="216"/>
      <c r="IZ134" s="216"/>
      <c r="JA134" s="216"/>
      <c r="JB134" s="216"/>
      <c r="JC134" s="216"/>
      <c r="JD134" s="216"/>
      <c r="JE134" s="216"/>
      <c r="JF134" s="216"/>
      <c r="JG134" s="216"/>
      <c r="JH134" s="216"/>
      <c r="JI134" s="216"/>
      <c r="JJ134" s="216"/>
      <c r="JK134" s="216"/>
      <c r="JL134" s="216"/>
      <c r="JM134" s="216"/>
      <c r="JN134" s="216"/>
      <c r="JO134" s="216"/>
      <c r="JP134" s="216"/>
      <c r="JQ134" s="216"/>
      <c r="JR134" s="216"/>
      <c r="JS134" s="216"/>
      <c r="JT134" s="216"/>
      <c r="JU134" s="216"/>
      <c r="JV134" s="216"/>
      <c r="JW134" s="216"/>
      <c r="JX134" s="216"/>
      <c r="JY134" s="216"/>
      <c r="JZ134" s="216"/>
      <c r="KA134" s="216"/>
      <c r="KB134" s="216"/>
      <c r="KC134" s="216"/>
      <c r="KD134" s="216"/>
      <c r="KE134" s="216"/>
      <c r="KF134" s="216"/>
      <c r="KG134" s="216"/>
      <c r="KH134" s="216"/>
      <c r="KI134" s="216"/>
      <c r="KJ134" s="216"/>
      <c r="KK134" s="216"/>
      <c r="KL134" s="216"/>
      <c r="KM134" s="216"/>
      <c r="KN134" s="216"/>
      <c r="KO134" s="216"/>
      <c r="KP134" s="216"/>
      <c r="KQ134" s="216"/>
      <c r="KR134" s="216"/>
      <c r="KS134" s="216"/>
      <c r="KT134" s="216"/>
      <c r="KU134" s="216"/>
      <c r="KV134" s="216"/>
      <c r="KW134" s="216"/>
      <c r="KX134" s="216"/>
      <c r="KY134" s="216"/>
      <c r="KZ134" s="216"/>
      <c r="LA134" s="216"/>
      <c r="LB134" s="216"/>
      <c r="LC134" s="216"/>
      <c r="LD134" s="216"/>
      <c r="LE134" s="216"/>
    </row>
    <row r="135" spans="1:317" x14ac:dyDescent="0.2">
      <c r="A135" s="179" t="s">
        <v>849</v>
      </c>
      <c r="B135" s="180" t="s">
        <v>1034</v>
      </c>
      <c r="C135" s="181"/>
      <c r="D135" s="182">
        <v>0</v>
      </c>
      <c r="E135" s="182">
        <v>0</v>
      </c>
      <c r="F135" s="183" t="s">
        <v>1305</v>
      </c>
      <c r="G135" s="183">
        <v>0</v>
      </c>
      <c r="H135" s="183">
        <v>0</v>
      </c>
      <c r="I135" s="183">
        <v>0</v>
      </c>
      <c r="J135" s="183">
        <v>0</v>
      </c>
      <c r="K135" s="183" t="s">
        <v>1368</v>
      </c>
      <c r="L135" s="183">
        <v>0</v>
      </c>
      <c r="M135" s="183">
        <v>0</v>
      </c>
      <c r="N135" s="183" t="s">
        <v>881</v>
      </c>
      <c r="O135" s="183">
        <v>0</v>
      </c>
      <c r="P135" s="183">
        <v>0</v>
      </c>
      <c r="Q135" s="183"/>
      <c r="R135" s="183"/>
      <c r="S135" s="183"/>
      <c r="T135" s="183"/>
      <c r="U135" s="183"/>
      <c r="V135" s="183">
        <v>0</v>
      </c>
      <c r="W135" s="183">
        <v>0</v>
      </c>
      <c r="X135" s="183">
        <v>0</v>
      </c>
      <c r="Y135" s="184">
        <v>0.1</v>
      </c>
      <c r="Z135" s="184">
        <v>0.71</v>
      </c>
      <c r="AA135" s="184">
        <v>0</v>
      </c>
      <c r="AB135" s="185" t="s">
        <v>615</v>
      </c>
      <c r="AC135" s="185" t="s">
        <v>615</v>
      </c>
      <c r="AD135" s="186" t="s">
        <v>881</v>
      </c>
      <c r="AE135" s="186" t="s">
        <v>858</v>
      </c>
      <c r="AF135" s="187">
        <v>7</v>
      </c>
      <c r="AG135" s="187">
        <v>3</v>
      </c>
      <c r="AH135" s="187">
        <v>4</v>
      </c>
      <c r="AI135" s="188">
        <v>1</v>
      </c>
      <c r="AJ135" s="188" t="s">
        <v>615</v>
      </c>
      <c r="AK135" s="187" t="s">
        <v>1738</v>
      </c>
      <c r="AL135" s="87" t="s">
        <v>615</v>
      </c>
      <c r="AM135" s="189"/>
      <c r="AN135" s="187" t="s">
        <v>615</v>
      </c>
      <c r="AO135" s="13" t="s">
        <v>615</v>
      </c>
      <c r="AP135" s="187">
        <v>0</v>
      </c>
      <c r="AQ135" s="187">
        <v>0</v>
      </c>
      <c r="AR135" s="190">
        <v>0</v>
      </c>
      <c r="AS135" s="190">
        <v>0</v>
      </c>
      <c r="AT135" s="190">
        <v>0</v>
      </c>
      <c r="AU135" s="187">
        <v>0</v>
      </c>
      <c r="AV135" s="187">
        <v>0</v>
      </c>
      <c r="AW135" s="191"/>
      <c r="AX135" s="192"/>
      <c r="AY135" s="193">
        <v>42666</v>
      </c>
      <c r="AZ135" s="193"/>
      <c r="BA135" s="193"/>
      <c r="BB135" s="194"/>
      <c r="BC135" s="194"/>
      <c r="BD135" s="195"/>
      <c r="BE135" s="195" t="s">
        <v>532</v>
      </c>
      <c r="BF135" s="195"/>
      <c r="BG135" s="195">
        <v>1000</v>
      </c>
      <c r="BH135" s="196" t="s">
        <v>547</v>
      </c>
      <c r="BI135" s="197">
        <v>1</v>
      </c>
      <c r="BJ135" s="198"/>
      <c r="BK135" s="199">
        <v>0</v>
      </c>
      <c r="BL135" s="13">
        <v>0</v>
      </c>
      <c r="BM135" s="13">
        <v>0</v>
      </c>
      <c r="BN135" s="13" t="s">
        <v>616</v>
      </c>
      <c r="BO135" s="13" t="s">
        <v>616</v>
      </c>
      <c r="BP135" s="200">
        <v>0</v>
      </c>
      <c r="BQ135" s="201"/>
      <c r="BR135" s="202"/>
      <c r="BS135" s="187">
        <v>1000000000</v>
      </c>
      <c r="BT135" s="203">
        <v>0</v>
      </c>
      <c r="BU135" s="204">
        <v>0</v>
      </c>
      <c r="BV135" s="203">
        <v>0</v>
      </c>
      <c r="BW135" s="205">
        <v>0</v>
      </c>
      <c r="BX135" s="205">
        <v>0</v>
      </c>
      <c r="BY135" s="205">
        <v>0</v>
      </c>
      <c r="BZ135" s="203">
        <v>0</v>
      </c>
      <c r="CA135" s="203">
        <v>0</v>
      </c>
      <c r="CB135" s="203">
        <v>0</v>
      </c>
      <c r="CC135" s="204">
        <v>0</v>
      </c>
      <c r="CD135" s="203">
        <v>0</v>
      </c>
      <c r="CE135" s="203">
        <v>0</v>
      </c>
      <c r="CF135" s="13">
        <v>0</v>
      </c>
      <c r="CG135" s="206">
        <v>0</v>
      </c>
      <c r="CH135" s="207">
        <v>0</v>
      </c>
      <c r="CI135" s="201"/>
      <c r="CJ135" s="208"/>
      <c r="CK135" s="209" t="s">
        <v>615</v>
      </c>
      <c r="CL135" s="210" t="s">
        <v>615</v>
      </c>
      <c r="CM135" s="207">
        <v>0</v>
      </c>
      <c r="CN135" s="207">
        <v>0</v>
      </c>
      <c r="CO135" s="204">
        <v>0</v>
      </c>
      <c r="CP135" s="204">
        <v>0</v>
      </c>
      <c r="CQ135" s="211"/>
      <c r="CR135" s="204">
        <v>1</v>
      </c>
      <c r="CS135" s="212">
        <v>42558</v>
      </c>
      <c r="CT135" s="212">
        <v>42780</v>
      </c>
      <c r="CU135" s="213">
        <v>42780</v>
      </c>
      <c r="CV135" s="214">
        <v>42829</v>
      </c>
      <c r="CW135" s="214" t="s">
        <v>615</v>
      </c>
      <c r="CX135" s="214" t="s">
        <v>615</v>
      </c>
      <c r="CY135" s="204">
        <v>1</v>
      </c>
      <c r="CZ135" s="204">
        <v>0.97959183673469385</v>
      </c>
      <c r="DA135" s="203">
        <v>0</v>
      </c>
      <c r="DB135" s="204">
        <v>0.97959183673469385</v>
      </c>
      <c r="DC135" s="204">
        <v>0</v>
      </c>
      <c r="DD135" s="204">
        <v>0</v>
      </c>
      <c r="DE135" s="204">
        <v>0</v>
      </c>
      <c r="DF135" s="215">
        <v>0</v>
      </c>
      <c r="DG135" s="13" t="s">
        <v>615</v>
      </c>
      <c r="DH135" s="86">
        <v>133</v>
      </c>
      <c r="DI135" s="86"/>
      <c r="DJ135" s="86">
        <v>48</v>
      </c>
      <c r="DK135" s="86" t="s">
        <v>1538</v>
      </c>
      <c r="DL135" s="86" t="e">
        <v>#N/A</v>
      </c>
      <c r="DM135" s="86" t="e">
        <v>#N/A</v>
      </c>
      <c r="DN135" s="86" t="e">
        <v>#N/A</v>
      </c>
      <c r="DO135" s="86">
        <v>49</v>
      </c>
      <c r="DP135" s="86">
        <v>5</v>
      </c>
      <c r="DQ135" s="86">
        <v>49</v>
      </c>
      <c r="DR135" s="146">
        <v>0</v>
      </c>
      <c r="DS135" s="146">
        <v>0</v>
      </c>
      <c r="DT135" s="146">
        <v>0</v>
      </c>
      <c r="DU135" s="146">
        <v>0</v>
      </c>
      <c r="DV135" s="146">
        <v>0</v>
      </c>
      <c r="DW135" s="146">
        <v>0</v>
      </c>
      <c r="DX135" s="146">
        <v>0</v>
      </c>
      <c r="DY135" s="146">
        <v>0</v>
      </c>
      <c r="DZ135" s="146">
        <v>0</v>
      </c>
      <c r="EA135" s="146">
        <v>0</v>
      </c>
      <c r="EB135" s="146">
        <v>0</v>
      </c>
      <c r="EC135" s="146">
        <v>0</v>
      </c>
      <c r="ED135" s="146">
        <v>0</v>
      </c>
      <c r="EE135" s="146">
        <v>0</v>
      </c>
      <c r="EF135" s="146">
        <v>0</v>
      </c>
      <c r="EG135" s="146">
        <v>0</v>
      </c>
      <c r="EH135" s="146">
        <v>0</v>
      </c>
      <c r="EI135" s="146">
        <v>0</v>
      </c>
      <c r="EJ135" s="146">
        <v>0</v>
      </c>
      <c r="EK135" s="146">
        <v>0</v>
      </c>
      <c r="EL135" s="146">
        <v>0</v>
      </c>
      <c r="EM135" s="146">
        <v>0</v>
      </c>
      <c r="EN135" s="146">
        <v>0</v>
      </c>
      <c r="EO135" s="146">
        <v>0</v>
      </c>
      <c r="EP135" s="146">
        <v>0</v>
      </c>
      <c r="EQ135" s="146">
        <v>0</v>
      </c>
      <c r="ER135" s="146">
        <v>0</v>
      </c>
      <c r="ES135" s="146">
        <v>0</v>
      </c>
      <c r="ET135" s="146">
        <v>0</v>
      </c>
      <c r="EU135" s="146">
        <v>0</v>
      </c>
      <c r="EV135" s="146">
        <v>0</v>
      </c>
      <c r="EW135" s="146">
        <v>0</v>
      </c>
      <c r="EX135" s="146">
        <v>0</v>
      </c>
      <c r="EY135" s="146">
        <v>0</v>
      </c>
      <c r="EZ135" s="146">
        <v>0</v>
      </c>
      <c r="FA135" s="146">
        <v>0</v>
      </c>
      <c r="FB135" s="146">
        <v>0</v>
      </c>
      <c r="FC135" s="146">
        <v>0</v>
      </c>
      <c r="FD135" s="146">
        <v>0</v>
      </c>
      <c r="FE135" s="146">
        <v>0</v>
      </c>
      <c r="FF135" s="146">
        <v>0</v>
      </c>
      <c r="FG135" s="146">
        <v>0</v>
      </c>
      <c r="FH135" s="146">
        <v>0</v>
      </c>
      <c r="FI135" s="146">
        <v>0</v>
      </c>
      <c r="FJ135" s="146">
        <v>0</v>
      </c>
      <c r="FK135" s="146">
        <v>0</v>
      </c>
      <c r="FL135" s="146">
        <v>0</v>
      </c>
      <c r="FM135" s="146">
        <v>0</v>
      </c>
      <c r="FN135" s="146">
        <v>0</v>
      </c>
      <c r="FO135" s="146">
        <v>0</v>
      </c>
      <c r="FP135" s="146">
        <v>0</v>
      </c>
      <c r="FQ135" s="146">
        <v>0</v>
      </c>
      <c r="FR135" s="146">
        <v>0</v>
      </c>
      <c r="FS135" s="146">
        <v>0</v>
      </c>
      <c r="FT135" s="146">
        <v>0</v>
      </c>
      <c r="FU135" s="146">
        <v>0</v>
      </c>
      <c r="FV135" s="146">
        <v>0</v>
      </c>
      <c r="FW135" s="146">
        <v>0</v>
      </c>
      <c r="FX135" s="146">
        <v>0</v>
      </c>
      <c r="FY135" s="146">
        <v>0</v>
      </c>
      <c r="FZ135" s="146">
        <v>0</v>
      </c>
      <c r="GA135" s="146">
        <v>0</v>
      </c>
      <c r="GB135" s="146">
        <v>0</v>
      </c>
      <c r="GC135" s="146">
        <v>0</v>
      </c>
      <c r="GD135" s="146">
        <v>0</v>
      </c>
      <c r="GE135" s="146">
        <v>0</v>
      </c>
      <c r="GF135" s="146">
        <v>0</v>
      </c>
      <c r="GG135" s="146">
        <v>0</v>
      </c>
      <c r="GH135" s="146">
        <v>0</v>
      </c>
      <c r="GI135" s="146">
        <v>0</v>
      </c>
      <c r="GJ135" s="146">
        <v>0</v>
      </c>
      <c r="GK135" s="146">
        <v>0</v>
      </c>
      <c r="GL135" s="146">
        <v>0</v>
      </c>
      <c r="GM135" s="146">
        <v>0</v>
      </c>
      <c r="GN135" s="146">
        <v>0</v>
      </c>
      <c r="GO135" s="146">
        <v>0</v>
      </c>
      <c r="GP135" s="146">
        <v>0</v>
      </c>
      <c r="GQ135" s="146">
        <v>0</v>
      </c>
      <c r="GR135" s="146">
        <v>0</v>
      </c>
      <c r="GS135" s="146">
        <v>0</v>
      </c>
      <c r="GT135" s="146">
        <v>0</v>
      </c>
      <c r="GU135" s="146">
        <v>0</v>
      </c>
      <c r="GV135" s="146">
        <v>0</v>
      </c>
      <c r="GW135" s="146">
        <v>0</v>
      </c>
      <c r="GX135" s="146">
        <v>0</v>
      </c>
      <c r="GY135" s="146">
        <v>0</v>
      </c>
      <c r="GZ135" s="146">
        <v>0</v>
      </c>
      <c r="HA135" s="146">
        <v>0</v>
      </c>
      <c r="HB135" s="146">
        <v>0</v>
      </c>
      <c r="HC135" s="146">
        <v>0</v>
      </c>
      <c r="HD135" s="146">
        <v>0</v>
      </c>
      <c r="HE135" s="146">
        <v>0</v>
      </c>
      <c r="HF135" s="146">
        <v>0</v>
      </c>
      <c r="HG135" s="146">
        <v>0</v>
      </c>
      <c r="HH135" s="146">
        <v>0</v>
      </c>
      <c r="HI135" s="146">
        <v>0</v>
      </c>
      <c r="HJ135" s="146">
        <v>0</v>
      </c>
      <c r="HK135" s="146">
        <v>0</v>
      </c>
      <c r="HL135" s="146">
        <v>0</v>
      </c>
      <c r="HM135" s="146">
        <v>0</v>
      </c>
      <c r="HN135" s="146">
        <v>0</v>
      </c>
      <c r="HO135" s="146">
        <v>0</v>
      </c>
      <c r="HP135" s="146">
        <v>0</v>
      </c>
      <c r="HQ135" s="146">
        <v>0</v>
      </c>
      <c r="HR135" s="146">
        <v>0</v>
      </c>
      <c r="HS135" s="146">
        <v>0</v>
      </c>
      <c r="HT135" s="146">
        <v>0</v>
      </c>
      <c r="HU135" s="151"/>
      <c r="HV135" s="146">
        <v>0</v>
      </c>
      <c r="HW135" s="151"/>
      <c r="HX135" s="151"/>
      <c r="HY135" s="151"/>
      <c r="HZ135" s="151"/>
      <c r="IA135" s="151"/>
      <c r="IB135" s="151"/>
      <c r="IC135" s="151"/>
      <c r="ID135" s="151"/>
      <c r="IE135" s="151"/>
      <c r="IF135" s="151"/>
      <c r="IG135" s="151"/>
      <c r="IH135" s="151"/>
      <c r="II135" s="151"/>
      <c r="IJ135" s="151"/>
      <c r="IK135" s="151"/>
      <c r="IL135" s="151"/>
      <c r="IM135" s="151"/>
      <c r="IN135" s="151"/>
      <c r="IO135" s="151"/>
      <c r="IP135" s="151"/>
      <c r="IQ135" s="151"/>
      <c r="IR135" s="151"/>
      <c r="IS135" s="151"/>
      <c r="IT135" s="151"/>
      <c r="IU135" s="151"/>
      <c r="IV135" s="151"/>
      <c r="IW135" s="151"/>
      <c r="IX135" s="151"/>
      <c r="IY135" s="151"/>
      <c r="IZ135" s="151"/>
      <c r="JA135" s="151"/>
      <c r="JB135" s="151"/>
      <c r="JC135" s="151"/>
      <c r="JD135" s="151"/>
      <c r="JE135" s="151"/>
      <c r="JF135" s="151"/>
      <c r="JG135" s="151"/>
      <c r="JH135" s="151"/>
      <c r="JI135" s="151"/>
      <c r="JJ135" s="151"/>
      <c r="JK135" s="151"/>
      <c r="JL135" s="151"/>
      <c r="JM135" s="151"/>
      <c r="JN135" s="151"/>
      <c r="JO135" s="151"/>
      <c r="JP135" s="151"/>
      <c r="JQ135" s="151"/>
      <c r="JR135" s="151"/>
      <c r="JS135" s="151"/>
      <c r="JT135" s="151"/>
      <c r="JU135" s="151"/>
      <c r="JV135" s="151"/>
      <c r="JW135" s="151"/>
      <c r="JX135" s="151"/>
      <c r="JY135" s="151"/>
      <c r="JZ135" s="151"/>
      <c r="KA135" s="151"/>
      <c r="KB135" s="151"/>
      <c r="KC135" s="151"/>
      <c r="KD135" s="151"/>
      <c r="KE135" s="151"/>
      <c r="KF135" s="151"/>
      <c r="KG135" s="151"/>
      <c r="KH135" s="151"/>
      <c r="KI135" s="151"/>
      <c r="KJ135" s="151"/>
      <c r="KK135" s="151"/>
      <c r="KL135" s="151"/>
      <c r="KM135" s="151"/>
      <c r="KN135" s="151"/>
      <c r="KO135" s="151"/>
      <c r="KP135" s="151"/>
      <c r="KQ135" s="151"/>
      <c r="KR135" s="151"/>
      <c r="KS135" s="151"/>
      <c r="KT135" s="151"/>
      <c r="KU135" s="151"/>
      <c r="KV135" s="151"/>
      <c r="KW135" s="151"/>
      <c r="KX135" s="151"/>
      <c r="KY135" s="151"/>
      <c r="KZ135" s="151"/>
      <c r="LA135" s="151"/>
      <c r="LB135" s="151"/>
      <c r="LC135" s="151"/>
      <c r="LD135" s="151"/>
      <c r="LE135" s="151"/>
    </row>
    <row r="136" spans="1:317" x14ac:dyDescent="0.2">
      <c r="A136" s="179" t="s">
        <v>849</v>
      </c>
      <c r="B136" s="180" t="s">
        <v>1035</v>
      </c>
      <c r="C136" s="181"/>
      <c r="D136" s="182">
        <v>0</v>
      </c>
      <c r="E136" s="182">
        <v>0</v>
      </c>
      <c r="F136" s="183" t="s">
        <v>1306</v>
      </c>
      <c r="G136" s="183">
        <v>0</v>
      </c>
      <c r="H136" s="183">
        <v>0</v>
      </c>
      <c r="I136" s="183">
        <v>0</v>
      </c>
      <c r="J136" s="183">
        <v>0</v>
      </c>
      <c r="K136" s="183" t="s">
        <v>1368</v>
      </c>
      <c r="L136" s="183">
        <v>0</v>
      </c>
      <c r="M136" s="183">
        <v>0</v>
      </c>
      <c r="N136" s="183" t="s">
        <v>881</v>
      </c>
      <c r="O136" s="183">
        <v>0</v>
      </c>
      <c r="P136" s="183">
        <v>0</v>
      </c>
      <c r="Q136" s="183"/>
      <c r="R136" s="183"/>
      <c r="S136" s="183"/>
      <c r="T136" s="183"/>
      <c r="U136" s="183"/>
      <c r="V136" s="183">
        <v>0</v>
      </c>
      <c r="W136" s="183">
        <v>0</v>
      </c>
      <c r="X136" s="183">
        <v>0</v>
      </c>
      <c r="Y136" s="184">
        <v>0.19</v>
      </c>
      <c r="Z136" s="184">
        <v>1.1599999999999999</v>
      </c>
      <c r="AA136" s="184">
        <v>0</v>
      </c>
      <c r="AB136" s="185" t="s">
        <v>615</v>
      </c>
      <c r="AC136" s="185" t="s">
        <v>615</v>
      </c>
      <c r="AD136" s="186" t="s">
        <v>881</v>
      </c>
      <c r="AE136" s="186" t="s">
        <v>858</v>
      </c>
      <c r="AF136" s="187">
        <v>7</v>
      </c>
      <c r="AG136" s="187">
        <v>3</v>
      </c>
      <c r="AH136" s="187">
        <v>4</v>
      </c>
      <c r="AI136" s="188">
        <v>1</v>
      </c>
      <c r="AJ136" s="188" t="s">
        <v>615</v>
      </c>
      <c r="AK136" s="187" t="s">
        <v>1738</v>
      </c>
      <c r="AL136" s="87" t="s">
        <v>615</v>
      </c>
      <c r="AM136" s="189"/>
      <c r="AN136" s="187" t="s">
        <v>615</v>
      </c>
      <c r="AO136" s="13" t="s">
        <v>615</v>
      </c>
      <c r="AP136" s="187">
        <v>0</v>
      </c>
      <c r="AQ136" s="187">
        <v>0</v>
      </c>
      <c r="AR136" s="190">
        <v>0</v>
      </c>
      <c r="AS136" s="190">
        <v>0</v>
      </c>
      <c r="AT136" s="190">
        <v>0</v>
      </c>
      <c r="AU136" s="187">
        <v>0</v>
      </c>
      <c r="AV136" s="187">
        <v>0</v>
      </c>
      <c r="AW136" s="191"/>
      <c r="AX136" s="192"/>
      <c r="AY136" s="193">
        <v>42666</v>
      </c>
      <c r="AZ136" s="193"/>
      <c r="BA136" s="193"/>
      <c r="BB136" s="194"/>
      <c r="BC136" s="194"/>
      <c r="BD136" s="195"/>
      <c r="BE136" s="195" t="s">
        <v>532</v>
      </c>
      <c r="BF136" s="195"/>
      <c r="BG136" s="195">
        <v>500</v>
      </c>
      <c r="BH136" s="196" t="s">
        <v>547</v>
      </c>
      <c r="BI136" s="197">
        <v>1</v>
      </c>
      <c r="BJ136" s="198"/>
      <c r="BK136" s="199">
        <v>0</v>
      </c>
      <c r="BL136" s="13">
        <v>0</v>
      </c>
      <c r="BM136" s="13">
        <v>0</v>
      </c>
      <c r="BN136" s="13" t="s">
        <v>616</v>
      </c>
      <c r="BO136" s="13" t="s">
        <v>616</v>
      </c>
      <c r="BP136" s="200">
        <v>0</v>
      </c>
      <c r="BQ136" s="201"/>
      <c r="BR136" s="202"/>
      <c r="BS136" s="187">
        <v>1000000000</v>
      </c>
      <c r="BT136" s="203">
        <v>0</v>
      </c>
      <c r="BU136" s="204">
        <v>0</v>
      </c>
      <c r="BV136" s="203">
        <v>0</v>
      </c>
      <c r="BW136" s="205">
        <v>0</v>
      </c>
      <c r="BX136" s="205">
        <v>0</v>
      </c>
      <c r="BY136" s="205">
        <v>0</v>
      </c>
      <c r="BZ136" s="203">
        <v>0</v>
      </c>
      <c r="CA136" s="203">
        <v>0</v>
      </c>
      <c r="CB136" s="203">
        <v>0</v>
      </c>
      <c r="CC136" s="204">
        <v>0</v>
      </c>
      <c r="CD136" s="203">
        <v>0</v>
      </c>
      <c r="CE136" s="203">
        <v>0</v>
      </c>
      <c r="CF136" s="13">
        <v>0</v>
      </c>
      <c r="CG136" s="206">
        <v>0</v>
      </c>
      <c r="CH136" s="207">
        <v>0</v>
      </c>
      <c r="CI136" s="201"/>
      <c r="CJ136" s="208"/>
      <c r="CK136" s="209" t="s">
        <v>615</v>
      </c>
      <c r="CL136" s="210" t="s">
        <v>615</v>
      </c>
      <c r="CM136" s="207">
        <v>0</v>
      </c>
      <c r="CN136" s="207">
        <v>0</v>
      </c>
      <c r="CO136" s="204">
        <v>0</v>
      </c>
      <c r="CP136" s="204">
        <v>0</v>
      </c>
      <c r="CQ136" s="211"/>
      <c r="CR136" s="204">
        <v>1</v>
      </c>
      <c r="CS136" s="212">
        <v>42558</v>
      </c>
      <c r="CT136" s="212">
        <v>42780</v>
      </c>
      <c r="CU136" s="213">
        <v>42780</v>
      </c>
      <c r="CV136" s="214">
        <v>42829</v>
      </c>
      <c r="CW136" s="214" t="s">
        <v>615</v>
      </c>
      <c r="CX136" s="214" t="s">
        <v>615</v>
      </c>
      <c r="CY136" s="204">
        <v>0.7827936876641306</v>
      </c>
      <c r="CZ136" s="204">
        <v>0.97959183673469385</v>
      </c>
      <c r="DA136" s="203">
        <v>0</v>
      </c>
      <c r="DB136" s="204">
        <v>0.36734693877551022</v>
      </c>
      <c r="DC136" s="204">
        <v>0</v>
      </c>
      <c r="DD136" s="204">
        <v>0</v>
      </c>
      <c r="DE136" s="204">
        <v>0</v>
      </c>
      <c r="DF136" s="215">
        <v>0.61224489795918369</v>
      </c>
      <c r="DG136" s="13" t="s">
        <v>615</v>
      </c>
      <c r="DH136" s="86">
        <v>134</v>
      </c>
      <c r="DI136" s="86"/>
      <c r="DJ136" s="86">
        <v>49</v>
      </c>
      <c r="DK136" s="86" t="s">
        <v>1539</v>
      </c>
      <c r="DL136" s="86" t="e">
        <v>#N/A</v>
      </c>
      <c r="DM136" s="86" t="e">
        <v>#N/A</v>
      </c>
      <c r="DN136" s="86" t="e">
        <v>#N/A</v>
      </c>
      <c r="DO136" s="86">
        <v>50</v>
      </c>
      <c r="DP136" s="86">
        <v>5</v>
      </c>
      <c r="DQ136" s="86">
        <v>49</v>
      </c>
      <c r="DR136" s="152">
        <v>0</v>
      </c>
      <c r="DS136" s="152">
        <v>0</v>
      </c>
      <c r="DT136" s="152">
        <v>0</v>
      </c>
      <c r="DU136" s="152">
        <v>0</v>
      </c>
      <c r="DV136" s="152">
        <v>0</v>
      </c>
      <c r="DW136" s="152">
        <v>0</v>
      </c>
      <c r="DX136" s="152">
        <v>0</v>
      </c>
      <c r="DY136" s="152">
        <v>0</v>
      </c>
      <c r="DZ136" s="152">
        <v>0</v>
      </c>
      <c r="EA136" s="152">
        <v>0</v>
      </c>
      <c r="EB136" s="152">
        <v>0</v>
      </c>
      <c r="EC136" s="152">
        <v>0</v>
      </c>
      <c r="ED136" s="152">
        <v>0</v>
      </c>
      <c r="EE136" s="152">
        <v>0</v>
      </c>
      <c r="EF136" s="152">
        <v>0</v>
      </c>
      <c r="EG136" s="152">
        <v>0</v>
      </c>
      <c r="EH136" s="152">
        <v>0</v>
      </c>
      <c r="EI136" s="152">
        <v>0</v>
      </c>
      <c r="EJ136" s="152">
        <v>0</v>
      </c>
      <c r="EK136" s="152">
        <v>0</v>
      </c>
      <c r="EL136" s="152">
        <v>0</v>
      </c>
      <c r="EM136" s="152">
        <v>0</v>
      </c>
      <c r="EN136" s="152">
        <v>0</v>
      </c>
      <c r="EO136" s="152">
        <v>0</v>
      </c>
      <c r="EP136" s="152">
        <v>0</v>
      </c>
      <c r="EQ136" s="152">
        <v>0</v>
      </c>
      <c r="ER136" s="152">
        <v>0</v>
      </c>
      <c r="ES136" s="152">
        <v>0</v>
      </c>
      <c r="ET136" s="152">
        <v>0</v>
      </c>
      <c r="EU136" s="152">
        <v>0</v>
      </c>
      <c r="EV136" s="152">
        <v>0</v>
      </c>
      <c r="EW136" s="152">
        <v>0</v>
      </c>
      <c r="EX136" s="152">
        <v>0</v>
      </c>
      <c r="EY136" s="152">
        <v>0</v>
      </c>
      <c r="EZ136" s="152">
        <v>0</v>
      </c>
      <c r="FA136" s="152">
        <v>0</v>
      </c>
      <c r="FB136" s="152">
        <v>0</v>
      </c>
      <c r="FC136" s="152">
        <v>0</v>
      </c>
      <c r="FD136" s="152">
        <v>0</v>
      </c>
      <c r="FE136" s="152">
        <v>0</v>
      </c>
      <c r="FF136" s="152">
        <v>0</v>
      </c>
      <c r="FG136" s="152">
        <v>0</v>
      </c>
      <c r="FH136" s="152">
        <v>0</v>
      </c>
      <c r="FI136" s="152">
        <v>0</v>
      </c>
      <c r="FJ136" s="152">
        <v>0</v>
      </c>
      <c r="FK136" s="152">
        <v>0</v>
      </c>
      <c r="FL136" s="152">
        <v>0</v>
      </c>
      <c r="FM136" s="152">
        <v>0</v>
      </c>
      <c r="FN136" s="152">
        <v>0</v>
      </c>
      <c r="FO136" s="152">
        <v>0</v>
      </c>
      <c r="FP136" s="152">
        <v>0</v>
      </c>
      <c r="FQ136" s="152">
        <v>0</v>
      </c>
      <c r="FR136" s="152">
        <v>0</v>
      </c>
      <c r="FS136" s="152">
        <v>0</v>
      </c>
      <c r="FT136" s="152">
        <v>0</v>
      </c>
      <c r="FU136" s="152">
        <v>500</v>
      </c>
      <c r="FV136" s="152">
        <v>500</v>
      </c>
      <c r="FW136" s="152">
        <v>500</v>
      </c>
      <c r="FX136" s="152">
        <v>500</v>
      </c>
      <c r="FY136" s="152">
        <v>500</v>
      </c>
      <c r="FZ136" s="152">
        <v>500</v>
      </c>
      <c r="GA136" s="152">
        <v>500</v>
      </c>
      <c r="GB136" s="152">
        <v>500</v>
      </c>
      <c r="GC136" s="152">
        <v>500</v>
      </c>
      <c r="GD136" s="152">
        <v>500</v>
      </c>
      <c r="GE136" s="152">
        <v>500</v>
      </c>
      <c r="GF136" s="152">
        <v>500</v>
      </c>
      <c r="GG136" s="152">
        <v>500</v>
      </c>
      <c r="GH136" s="152">
        <v>500</v>
      </c>
      <c r="GI136" s="152">
        <v>500</v>
      </c>
      <c r="GJ136" s="152">
        <v>500</v>
      </c>
      <c r="GK136" s="152">
        <v>500</v>
      </c>
      <c r="GL136" s="152">
        <v>500</v>
      </c>
      <c r="GM136" s="152">
        <v>500</v>
      </c>
      <c r="GN136" s="152">
        <v>500</v>
      </c>
      <c r="GO136" s="152">
        <v>500</v>
      </c>
      <c r="GP136" s="152">
        <v>500</v>
      </c>
      <c r="GQ136" s="152">
        <v>500</v>
      </c>
      <c r="GR136" s="152">
        <v>500</v>
      </c>
      <c r="GS136" s="152">
        <v>500</v>
      </c>
      <c r="GT136" s="152">
        <v>500</v>
      </c>
      <c r="GU136" s="152">
        <v>500</v>
      </c>
      <c r="GV136" s="152">
        <v>500</v>
      </c>
      <c r="GW136" s="152">
        <v>500</v>
      </c>
      <c r="GX136" s="152">
        <v>500</v>
      </c>
      <c r="GY136" s="152">
        <v>500</v>
      </c>
      <c r="GZ136" s="152">
        <v>500</v>
      </c>
      <c r="HA136" s="152">
        <v>500</v>
      </c>
      <c r="HB136" s="152">
        <v>500</v>
      </c>
      <c r="HC136" s="152">
        <v>500</v>
      </c>
      <c r="HD136" s="152">
        <v>0</v>
      </c>
      <c r="HE136" s="152">
        <v>0</v>
      </c>
      <c r="HF136" s="152">
        <v>0</v>
      </c>
      <c r="HG136" s="152">
        <v>0</v>
      </c>
      <c r="HH136" s="152">
        <v>0</v>
      </c>
      <c r="HI136" s="152">
        <v>0</v>
      </c>
      <c r="HJ136" s="152">
        <v>0</v>
      </c>
      <c r="HK136" s="152">
        <v>0</v>
      </c>
      <c r="HL136" s="152">
        <v>0</v>
      </c>
      <c r="HM136" s="152">
        <v>0</v>
      </c>
      <c r="HN136" s="152">
        <v>0</v>
      </c>
      <c r="HO136" s="152">
        <v>0</v>
      </c>
      <c r="HP136" s="152">
        <v>0</v>
      </c>
      <c r="HQ136" s="152">
        <v>0</v>
      </c>
      <c r="HR136" s="152">
        <v>0</v>
      </c>
      <c r="HS136" s="152">
        <v>0</v>
      </c>
      <c r="HT136" s="152">
        <v>0</v>
      </c>
      <c r="HU136" s="216"/>
      <c r="HV136" s="152">
        <v>0</v>
      </c>
      <c r="HW136" s="216"/>
      <c r="HX136" s="216"/>
      <c r="HY136" s="216"/>
      <c r="HZ136" s="216"/>
      <c r="IA136" s="216"/>
      <c r="IB136" s="216"/>
      <c r="IC136" s="216"/>
      <c r="ID136" s="216"/>
      <c r="IE136" s="216"/>
      <c r="IF136" s="216"/>
      <c r="IG136" s="216"/>
      <c r="IH136" s="216"/>
      <c r="II136" s="216"/>
      <c r="IJ136" s="216"/>
      <c r="IK136" s="216"/>
      <c r="IL136" s="216"/>
      <c r="IM136" s="216"/>
      <c r="IN136" s="216"/>
      <c r="IO136" s="216"/>
      <c r="IP136" s="216"/>
      <c r="IQ136" s="216"/>
      <c r="IR136" s="216"/>
      <c r="IS136" s="216"/>
      <c r="IT136" s="216"/>
      <c r="IU136" s="216"/>
      <c r="IV136" s="216"/>
      <c r="IW136" s="216"/>
      <c r="IX136" s="216"/>
      <c r="IY136" s="216"/>
      <c r="IZ136" s="216"/>
      <c r="JA136" s="216"/>
      <c r="JB136" s="216"/>
      <c r="JC136" s="216"/>
      <c r="JD136" s="216"/>
      <c r="JE136" s="216"/>
      <c r="JF136" s="216"/>
      <c r="JG136" s="216"/>
      <c r="JH136" s="216"/>
      <c r="JI136" s="216"/>
      <c r="JJ136" s="216"/>
      <c r="JK136" s="216"/>
      <c r="JL136" s="216"/>
      <c r="JM136" s="216"/>
      <c r="JN136" s="216"/>
      <c r="JO136" s="216"/>
      <c r="JP136" s="216"/>
      <c r="JQ136" s="216"/>
      <c r="JR136" s="216"/>
      <c r="JS136" s="216"/>
      <c r="JT136" s="216"/>
      <c r="JU136" s="216"/>
      <c r="JV136" s="216"/>
      <c r="JW136" s="216"/>
      <c r="JX136" s="216"/>
      <c r="JY136" s="216"/>
      <c r="JZ136" s="216"/>
      <c r="KA136" s="216"/>
      <c r="KB136" s="216"/>
      <c r="KC136" s="216"/>
      <c r="KD136" s="216"/>
      <c r="KE136" s="216"/>
      <c r="KF136" s="216"/>
      <c r="KG136" s="216"/>
      <c r="KH136" s="216"/>
      <c r="KI136" s="216"/>
      <c r="KJ136" s="216"/>
      <c r="KK136" s="216"/>
      <c r="KL136" s="216"/>
      <c r="KM136" s="216"/>
      <c r="KN136" s="216"/>
      <c r="KO136" s="216"/>
      <c r="KP136" s="216"/>
      <c r="KQ136" s="216"/>
      <c r="KR136" s="216"/>
      <c r="KS136" s="216"/>
      <c r="KT136" s="216"/>
      <c r="KU136" s="216"/>
      <c r="KV136" s="216"/>
      <c r="KW136" s="216"/>
      <c r="KX136" s="216"/>
      <c r="KY136" s="216"/>
      <c r="KZ136" s="216"/>
      <c r="LA136" s="216"/>
      <c r="LB136" s="216"/>
      <c r="LC136" s="216"/>
      <c r="LD136" s="216"/>
      <c r="LE136" s="216"/>
    </row>
    <row r="137" spans="1:317" x14ac:dyDescent="0.2">
      <c r="A137" s="179" t="s">
        <v>849</v>
      </c>
      <c r="B137" s="180" t="s">
        <v>1036</v>
      </c>
      <c r="C137" s="181"/>
      <c r="D137" s="182">
        <v>0</v>
      </c>
      <c r="E137" s="182">
        <v>0</v>
      </c>
      <c r="F137" s="183" t="s">
        <v>1307</v>
      </c>
      <c r="G137" s="183">
        <v>0</v>
      </c>
      <c r="H137" s="183">
        <v>0</v>
      </c>
      <c r="I137" s="183">
        <v>0</v>
      </c>
      <c r="J137" s="183">
        <v>0</v>
      </c>
      <c r="K137" s="183" t="s">
        <v>1368</v>
      </c>
      <c r="L137" s="183">
        <v>0</v>
      </c>
      <c r="M137" s="183">
        <v>0</v>
      </c>
      <c r="N137" s="183" t="s">
        <v>881</v>
      </c>
      <c r="O137" s="183">
        <v>0</v>
      </c>
      <c r="P137" s="183">
        <v>0</v>
      </c>
      <c r="Q137" s="183"/>
      <c r="R137" s="183"/>
      <c r="S137" s="183"/>
      <c r="T137" s="183"/>
      <c r="U137" s="183"/>
      <c r="V137" s="183">
        <v>0</v>
      </c>
      <c r="W137" s="183">
        <v>0</v>
      </c>
      <c r="X137" s="183">
        <v>0</v>
      </c>
      <c r="Y137" s="184">
        <v>0.28999999999999998</v>
      </c>
      <c r="Z137" s="184">
        <v>1.8</v>
      </c>
      <c r="AA137" s="184">
        <v>0</v>
      </c>
      <c r="AB137" s="185" t="s">
        <v>615</v>
      </c>
      <c r="AC137" s="185" t="s">
        <v>615</v>
      </c>
      <c r="AD137" s="186" t="s">
        <v>881</v>
      </c>
      <c r="AE137" s="186" t="s">
        <v>858</v>
      </c>
      <c r="AF137" s="187">
        <v>7</v>
      </c>
      <c r="AG137" s="187">
        <v>3</v>
      </c>
      <c r="AH137" s="187">
        <v>4</v>
      </c>
      <c r="AI137" s="188">
        <v>1</v>
      </c>
      <c r="AJ137" s="188" t="s">
        <v>615</v>
      </c>
      <c r="AK137" s="187" t="s">
        <v>1738</v>
      </c>
      <c r="AL137" s="87" t="s">
        <v>615</v>
      </c>
      <c r="AM137" s="189"/>
      <c r="AN137" s="187" t="s">
        <v>615</v>
      </c>
      <c r="AO137" s="13" t="s">
        <v>615</v>
      </c>
      <c r="AP137" s="187">
        <v>0</v>
      </c>
      <c r="AQ137" s="187">
        <v>0</v>
      </c>
      <c r="AR137" s="190">
        <v>0</v>
      </c>
      <c r="AS137" s="190">
        <v>0</v>
      </c>
      <c r="AT137" s="190">
        <v>0</v>
      </c>
      <c r="AU137" s="187">
        <v>0</v>
      </c>
      <c r="AV137" s="187">
        <v>0</v>
      </c>
      <c r="AW137" s="191"/>
      <c r="AX137" s="192"/>
      <c r="AY137" s="193">
        <v>42666</v>
      </c>
      <c r="AZ137" s="193"/>
      <c r="BA137" s="193"/>
      <c r="BB137" s="194"/>
      <c r="BC137" s="194"/>
      <c r="BD137" s="195"/>
      <c r="BE137" s="195" t="s">
        <v>532</v>
      </c>
      <c r="BF137" s="195"/>
      <c r="BG137" s="195">
        <v>300</v>
      </c>
      <c r="BH137" s="196" t="s">
        <v>547</v>
      </c>
      <c r="BI137" s="197">
        <v>1</v>
      </c>
      <c r="BJ137" s="198"/>
      <c r="BK137" s="199">
        <v>0</v>
      </c>
      <c r="BL137" s="13">
        <v>0</v>
      </c>
      <c r="BM137" s="13">
        <v>0</v>
      </c>
      <c r="BN137" s="13" t="s">
        <v>616</v>
      </c>
      <c r="BO137" s="13" t="s">
        <v>616</v>
      </c>
      <c r="BP137" s="200">
        <v>0</v>
      </c>
      <c r="BQ137" s="201"/>
      <c r="BR137" s="202"/>
      <c r="BS137" s="187">
        <v>1000000000</v>
      </c>
      <c r="BT137" s="203">
        <v>0</v>
      </c>
      <c r="BU137" s="204">
        <v>0</v>
      </c>
      <c r="BV137" s="203">
        <v>0</v>
      </c>
      <c r="BW137" s="205">
        <v>0</v>
      </c>
      <c r="BX137" s="205">
        <v>0</v>
      </c>
      <c r="BY137" s="205">
        <v>0</v>
      </c>
      <c r="BZ137" s="203">
        <v>0</v>
      </c>
      <c r="CA137" s="203">
        <v>0</v>
      </c>
      <c r="CB137" s="203">
        <v>0</v>
      </c>
      <c r="CC137" s="204">
        <v>0</v>
      </c>
      <c r="CD137" s="203">
        <v>0</v>
      </c>
      <c r="CE137" s="203">
        <v>0</v>
      </c>
      <c r="CF137" s="13">
        <v>0</v>
      </c>
      <c r="CG137" s="206">
        <v>0</v>
      </c>
      <c r="CH137" s="207">
        <v>0</v>
      </c>
      <c r="CI137" s="201"/>
      <c r="CJ137" s="208"/>
      <c r="CK137" s="209" t="s">
        <v>615</v>
      </c>
      <c r="CL137" s="210" t="s">
        <v>615</v>
      </c>
      <c r="CM137" s="207">
        <v>0</v>
      </c>
      <c r="CN137" s="207">
        <v>0</v>
      </c>
      <c r="CO137" s="204">
        <v>0</v>
      </c>
      <c r="CP137" s="204">
        <v>0</v>
      </c>
      <c r="CQ137" s="211"/>
      <c r="CR137" s="204">
        <v>1</v>
      </c>
      <c r="CS137" s="212">
        <v>42558</v>
      </c>
      <c r="CT137" s="212">
        <v>42780</v>
      </c>
      <c r="CU137" s="213">
        <v>42780</v>
      </c>
      <c r="CV137" s="214">
        <v>42829</v>
      </c>
      <c r="CW137" s="214" t="s">
        <v>615</v>
      </c>
      <c r="CX137" s="214" t="s">
        <v>615</v>
      </c>
      <c r="CY137" s="204">
        <v>0.51260652436324605</v>
      </c>
      <c r="CZ137" s="204">
        <v>0.97959183673469397</v>
      </c>
      <c r="DA137" s="203">
        <v>0</v>
      </c>
      <c r="DB137" s="204">
        <v>4.0816326530612242E-2</v>
      </c>
      <c r="DC137" s="204">
        <v>0</v>
      </c>
      <c r="DD137" s="204">
        <v>0</v>
      </c>
      <c r="DE137" s="204">
        <v>0</v>
      </c>
      <c r="DF137" s="215">
        <v>0.93877551020408168</v>
      </c>
      <c r="DG137" s="13" t="s">
        <v>615</v>
      </c>
      <c r="DH137" s="86">
        <v>135</v>
      </c>
      <c r="DI137" s="86"/>
      <c r="DJ137" s="86">
        <v>50</v>
      </c>
      <c r="DK137" s="86" t="s">
        <v>1540</v>
      </c>
      <c r="DL137" s="86" t="e">
        <v>#N/A</v>
      </c>
      <c r="DM137" s="86" t="e">
        <v>#N/A</v>
      </c>
      <c r="DN137" s="86" t="e">
        <v>#N/A</v>
      </c>
      <c r="DO137" s="86">
        <v>51</v>
      </c>
      <c r="DP137" s="86">
        <v>5</v>
      </c>
      <c r="DQ137" s="86">
        <v>49</v>
      </c>
      <c r="DR137" s="146">
        <v>0</v>
      </c>
      <c r="DS137" s="146">
        <v>0</v>
      </c>
      <c r="DT137" s="146">
        <v>0</v>
      </c>
      <c r="DU137" s="146">
        <v>0</v>
      </c>
      <c r="DV137" s="146">
        <v>0</v>
      </c>
      <c r="DW137" s="146">
        <v>0</v>
      </c>
      <c r="DX137" s="146">
        <v>0</v>
      </c>
      <c r="DY137" s="146">
        <v>0</v>
      </c>
      <c r="DZ137" s="146">
        <v>0</v>
      </c>
      <c r="EA137" s="146">
        <v>0</v>
      </c>
      <c r="EB137" s="146">
        <v>0</v>
      </c>
      <c r="EC137" s="146">
        <v>0</v>
      </c>
      <c r="ED137" s="146">
        <v>0</v>
      </c>
      <c r="EE137" s="146">
        <v>0</v>
      </c>
      <c r="EF137" s="146">
        <v>0</v>
      </c>
      <c r="EG137" s="146">
        <v>0</v>
      </c>
      <c r="EH137" s="146">
        <v>0</v>
      </c>
      <c r="EI137" s="146">
        <v>0</v>
      </c>
      <c r="EJ137" s="146">
        <v>0</v>
      </c>
      <c r="EK137" s="146">
        <v>0</v>
      </c>
      <c r="EL137" s="146">
        <v>0</v>
      </c>
      <c r="EM137" s="146">
        <v>0</v>
      </c>
      <c r="EN137" s="146">
        <v>0</v>
      </c>
      <c r="EO137" s="146">
        <v>0</v>
      </c>
      <c r="EP137" s="146">
        <v>0</v>
      </c>
      <c r="EQ137" s="146">
        <v>0</v>
      </c>
      <c r="ER137" s="146">
        <v>0</v>
      </c>
      <c r="ES137" s="146">
        <v>0</v>
      </c>
      <c r="ET137" s="146">
        <v>0</v>
      </c>
      <c r="EU137" s="146">
        <v>0</v>
      </c>
      <c r="EV137" s="146">
        <v>0</v>
      </c>
      <c r="EW137" s="146">
        <v>0</v>
      </c>
      <c r="EX137" s="146">
        <v>0</v>
      </c>
      <c r="EY137" s="146">
        <v>0</v>
      </c>
      <c r="EZ137" s="146">
        <v>0</v>
      </c>
      <c r="FA137" s="146">
        <v>0</v>
      </c>
      <c r="FB137" s="146">
        <v>0</v>
      </c>
      <c r="FC137" s="146">
        <v>0</v>
      </c>
      <c r="FD137" s="146">
        <v>0</v>
      </c>
      <c r="FE137" s="146">
        <v>0</v>
      </c>
      <c r="FF137" s="146">
        <v>0</v>
      </c>
      <c r="FG137" s="146">
        <v>0</v>
      </c>
      <c r="FH137" s="146">
        <v>0</v>
      </c>
      <c r="FI137" s="146">
        <v>0</v>
      </c>
      <c r="FJ137" s="146">
        <v>0</v>
      </c>
      <c r="FK137" s="146">
        <v>0</v>
      </c>
      <c r="FL137" s="146">
        <v>0</v>
      </c>
      <c r="FM137" s="146">
        <v>0</v>
      </c>
      <c r="FN137" s="146">
        <v>0</v>
      </c>
      <c r="FO137" s="146">
        <v>0</v>
      </c>
      <c r="FP137" s="146">
        <v>0</v>
      </c>
      <c r="FQ137" s="146">
        <v>0</v>
      </c>
      <c r="FR137" s="146">
        <v>0</v>
      </c>
      <c r="FS137" s="146">
        <v>0</v>
      </c>
      <c r="FT137" s="146">
        <v>0</v>
      </c>
      <c r="FU137" s="146">
        <v>700</v>
      </c>
      <c r="FV137" s="146">
        <v>700</v>
      </c>
      <c r="FW137" s="146">
        <v>700</v>
      </c>
      <c r="FX137" s="146">
        <v>700</v>
      </c>
      <c r="FY137" s="146">
        <v>700</v>
      </c>
      <c r="FZ137" s="146">
        <v>700</v>
      </c>
      <c r="GA137" s="146">
        <v>700</v>
      </c>
      <c r="GB137" s="146">
        <v>700</v>
      </c>
      <c r="GC137" s="146">
        <v>700</v>
      </c>
      <c r="GD137" s="146">
        <v>700</v>
      </c>
      <c r="GE137" s="146">
        <v>700</v>
      </c>
      <c r="GF137" s="146">
        <v>700</v>
      </c>
      <c r="GG137" s="146">
        <v>700</v>
      </c>
      <c r="GH137" s="146">
        <v>700</v>
      </c>
      <c r="GI137" s="146">
        <v>700</v>
      </c>
      <c r="GJ137" s="146">
        <v>700</v>
      </c>
      <c r="GK137" s="146">
        <v>700</v>
      </c>
      <c r="GL137" s="146">
        <v>700</v>
      </c>
      <c r="GM137" s="146">
        <v>700</v>
      </c>
      <c r="GN137" s="146">
        <v>700</v>
      </c>
      <c r="GO137" s="146">
        <v>700</v>
      </c>
      <c r="GP137" s="146">
        <v>700</v>
      </c>
      <c r="GQ137" s="146">
        <v>700</v>
      </c>
      <c r="GR137" s="146">
        <v>700</v>
      </c>
      <c r="GS137" s="146">
        <v>700</v>
      </c>
      <c r="GT137" s="146">
        <v>700</v>
      </c>
      <c r="GU137" s="146">
        <v>700</v>
      </c>
      <c r="GV137" s="146">
        <v>700</v>
      </c>
      <c r="GW137" s="146">
        <v>700</v>
      </c>
      <c r="GX137" s="146">
        <v>700</v>
      </c>
      <c r="GY137" s="146">
        <v>700</v>
      </c>
      <c r="GZ137" s="146">
        <v>700</v>
      </c>
      <c r="HA137" s="146">
        <v>700</v>
      </c>
      <c r="HB137" s="146">
        <v>700</v>
      </c>
      <c r="HC137" s="146">
        <v>700</v>
      </c>
      <c r="HD137" s="146">
        <v>200</v>
      </c>
      <c r="HE137" s="146">
        <v>200</v>
      </c>
      <c r="HF137" s="146">
        <v>200</v>
      </c>
      <c r="HG137" s="146">
        <v>200</v>
      </c>
      <c r="HH137" s="146">
        <v>200</v>
      </c>
      <c r="HI137" s="146">
        <v>200</v>
      </c>
      <c r="HJ137" s="146">
        <v>200</v>
      </c>
      <c r="HK137" s="146">
        <v>200</v>
      </c>
      <c r="HL137" s="146">
        <v>200</v>
      </c>
      <c r="HM137" s="146">
        <v>200</v>
      </c>
      <c r="HN137" s="146">
        <v>200</v>
      </c>
      <c r="HO137" s="146">
        <v>200</v>
      </c>
      <c r="HP137" s="146">
        <v>200</v>
      </c>
      <c r="HQ137" s="146">
        <v>200</v>
      </c>
      <c r="HR137" s="146">
        <v>200</v>
      </c>
      <c r="HS137" s="146">
        <v>200</v>
      </c>
      <c r="HT137" s="146">
        <v>0</v>
      </c>
      <c r="HU137" s="151"/>
      <c r="HV137" s="146">
        <v>0</v>
      </c>
      <c r="HW137" s="151"/>
      <c r="HX137" s="151"/>
      <c r="HY137" s="151"/>
      <c r="HZ137" s="151"/>
      <c r="IA137" s="151"/>
      <c r="IB137" s="151"/>
      <c r="IC137" s="151"/>
      <c r="ID137" s="151"/>
      <c r="IE137" s="151"/>
      <c r="IF137" s="151"/>
      <c r="IG137" s="151"/>
      <c r="IH137" s="151"/>
      <c r="II137" s="151"/>
      <c r="IJ137" s="151"/>
      <c r="IK137" s="151"/>
      <c r="IL137" s="151"/>
      <c r="IM137" s="151"/>
      <c r="IN137" s="151"/>
      <c r="IO137" s="151"/>
      <c r="IP137" s="151"/>
      <c r="IQ137" s="151"/>
      <c r="IR137" s="151"/>
      <c r="IS137" s="151"/>
      <c r="IT137" s="151"/>
      <c r="IU137" s="151"/>
      <c r="IV137" s="151"/>
      <c r="IW137" s="151"/>
      <c r="IX137" s="151"/>
      <c r="IY137" s="151"/>
      <c r="IZ137" s="151"/>
      <c r="JA137" s="151"/>
      <c r="JB137" s="151"/>
      <c r="JC137" s="151"/>
      <c r="JD137" s="151"/>
      <c r="JE137" s="151"/>
      <c r="JF137" s="151"/>
      <c r="JG137" s="151"/>
      <c r="JH137" s="151"/>
      <c r="JI137" s="151"/>
      <c r="JJ137" s="151"/>
      <c r="JK137" s="151"/>
      <c r="JL137" s="151"/>
      <c r="JM137" s="151"/>
      <c r="JN137" s="151"/>
      <c r="JO137" s="151"/>
      <c r="JP137" s="151"/>
      <c r="JQ137" s="151"/>
      <c r="JR137" s="151"/>
      <c r="JS137" s="151"/>
      <c r="JT137" s="151"/>
      <c r="JU137" s="151"/>
      <c r="JV137" s="151"/>
      <c r="JW137" s="151"/>
      <c r="JX137" s="151"/>
      <c r="JY137" s="151"/>
      <c r="JZ137" s="151"/>
      <c r="KA137" s="151"/>
      <c r="KB137" s="151"/>
      <c r="KC137" s="151"/>
      <c r="KD137" s="151"/>
      <c r="KE137" s="151"/>
      <c r="KF137" s="151"/>
      <c r="KG137" s="151"/>
      <c r="KH137" s="151"/>
      <c r="KI137" s="151"/>
      <c r="KJ137" s="151"/>
      <c r="KK137" s="151"/>
      <c r="KL137" s="151"/>
      <c r="KM137" s="151"/>
      <c r="KN137" s="151"/>
      <c r="KO137" s="151"/>
      <c r="KP137" s="151"/>
      <c r="KQ137" s="151"/>
      <c r="KR137" s="151"/>
      <c r="KS137" s="151"/>
      <c r="KT137" s="151"/>
      <c r="KU137" s="151"/>
      <c r="KV137" s="151"/>
      <c r="KW137" s="151"/>
      <c r="KX137" s="151"/>
      <c r="KY137" s="151"/>
      <c r="KZ137" s="151"/>
      <c r="LA137" s="151"/>
      <c r="LB137" s="151"/>
      <c r="LC137" s="151"/>
      <c r="LD137" s="151"/>
      <c r="LE137" s="151"/>
    </row>
    <row r="138" spans="1:317" x14ac:dyDescent="0.2">
      <c r="A138" s="179" t="s">
        <v>849</v>
      </c>
      <c r="B138" s="180" t="s">
        <v>1037</v>
      </c>
      <c r="C138" s="181"/>
      <c r="D138" s="182">
        <v>0</v>
      </c>
      <c r="E138" s="182">
        <v>0</v>
      </c>
      <c r="F138" s="183" t="s">
        <v>1308</v>
      </c>
      <c r="G138" s="183">
        <v>0</v>
      </c>
      <c r="H138" s="183">
        <v>0</v>
      </c>
      <c r="I138" s="183">
        <v>0</v>
      </c>
      <c r="J138" s="183">
        <v>0</v>
      </c>
      <c r="K138" s="183" t="s">
        <v>1368</v>
      </c>
      <c r="L138" s="183">
        <v>0</v>
      </c>
      <c r="M138" s="183">
        <v>0</v>
      </c>
      <c r="N138" s="183" t="s">
        <v>881</v>
      </c>
      <c r="O138" s="183">
        <v>0</v>
      </c>
      <c r="P138" s="183">
        <v>0</v>
      </c>
      <c r="Q138" s="183"/>
      <c r="R138" s="183"/>
      <c r="S138" s="183"/>
      <c r="T138" s="183"/>
      <c r="U138" s="183"/>
      <c r="V138" s="183">
        <v>0</v>
      </c>
      <c r="W138" s="183">
        <v>0</v>
      </c>
      <c r="X138" s="183">
        <v>0</v>
      </c>
      <c r="Y138" s="184">
        <v>0</v>
      </c>
      <c r="Z138" s="184">
        <v>3.04</v>
      </c>
      <c r="AA138" s="184">
        <v>0</v>
      </c>
      <c r="AB138" s="185" t="s">
        <v>615</v>
      </c>
      <c r="AC138" s="185" t="s">
        <v>615</v>
      </c>
      <c r="AD138" s="186" t="s">
        <v>881</v>
      </c>
      <c r="AE138" s="186" t="s">
        <v>858</v>
      </c>
      <c r="AF138" s="187">
        <v>7</v>
      </c>
      <c r="AG138" s="187">
        <v>3</v>
      </c>
      <c r="AH138" s="187">
        <v>4</v>
      </c>
      <c r="AI138" s="188">
        <v>1</v>
      </c>
      <c r="AJ138" s="188" t="s">
        <v>615</v>
      </c>
      <c r="AK138" s="187" t="s">
        <v>1738</v>
      </c>
      <c r="AL138" s="87" t="s">
        <v>615</v>
      </c>
      <c r="AM138" s="189"/>
      <c r="AN138" s="187" t="s">
        <v>615</v>
      </c>
      <c r="AO138" s="13" t="s">
        <v>615</v>
      </c>
      <c r="AP138" s="187">
        <v>0</v>
      </c>
      <c r="AQ138" s="187">
        <v>0</v>
      </c>
      <c r="AR138" s="190">
        <v>0</v>
      </c>
      <c r="AS138" s="190">
        <v>0</v>
      </c>
      <c r="AT138" s="190">
        <v>0</v>
      </c>
      <c r="AU138" s="187">
        <v>0</v>
      </c>
      <c r="AV138" s="187">
        <v>0</v>
      </c>
      <c r="AW138" s="191"/>
      <c r="AX138" s="192"/>
      <c r="AY138" s="193">
        <v>42666</v>
      </c>
      <c r="AZ138" s="193"/>
      <c r="BA138" s="193"/>
      <c r="BB138" s="194"/>
      <c r="BC138" s="194"/>
      <c r="BD138" s="195"/>
      <c r="BE138" s="195" t="s">
        <v>532</v>
      </c>
      <c r="BF138" s="195"/>
      <c r="BG138" s="195">
        <v>250</v>
      </c>
      <c r="BH138" s="196" t="s">
        <v>547</v>
      </c>
      <c r="BI138" s="197">
        <v>1</v>
      </c>
      <c r="BJ138" s="198"/>
      <c r="BK138" s="199">
        <v>0</v>
      </c>
      <c r="BL138" s="13">
        <v>0</v>
      </c>
      <c r="BM138" s="13">
        <v>0</v>
      </c>
      <c r="BN138" s="13" t="s">
        <v>616</v>
      </c>
      <c r="BO138" s="13" t="s">
        <v>616</v>
      </c>
      <c r="BP138" s="200">
        <v>0</v>
      </c>
      <c r="BQ138" s="201"/>
      <c r="BR138" s="202"/>
      <c r="BS138" s="187">
        <v>1000000000</v>
      </c>
      <c r="BT138" s="203">
        <v>0</v>
      </c>
      <c r="BU138" s="204">
        <v>0</v>
      </c>
      <c r="BV138" s="203">
        <v>0</v>
      </c>
      <c r="BW138" s="205">
        <v>0</v>
      </c>
      <c r="BX138" s="205">
        <v>0</v>
      </c>
      <c r="BY138" s="205">
        <v>0</v>
      </c>
      <c r="BZ138" s="203">
        <v>0</v>
      </c>
      <c r="CA138" s="203">
        <v>0</v>
      </c>
      <c r="CB138" s="203">
        <v>0</v>
      </c>
      <c r="CC138" s="204">
        <v>0</v>
      </c>
      <c r="CD138" s="203">
        <v>0</v>
      </c>
      <c r="CE138" s="203">
        <v>0</v>
      </c>
      <c r="CF138" s="13">
        <v>0</v>
      </c>
      <c r="CG138" s="206">
        <v>0</v>
      </c>
      <c r="CH138" s="207">
        <v>0</v>
      </c>
      <c r="CI138" s="201"/>
      <c r="CJ138" s="208"/>
      <c r="CK138" s="209" t="s">
        <v>615</v>
      </c>
      <c r="CL138" s="210" t="s">
        <v>615</v>
      </c>
      <c r="CM138" s="207">
        <v>0</v>
      </c>
      <c r="CN138" s="207">
        <v>0</v>
      </c>
      <c r="CO138" s="204">
        <v>0</v>
      </c>
      <c r="CP138" s="204">
        <v>0</v>
      </c>
      <c r="CQ138" s="211"/>
      <c r="CR138" s="204">
        <v>1</v>
      </c>
      <c r="CS138" s="212">
        <v>42558</v>
      </c>
      <c r="CT138" s="212">
        <v>42780</v>
      </c>
      <c r="CU138" s="213">
        <v>42780</v>
      </c>
      <c r="CV138" s="214">
        <v>42829</v>
      </c>
      <c r="CW138" s="214" t="s">
        <v>615</v>
      </c>
      <c r="CX138" s="214" t="s">
        <v>615</v>
      </c>
      <c r="CY138" s="204">
        <v>1</v>
      </c>
      <c r="CZ138" s="204">
        <v>0.97959183673469385</v>
      </c>
      <c r="DA138" s="203">
        <v>0</v>
      </c>
      <c r="DB138" s="204">
        <v>0.97959183673469385</v>
      </c>
      <c r="DC138" s="204">
        <v>0</v>
      </c>
      <c r="DD138" s="204">
        <v>0</v>
      </c>
      <c r="DE138" s="204">
        <v>0</v>
      </c>
      <c r="DF138" s="215">
        <v>0</v>
      </c>
      <c r="DG138" s="13" t="s">
        <v>615</v>
      </c>
      <c r="DH138" s="86">
        <v>136</v>
      </c>
      <c r="DI138" s="86"/>
      <c r="DJ138" s="86">
        <v>52</v>
      </c>
      <c r="DK138" s="86" t="s">
        <v>1542</v>
      </c>
      <c r="DL138" s="86" t="e">
        <v>#N/A</v>
      </c>
      <c r="DM138" s="86" t="e">
        <v>#N/A</v>
      </c>
      <c r="DN138" s="86" t="e">
        <v>#N/A</v>
      </c>
      <c r="DO138" s="86">
        <v>53</v>
      </c>
      <c r="DP138" s="86">
        <v>5</v>
      </c>
      <c r="DQ138" s="86">
        <v>49</v>
      </c>
      <c r="DR138" s="152">
        <v>0</v>
      </c>
      <c r="DS138" s="152">
        <v>0</v>
      </c>
      <c r="DT138" s="152">
        <v>0</v>
      </c>
      <c r="DU138" s="152">
        <v>0</v>
      </c>
      <c r="DV138" s="152">
        <v>0</v>
      </c>
      <c r="DW138" s="152">
        <v>0</v>
      </c>
      <c r="DX138" s="152">
        <v>0</v>
      </c>
      <c r="DY138" s="152">
        <v>0</v>
      </c>
      <c r="DZ138" s="152">
        <v>0</v>
      </c>
      <c r="EA138" s="152">
        <v>0</v>
      </c>
      <c r="EB138" s="152">
        <v>0</v>
      </c>
      <c r="EC138" s="152">
        <v>0</v>
      </c>
      <c r="ED138" s="152">
        <v>0</v>
      </c>
      <c r="EE138" s="152">
        <v>0</v>
      </c>
      <c r="EF138" s="152">
        <v>0</v>
      </c>
      <c r="EG138" s="152">
        <v>0</v>
      </c>
      <c r="EH138" s="152">
        <v>0</v>
      </c>
      <c r="EI138" s="152">
        <v>0</v>
      </c>
      <c r="EJ138" s="152">
        <v>0</v>
      </c>
      <c r="EK138" s="152">
        <v>0</v>
      </c>
      <c r="EL138" s="152">
        <v>0</v>
      </c>
      <c r="EM138" s="152">
        <v>0</v>
      </c>
      <c r="EN138" s="152">
        <v>0</v>
      </c>
      <c r="EO138" s="152">
        <v>0</v>
      </c>
      <c r="EP138" s="152">
        <v>0</v>
      </c>
      <c r="EQ138" s="152">
        <v>0</v>
      </c>
      <c r="ER138" s="152">
        <v>0</v>
      </c>
      <c r="ES138" s="152">
        <v>0</v>
      </c>
      <c r="ET138" s="152">
        <v>0</v>
      </c>
      <c r="EU138" s="152">
        <v>0</v>
      </c>
      <c r="EV138" s="152">
        <v>0</v>
      </c>
      <c r="EW138" s="152">
        <v>0</v>
      </c>
      <c r="EX138" s="152">
        <v>0</v>
      </c>
      <c r="EY138" s="152">
        <v>0</v>
      </c>
      <c r="EZ138" s="152">
        <v>0</v>
      </c>
      <c r="FA138" s="152">
        <v>0</v>
      </c>
      <c r="FB138" s="152">
        <v>0</v>
      </c>
      <c r="FC138" s="152">
        <v>0</v>
      </c>
      <c r="FD138" s="152">
        <v>0</v>
      </c>
      <c r="FE138" s="152">
        <v>0</v>
      </c>
      <c r="FF138" s="152">
        <v>0</v>
      </c>
      <c r="FG138" s="152">
        <v>0</v>
      </c>
      <c r="FH138" s="152">
        <v>0</v>
      </c>
      <c r="FI138" s="152">
        <v>0</v>
      </c>
      <c r="FJ138" s="152">
        <v>0</v>
      </c>
      <c r="FK138" s="152">
        <v>0</v>
      </c>
      <c r="FL138" s="152">
        <v>0</v>
      </c>
      <c r="FM138" s="152">
        <v>0</v>
      </c>
      <c r="FN138" s="152">
        <v>0</v>
      </c>
      <c r="FO138" s="152">
        <v>0</v>
      </c>
      <c r="FP138" s="152">
        <v>0</v>
      </c>
      <c r="FQ138" s="152">
        <v>0</v>
      </c>
      <c r="FR138" s="152">
        <v>0</v>
      </c>
      <c r="FS138" s="152">
        <v>0</v>
      </c>
      <c r="FT138" s="152">
        <v>0</v>
      </c>
      <c r="FU138" s="152">
        <v>0</v>
      </c>
      <c r="FV138" s="152">
        <v>0</v>
      </c>
      <c r="FW138" s="152">
        <v>0</v>
      </c>
      <c r="FX138" s="152">
        <v>0</v>
      </c>
      <c r="FY138" s="152">
        <v>0</v>
      </c>
      <c r="FZ138" s="152">
        <v>0</v>
      </c>
      <c r="GA138" s="152">
        <v>0</v>
      </c>
      <c r="GB138" s="152">
        <v>0</v>
      </c>
      <c r="GC138" s="152">
        <v>0</v>
      </c>
      <c r="GD138" s="152">
        <v>0</v>
      </c>
      <c r="GE138" s="152">
        <v>0</v>
      </c>
      <c r="GF138" s="152">
        <v>0</v>
      </c>
      <c r="GG138" s="152">
        <v>0</v>
      </c>
      <c r="GH138" s="152">
        <v>0</v>
      </c>
      <c r="GI138" s="152">
        <v>0</v>
      </c>
      <c r="GJ138" s="152">
        <v>0</v>
      </c>
      <c r="GK138" s="152">
        <v>0</v>
      </c>
      <c r="GL138" s="152">
        <v>0</v>
      </c>
      <c r="GM138" s="152">
        <v>0</v>
      </c>
      <c r="GN138" s="152">
        <v>0</v>
      </c>
      <c r="GO138" s="152">
        <v>0</v>
      </c>
      <c r="GP138" s="152">
        <v>0</v>
      </c>
      <c r="GQ138" s="152">
        <v>0</v>
      </c>
      <c r="GR138" s="152">
        <v>0</v>
      </c>
      <c r="GS138" s="152">
        <v>0</v>
      </c>
      <c r="GT138" s="152">
        <v>0</v>
      </c>
      <c r="GU138" s="152">
        <v>0</v>
      </c>
      <c r="GV138" s="152">
        <v>0</v>
      </c>
      <c r="GW138" s="152">
        <v>0</v>
      </c>
      <c r="GX138" s="152">
        <v>0</v>
      </c>
      <c r="GY138" s="152">
        <v>0</v>
      </c>
      <c r="GZ138" s="152">
        <v>0</v>
      </c>
      <c r="HA138" s="152">
        <v>0</v>
      </c>
      <c r="HB138" s="152">
        <v>0</v>
      </c>
      <c r="HC138" s="152">
        <v>0</v>
      </c>
      <c r="HD138" s="152">
        <v>0</v>
      </c>
      <c r="HE138" s="152">
        <v>0</v>
      </c>
      <c r="HF138" s="152">
        <v>0</v>
      </c>
      <c r="HG138" s="152">
        <v>0</v>
      </c>
      <c r="HH138" s="152">
        <v>0</v>
      </c>
      <c r="HI138" s="152">
        <v>0</v>
      </c>
      <c r="HJ138" s="152">
        <v>0</v>
      </c>
      <c r="HK138" s="152">
        <v>0</v>
      </c>
      <c r="HL138" s="152">
        <v>0</v>
      </c>
      <c r="HM138" s="152">
        <v>0</v>
      </c>
      <c r="HN138" s="152">
        <v>0</v>
      </c>
      <c r="HO138" s="152">
        <v>0</v>
      </c>
      <c r="HP138" s="152">
        <v>0</v>
      </c>
      <c r="HQ138" s="152">
        <v>0</v>
      </c>
      <c r="HR138" s="152">
        <v>0</v>
      </c>
      <c r="HS138" s="152">
        <v>0</v>
      </c>
      <c r="HT138" s="152">
        <v>0</v>
      </c>
      <c r="HU138" s="216"/>
      <c r="HV138" s="152">
        <v>0</v>
      </c>
      <c r="HW138" s="216"/>
      <c r="HX138" s="216"/>
      <c r="HY138" s="216"/>
      <c r="HZ138" s="216"/>
      <c r="IA138" s="216"/>
      <c r="IB138" s="216"/>
      <c r="IC138" s="216"/>
      <c r="ID138" s="216"/>
      <c r="IE138" s="216"/>
      <c r="IF138" s="216"/>
      <c r="IG138" s="216"/>
      <c r="IH138" s="216"/>
      <c r="II138" s="216"/>
      <c r="IJ138" s="216"/>
      <c r="IK138" s="216"/>
      <c r="IL138" s="216"/>
      <c r="IM138" s="216"/>
      <c r="IN138" s="216"/>
      <c r="IO138" s="216"/>
      <c r="IP138" s="216"/>
      <c r="IQ138" s="216"/>
      <c r="IR138" s="216"/>
      <c r="IS138" s="216"/>
      <c r="IT138" s="216"/>
      <c r="IU138" s="216"/>
      <c r="IV138" s="216"/>
      <c r="IW138" s="216"/>
      <c r="IX138" s="216"/>
      <c r="IY138" s="216"/>
      <c r="IZ138" s="216"/>
      <c r="JA138" s="216"/>
      <c r="JB138" s="216"/>
      <c r="JC138" s="216"/>
      <c r="JD138" s="216"/>
      <c r="JE138" s="216"/>
      <c r="JF138" s="216"/>
      <c r="JG138" s="216"/>
      <c r="JH138" s="216"/>
      <c r="JI138" s="216"/>
      <c r="JJ138" s="216"/>
      <c r="JK138" s="216"/>
      <c r="JL138" s="216"/>
      <c r="JM138" s="216"/>
      <c r="JN138" s="216"/>
      <c r="JO138" s="216"/>
      <c r="JP138" s="216"/>
      <c r="JQ138" s="216"/>
      <c r="JR138" s="216"/>
      <c r="JS138" s="216"/>
      <c r="JT138" s="216"/>
      <c r="JU138" s="216"/>
      <c r="JV138" s="216"/>
      <c r="JW138" s="216"/>
      <c r="JX138" s="216"/>
      <c r="JY138" s="216"/>
      <c r="JZ138" s="216"/>
      <c r="KA138" s="216"/>
      <c r="KB138" s="216"/>
      <c r="KC138" s="216"/>
      <c r="KD138" s="216"/>
      <c r="KE138" s="216"/>
      <c r="KF138" s="216"/>
      <c r="KG138" s="216"/>
      <c r="KH138" s="216"/>
      <c r="KI138" s="216"/>
      <c r="KJ138" s="216"/>
      <c r="KK138" s="216"/>
      <c r="KL138" s="216"/>
      <c r="KM138" s="216"/>
      <c r="KN138" s="216"/>
      <c r="KO138" s="216"/>
      <c r="KP138" s="216"/>
      <c r="KQ138" s="216"/>
      <c r="KR138" s="216"/>
      <c r="KS138" s="216"/>
      <c r="KT138" s="216"/>
      <c r="KU138" s="216"/>
      <c r="KV138" s="216"/>
      <c r="KW138" s="216"/>
      <c r="KX138" s="216"/>
      <c r="KY138" s="216"/>
      <c r="KZ138" s="216"/>
      <c r="LA138" s="216"/>
      <c r="LB138" s="216"/>
      <c r="LC138" s="216"/>
      <c r="LD138" s="216"/>
      <c r="LE138" s="216"/>
    </row>
    <row r="139" spans="1:317" x14ac:dyDescent="0.2">
      <c r="A139" s="179" t="s">
        <v>849</v>
      </c>
      <c r="B139" s="180" t="s">
        <v>1038</v>
      </c>
      <c r="C139" s="181"/>
      <c r="D139" s="182">
        <v>0</v>
      </c>
      <c r="E139" s="182">
        <v>0</v>
      </c>
      <c r="F139" s="183" t="s">
        <v>1309</v>
      </c>
      <c r="G139" s="183">
        <v>0</v>
      </c>
      <c r="H139" s="183">
        <v>0</v>
      </c>
      <c r="I139" s="183">
        <v>0</v>
      </c>
      <c r="J139" s="183">
        <v>0</v>
      </c>
      <c r="K139" s="183" t="s">
        <v>1368</v>
      </c>
      <c r="L139" s="183">
        <v>0</v>
      </c>
      <c r="M139" s="183">
        <v>0</v>
      </c>
      <c r="N139" s="183" t="s">
        <v>881</v>
      </c>
      <c r="O139" s="183">
        <v>0</v>
      </c>
      <c r="P139" s="183">
        <v>0</v>
      </c>
      <c r="Q139" s="183"/>
      <c r="R139" s="183"/>
      <c r="S139" s="183"/>
      <c r="T139" s="183"/>
      <c r="U139" s="183"/>
      <c r="V139" s="183">
        <v>0</v>
      </c>
      <c r="W139" s="183">
        <v>0</v>
      </c>
      <c r="X139" s="183">
        <v>0</v>
      </c>
      <c r="Y139" s="184">
        <v>0</v>
      </c>
      <c r="Z139" s="184">
        <v>4.95</v>
      </c>
      <c r="AA139" s="184">
        <v>0</v>
      </c>
      <c r="AB139" s="185" t="s">
        <v>615</v>
      </c>
      <c r="AC139" s="185" t="s">
        <v>615</v>
      </c>
      <c r="AD139" s="186" t="s">
        <v>881</v>
      </c>
      <c r="AE139" s="186" t="s">
        <v>858</v>
      </c>
      <c r="AF139" s="187">
        <v>7</v>
      </c>
      <c r="AG139" s="187">
        <v>3</v>
      </c>
      <c r="AH139" s="187">
        <v>4</v>
      </c>
      <c r="AI139" s="188">
        <v>1</v>
      </c>
      <c r="AJ139" s="188" t="s">
        <v>615</v>
      </c>
      <c r="AK139" s="187" t="s">
        <v>1738</v>
      </c>
      <c r="AL139" s="87" t="s">
        <v>615</v>
      </c>
      <c r="AM139" s="189"/>
      <c r="AN139" s="187" t="s">
        <v>615</v>
      </c>
      <c r="AO139" s="13" t="s">
        <v>615</v>
      </c>
      <c r="AP139" s="187">
        <v>0</v>
      </c>
      <c r="AQ139" s="187">
        <v>0</v>
      </c>
      <c r="AR139" s="190">
        <v>0</v>
      </c>
      <c r="AS139" s="190">
        <v>0</v>
      </c>
      <c r="AT139" s="190">
        <v>0</v>
      </c>
      <c r="AU139" s="187">
        <v>0</v>
      </c>
      <c r="AV139" s="187">
        <v>0</v>
      </c>
      <c r="AW139" s="191"/>
      <c r="AX139" s="192"/>
      <c r="AY139" s="193">
        <v>42666</v>
      </c>
      <c r="AZ139" s="193"/>
      <c r="BA139" s="193"/>
      <c r="BB139" s="194"/>
      <c r="BC139" s="194"/>
      <c r="BD139" s="195"/>
      <c r="BE139" s="195" t="s">
        <v>532</v>
      </c>
      <c r="BF139" s="195"/>
      <c r="BG139" s="195">
        <v>100</v>
      </c>
      <c r="BH139" s="196" t="s">
        <v>547</v>
      </c>
      <c r="BI139" s="197">
        <v>1</v>
      </c>
      <c r="BJ139" s="198"/>
      <c r="BK139" s="199">
        <v>0</v>
      </c>
      <c r="BL139" s="13">
        <v>0</v>
      </c>
      <c r="BM139" s="13">
        <v>0</v>
      </c>
      <c r="BN139" s="13" t="s">
        <v>616</v>
      </c>
      <c r="BO139" s="13" t="s">
        <v>616</v>
      </c>
      <c r="BP139" s="200">
        <v>0</v>
      </c>
      <c r="BQ139" s="201"/>
      <c r="BR139" s="202"/>
      <c r="BS139" s="187">
        <v>1000000000</v>
      </c>
      <c r="BT139" s="203">
        <v>0</v>
      </c>
      <c r="BU139" s="204">
        <v>0</v>
      </c>
      <c r="BV139" s="203">
        <v>0</v>
      </c>
      <c r="BW139" s="205">
        <v>0</v>
      </c>
      <c r="BX139" s="205">
        <v>0</v>
      </c>
      <c r="BY139" s="205">
        <v>0</v>
      </c>
      <c r="BZ139" s="203">
        <v>0</v>
      </c>
      <c r="CA139" s="203">
        <v>0</v>
      </c>
      <c r="CB139" s="203">
        <v>0</v>
      </c>
      <c r="CC139" s="204">
        <v>0</v>
      </c>
      <c r="CD139" s="203">
        <v>0</v>
      </c>
      <c r="CE139" s="203">
        <v>0</v>
      </c>
      <c r="CF139" s="13">
        <v>0</v>
      </c>
      <c r="CG139" s="206">
        <v>0</v>
      </c>
      <c r="CH139" s="207">
        <v>0</v>
      </c>
      <c r="CI139" s="201"/>
      <c r="CJ139" s="208"/>
      <c r="CK139" s="209" t="s">
        <v>615</v>
      </c>
      <c r="CL139" s="210" t="s">
        <v>615</v>
      </c>
      <c r="CM139" s="207">
        <v>0</v>
      </c>
      <c r="CN139" s="207">
        <v>0</v>
      </c>
      <c r="CO139" s="204">
        <v>0</v>
      </c>
      <c r="CP139" s="204">
        <v>0</v>
      </c>
      <c r="CQ139" s="211"/>
      <c r="CR139" s="204">
        <v>1</v>
      </c>
      <c r="CS139" s="212">
        <v>42558</v>
      </c>
      <c r="CT139" s="212">
        <v>42780</v>
      </c>
      <c r="CU139" s="213">
        <v>42780</v>
      </c>
      <c r="CV139" s="214">
        <v>42829</v>
      </c>
      <c r="CW139" s="214" t="s">
        <v>615</v>
      </c>
      <c r="CX139" s="214" t="s">
        <v>615</v>
      </c>
      <c r="CY139" s="204">
        <v>1</v>
      </c>
      <c r="CZ139" s="204">
        <v>0.97959183673469385</v>
      </c>
      <c r="DA139" s="203">
        <v>0</v>
      </c>
      <c r="DB139" s="204">
        <v>0.97959183673469385</v>
      </c>
      <c r="DC139" s="204">
        <v>0</v>
      </c>
      <c r="DD139" s="204">
        <v>0</v>
      </c>
      <c r="DE139" s="204">
        <v>0</v>
      </c>
      <c r="DF139" s="215">
        <v>0</v>
      </c>
      <c r="DG139" s="13" t="s">
        <v>615</v>
      </c>
      <c r="DH139" s="86">
        <v>137</v>
      </c>
      <c r="DI139" s="86"/>
      <c r="DJ139" s="86">
        <v>54</v>
      </c>
      <c r="DK139" s="86" t="s">
        <v>1544</v>
      </c>
      <c r="DL139" s="86" t="e">
        <v>#N/A</v>
      </c>
      <c r="DM139" s="86" t="e">
        <v>#N/A</v>
      </c>
      <c r="DN139" s="86" t="e">
        <v>#N/A</v>
      </c>
      <c r="DO139" s="86">
        <v>55</v>
      </c>
      <c r="DP139" s="86">
        <v>5</v>
      </c>
      <c r="DQ139" s="86">
        <v>49</v>
      </c>
      <c r="DR139" s="146">
        <v>0</v>
      </c>
      <c r="DS139" s="146">
        <v>0</v>
      </c>
      <c r="DT139" s="146">
        <v>0</v>
      </c>
      <c r="DU139" s="146">
        <v>0</v>
      </c>
      <c r="DV139" s="146">
        <v>0</v>
      </c>
      <c r="DW139" s="146">
        <v>0</v>
      </c>
      <c r="DX139" s="146">
        <v>0</v>
      </c>
      <c r="DY139" s="146">
        <v>0</v>
      </c>
      <c r="DZ139" s="146">
        <v>0</v>
      </c>
      <c r="EA139" s="146">
        <v>0</v>
      </c>
      <c r="EB139" s="146">
        <v>0</v>
      </c>
      <c r="EC139" s="146">
        <v>0</v>
      </c>
      <c r="ED139" s="146">
        <v>0</v>
      </c>
      <c r="EE139" s="146">
        <v>0</v>
      </c>
      <c r="EF139" s="146">
        <v>0</v>
      </c>
      <c r="EG139" s="146">
        <v>0</v>
      </c>
      <c r="EH139" s="146">
        <v>0</v>
      </c>
      <c r="EI139" s="146">
        <v>0</v>
      </c>
      <c r="EJ139" s="146">
        <v>0</v>
      </c>
      <c r="EK139" s="146">
        <v>0</v>
      </c>
      <c r="EL139" s="146">
        <v>0</v>
      </c>
      <c r="EM139" s="146">
        <v>0</v>
      </c>
      <c r="EN139" s="146">
        <v>0</v>
      </c>
      <c r="EO139" s="146">
        <v>0</v>
      </c>
      <c r="EP139" s="146">
        <v>0</v>
      </c>
      <c r="EQ139" s="146">
        <v>0</v>
      </c>
      <c r="ER139" s="146">
        <v>0</v>
      </c>
      <c r="ES139" s="146">
        <v>0</v>
      </c>
      <c r="ET139" s="146">
        <v>0</v>
      </c>
      <c r="EU139" s="146">
        <v>0</v>
      </c>
      <c r="EV139" s="146">
        <v>0</v>
      </c>
      <c r="EW139" s="146">
        <v>0</v>
      </c>
      <c r="EX139" s="146">
        <v>0</v>
      </c>
      <c r="EY139" s="146">
        <v>0</v>
      </c>
      <c r="EZ139" s="146">
        <v>0</v>
      </c>
      <c r="FA139" s="146">
        <v>0</v>
      </c>
      <c r="FB139" s="146">
        <v>0</v>
      </c>
      <c r="FC139" s="146">
        <v>0</v>
      </c>
      <c r="FD139" s="146">
        <v>0</v>
      </c>
      <c r="FE139" s="146">
        <v>0</v>
      </c>
      <c r="FF139" s="146">
        <v>0</v>
      </c>
      <c r="FG139" s="146">
        <v>0</v>
      </c>
      <c r="FH139" s="146">
        <v>0</v>
      </c>
      <c r="FI139" s="146">
        <v>0</v>
      </c>
      <c r="FJ139" s="146">
        <v>0</v>
      </c>
      <c r="FK139" s="146">
        <v>0</v>
      </c>
      <c r="FL139" s="146">
        <v>0</v>
      </c>
      <c r="FM139" s="146">
        <v>0</v>
      </c>
      <c r="FN139" s="146">
        <v>0</v>
      </c>
      <c r="FO139" s="146">
        <v>0</v>
      </c>
      <c r="FP139" s="146">
        <v>0</v>
      </c>
      <c r="FQ139" s="146">
        <v>0</v>
      </c>
      <c r="FR139" s="146">
        <v>0</v>
      </c>
      <c r="FS139" s="146">
        <v>0</v>
      </c>
      <c r="FT139" s="146">
        <v>0</v>
      </c>
      <c r="FU139" s="146">
        <v>0</v>
      </c>
      <c r="FV139" s="146">
        <v>0</v>
      </c>
      <c r="FW139" s="146">
        <v>0</v>
      </c>
      <c r="FX139" s="146">
        <v>0</v>
      </c>
      <c r="FY139" s="146">
        <v>0</v>
      </c>
      <c r="FZ139" s="146">
        <v>0</v>
      </c>
      <c r="GA139" s="146">
        <v>0</v>
      </c>
      <c r="GB139" s="146">
        <v>0</v>
      </c>
      <c r="GC139" s="146">
        <v>0</v>
      </c>
      <c r="GD139" s="146">
        <v>0</v>
      </c>
      <c r="GE139" s="146">
        <v>0</v>
      </c>
      <c r="GF139" s="146">
        <v>0</v>
      </c>
      <c r="GG139" s="146">
        <v>0</v>
      </c>
      <c r="GH139" s="146">
        <v>0</v>
      </c>
      <c r="GI139" s="146">
        <v>0</v>
      </c>
      <c r="GJ139" s="146">
        <v>0</v>
      </c>
      <c r="GK139" s="146">
        <v>0</v>
      </c>
      <c r="GL139" s="146">
        <v>0</v>
      </c>
      <c r="GM139" s="146">
        <v>0</v>
      </c>
      <c r="GN139" s="146">
        <v>0</v>
      </c>
      <c r="GO139" s="146">
        <v>0</v>
      </c>
      <c r="GP139" s="146">
        <v>0</v>
      </c>
      <c r="GQ139" s="146">
        <v>0</v>
      </c>
      <c r="GR139" s="146">
        <v>0</v>
      </c>
      <c r="GS139" s="146">
        <v>0</v>
      </c>
      <c r="GT139" s="146">
        <v>0</v>
      </c>
      <c r="GU139" s="146">
        <v>0</v>
      </c>
      <c r="GV139" s="146">
        <v>0</v>
      </c>
      <c r="GW139" s="146">
        <v>0</v>
      </c>
      <c r="GX139" s="146">
        <v>0</v>
      </c>
      <c r="GY139" s="146">
        <v>0</v>
      </c>
      <c r="GZ139" s="146">
        <v>0</v>
      </c>
      <c r="HA139" s="146">
        <v>0</v>
      </c>
      <c r="HB139" s="146">
        <v>0</v>
      </c>
      <c r="HC139" s="146">
        <v>0</v>
      </c>
      <c r="HD139" s="146">
        <v>0</v>
      </c>
      <c r="HE139" s="146">
        <v>0</v>
      </c>
      <c r="HF139" s="146">
        <v>0</v>
      </c>
      <c r="HG139" s="146">
        <v>0</v>
      </c>
      <c r="HH139" s="146">
        <v>0</v>
      </c>
      <c r="HI139" s="146">
        <v>0</v>
      </c>
      <c r="HJ139" s="146">
        <v>0</v>
      </c>
      <c r="HK139" s="146">
        <v>0</v>
      </c>
      <c r="HL139" s="146">
        <v>0</v>
      </c>
      <c r="HM139" s="146">
        <v>0</v>
      </c>
      <c r="HN139" s="146">
        <v>0</v>
      </c>
      <c r="HO139" s="146">
        <v>0</v>
      </c>
      <c r="HP139" s="146">
        <v>0</v>
      </c>
      <c r="HQ139" s="146">
        <v>0</v>
      </c>
      <c r="HR139" s="146">
        <v>0</v>
      </c>
      <c r="HS139" s="146">
        <v>0</v>
      </c>
      <c r="HT139" s="146">
        <v>0</v>
      </c>
      <c r="HU139" s="151"/>
      <c r="HV139" s="146">
        <v>0</v>
      </c>
      <c r="HW139" s="151"/>
      <c r="HX139" s="151"/>
      <c r="HY139" s="151"/>
      <c r="HZ139" s="151"/>
      <c r="IA139" s="151"/>
      <c r="IB139" s="151"/>
      <c r="IC139" s="151"/>
      <c r="ID139" s="151"/>
      <c r="IE139" s="151"/>
      <c r="IF139" s="151"/>
      <c r="IG139" s="151"/>
      <c r="IH139" s="151"/>
      <c r="II139" s="151"/>
      <c r="IJ139" s="151"/>
      <c r="IK139" s="151"/>
      <c r="IL139" s="151"/>
      <c r="IM139" s="151"/>
      <c r="IN139" s="151"/>
      <c r="IO139" s="151"/>
      <c r="IP139" s="151"/>
      <c r="IQ139" s="151"/>
      <c r="IR139" s="151"/>
      <c r="IS139" s="151"/>
      <c r="IT139" s="151"/>
      <c r="IU139" s="151"/>
      <c r="IV139" s="151"/>
      <c r="IW139" s="151"/>
      <c r="IX139" s="151"/>
      <c r="IY139" s="151"/>
      <c r="IZ139" s="151"/>
      <c r="JA139" s="151"/>
      <c r="JB139" s="151"/>
      <c r="JC139" s="151"/>
      <c r="JD139" s="151"/>
      <c r="JE139" s="151"/>
      <c r="JF139" s="151"/>
      <c r="JG139" s="151"/>
      <c r="JH139" s="151"/>
      <c r="JI139" s="151"/>
      <c r="JJ139" s="151"/>
      <c r="JK139" s="151"/>
      <c r="JL139" s="151"/>
      <c r="JM139" s="151"/>
      <c r="JN139" s="151"/>
      <c r="JO139" s="151"/>
      <c r="JP139" s="151"/>
      <c r="JQ139" s="151"/>
      <c r="JR139" s="151"/>
      <c r="JS139" s="151"/>
      <c r="JT139" s="151"/>
      <c r="JU139" s="151"/>
      <c r="JV139" s="151"/>
      <c r="JW139" s="151"/>
      <c r="JX139" s="151"/>
      <c r="JY139" s="151"/>
      <c r="JZ139" s="151"/>
      <c r="KA139" s="151"/>
      <c r="KB139" s="151"/>
      <c r="KC139" s="151"/>
      <c r="KD139" s="151"/>
      <c r="KE139" s="151"/>
      <c r="KF139" s="151"/>
      <c r="KG139" s="151"/>
      <c r="KH139" s="151"/>
      <c r="KI139" s="151"/>
      <c r="KJ139" s="151"/>
      <c r="KK139" s="151"/>
      <c r="KL139" s="151"/>
      <c r="KM139" s="151"/>
      <c r="KN139" s="151"/>
      <c r="KO139" s="151"/>
      <c r="KP139" s="151"/>
      <c r="KQ139" s="151"/>
      <c r="KR139" s="151"/>
      <c r="KS139" s="151"/>
      <c r="KT139" s="151"/>
      <c r="KU139" s="151"/>
      <c r="KV139" s="151"/>
      <c r="KW139" s="151"/>
      <c r="KX139" s="151"/>
      <c r="KY139" s="151"/>
      <c r="KZ139" s="151"/>
      <c r="LA139" s="151"/>
      <c r="LB139" s="151"/>
      <c r="LC139" s="151"/>
      <c r="LD139" s="151"/>
      <c r="LE139" s="151"/>
    </row>
    <row r="140" spans="1:317" x14ac:dyDescent="0.2">
      <c r="A140" s="179" t="s">
        <v>849</v>
      </c>
      <c r="B140" s="180" t="s">
        <v>1039</v>
      </c>
      <c r="C140" s="181"/>
      <c r="D140" s="182">
        <v>0</v>
      </c>
      <c r="E140" s="182">
        <v>0</v>
      </c>
      <c r="F140" s="183" t="s">
        <v>1310</v>
      </c>
      <c r="G140" s="183">
        <v>0</v>
      </c>
      <c r="H140" s="183">
        <v>0</v>
      </c>
      <c r="I140" s="183">
        <v>0</v>
      </c>
      <c r="J140" s="183">
        <v>0</v>
      </c>
      <c r="K140" s="183" t="s">
        <v>1368</v>
      </c>
      <c r="L140" s="183">
        <v>0</v>
      </c>
      <c r="M140" s="183">
        <v>0</v>
      </c>
      <c r="N140" s="183" t="s">
        <v>881</v>
      </c>
      <c r="O140" s="183">
        <v>0</v>
      </c>
      <c r="P140" s="183">
        <v>0</v>
      </c>
      <c r="Q140" s="183"/>
      <c r="R140" s="183"/>
      <c r="S140" s="183"/>
      <c r="T140" s="183"/>
      <c r="U140" s="183"/>
      <c r="V140" s="183">
        <v>0</v>
      </c>
      <c r="W140" s="183">
        <v>0</v>
      </c>
      <c r="X140" s="183">
        <v>0</v>
      </c>
      <c r="Y140" s="184">
        <v>0</v>
      </c>
      <c r="Z140" s="184">
        <v>5.0199999999999996</v>
      </c>
      <c r="AA140" s="184">
        <v>0</v>
      </c>
      <c r="AB140" s="185" t="s">
        <v>615</v>
      </c>
      <c r="AC140" s="185" t="s">
        <v>615</v>
      </c>
      <c r="AD140" s="186" t="s">
        <v>881</v>
      </c>
      <c r="AE140" s="186" t="s">
        <v>858</v>
      </c>
      <c r="AF140" s="187">
        <v>7</v>
      </c>
      <c r="AG140" s="187">
        <v>3</v>
      </c>
      <c r="AH140" s="187">
        <v>4</v>
      </c>
      <c r="AI140" s="188">
        <v>1</v>
      </c>
      <c r="AJ140" s="188" t="s">
        <v>615</v>
      </c>
      <c r="AK140" s="187" t="s">
        <v>1738</v>
      </c>
      <c r="AL140" s="87" t="s">
        <v>615</v>
      </c>
      <c r="AM140" s="189"/>
      <c r="AN140" s="187" t="s">
        <v>615</v>
      </c>
      <c r="AO140" s="13" t="s">
        <v>615</v>
      </c>
      <c r="AP140" s="187">
        <v>0</v>
      </c>
      <c r="AQ140" s="187">
        <v>0</v>
      </c>
      <c r="AR140" s="190">
        <v>0</v>
      </c>
      <c r="AS140" s="190">
        <v>0</v>
      </c>
      <c r="AT140" s="190">
        <v>0</v>
      </c>
      <c r="AU140" s="187">
        <v>0</v>
      </c>
      <c r="AV140" s="187">
        <v>0</v>
      </c>
      <c r="AW140" s="191"/>
      <c r="AX140" s="192"/>
      <c r="AY140" s="193">
        <v>42666</v>
      </c>
      <c r="AZ140" s="193"/>
      <c r="BA140" s="193"/>
      <c r="BB140" s="194"/>
      <c r="BC140" s="194"/>
      <c r="BD140" s="195"/>
      <c r="BE140" s="195" t="s">
        <v>532</v>
      </c>
      <c r="BF140" s="195"/>
      <c r="BG140" s="195">
        <v>100</v>
      </c>
      <c r="BH140" s="196" t="s">
        <v>547</v>
      </c>
      <c r="BI140" s="197">
        <v>1</v>
      </c>
      <c r="BJ140" s="198"/>
      <c r="BK140" s="199">
        <v>0</v>
      </c>
      <c r="BL140" s="13">
        <v>0</v>
      </c>
      <c r="BM140" s="13">
        <v>0</v>
      </c>
      <c r="BN140" s="13" t="s">
        <v>616</v>
      </c>
      <c r="BO140" s="13" t="s">
        <v>616</v>
      </c>
      <c r="BP140" s="200">
        <v>0</v>
      </c>
      <c r="BQ140" s="201"/>
      <c r="BR140" s="202"/>
      <c r="BS140" s="187">
        <v>1000000000</v>
      </c>
      <c r="BT140" s="203">
        <v>0</v>
      </c>
      <c r="BU140" s="204">
        <v>0</v>
      </c>
      <c r="BV140" s="203">
        <v>0</v>
      </c>
      <c r="BW140" s="205">
        <v>0</v>
      </c>
      <c r="BX140" s="205">
        <v>0</v>
      </c>
      <c r="BY140" s="205">
        <v>0</v>
      </c>
      <c r="BZ140" s="203">
        <v>0</v>
      </c>
      <c r="CA140" s="203">
        <v>0</v>
      </c>
      <c r="CB140" s="203">
        <v>0</v>
      </c>
      <c r="CC140" s="204">
        <v>0</v>
      </c>
      <c r="CD140" s="203">
        <v>0</v>
      </c>
      <c r="CE140" s="203">
        <v>0</v>
      </c>
      <c r="CF140" s="13">
        <v>0</v>
      </c>
      <c r="CG140" s="206">
        <v>0</v>
      </c>
      <c r="CH140" s="207">
        <v>0</v>
      </c>
      <c r="CI140" s="201"/>
      <c r="CJ140" s="208"/>
      <c r="CK140" s="209" t="s">
        <v>615</v>
      </c>
      <c r="CL140" s="210" t="s">
        <v>615</v>
      </c>
      <c r="CM140" s="207">
        <v>0</v>
      </c>
      <c r="CN140" s="207">
        <v>0</v>
      </c>
      <c r="CO140" s="204">
        <v>0</v>
      </c>
      <c r="CP140" s="204">
        <v>0</v>
      </c>
      <c r="CQ140" s="211"/>
      <c r="CR140" s="204">
        <v>1</v>
      </c>
      <c r="CS140" s="212">
        <v>42558</v>
      </c>
      <c r="CT140" s="212">
        <v>42780</v>
      </c>
      <c r="CU140" s="213">
        <v>42780</v>
      </c>
      <c r="CV140" s="214">
        <v>42829</v>
      </c>
      <c r="CW140" s="214" t="s">
        <v>615</v>
      </c>
      <c r="CX140" s="214" t="s">
        <v>615</v>
      </c>
      <c r="CY140" s="204">
        <v>1</v>
      </c>
      <c r="CZ140" s="204">
        <v>0.97959183673469385</v>
      </c>
      <c r="DA140" s="203">
        <v>0</v>
      </c>
      <c r="DB140" s="204">
        <v>0.97959183673469385</v>
      </c>
      <c r="DC140" s="204">
        <v>0</v>
      </c>
      <c r="DD140" s="204">
        <v>0</v>
      </c>
      <c r="DE140" s="204">
        <v>0</v>
      </c>
      <c r="DF140" s="215">
        <v>0</v>
      </c>
      <c r="DG140" s="13" t="s">
        <v>615</v>
      </c>
      <c r="DH140" s="86">
        <v>138</v>
      </c>
      <c r="DI140" s="86"/>
      <c r="DJ140" s="86">
        <v>55</v>
      </c>
      <c r="DK140" s="86" t="s">
        <v>1545</v>
      </c>
      <c r="DL140" s="86" t="e">
        <v>#N/A</v>
      </c>
      <c r="DM140" s="86" t="e">
        <v>#N/A</v>
      </c>
      <c r="DN140" s="86" t="e">
        <v>#N/A</v>
      </c>
      <c r="DO140" s="86">
        <v>56</v>
      </c>
      <c r="DP140" s="86">
        <v>5</v>
      </c>
      <c r="DQ140" s="86">
        <v>49</v>
      </c>
      <c r="DR140" s="152">
        <v>0</v>
      </c>
      <c r="DS140" s="152">
        <v>0</v>
      </c>
      <c r="DT140" s="152">
        <v>0</v>
      </c>
      <c r="DU140" s="152">
        <v>0</v>
      </c>
      <c r="DV140" s="152">
        <v>0</v>
      </c>
      <c r="DW140" s="152">
        <v>0</v>
      </c>
      <c r="DX140" s="152">
        <v>0</v>
      </c>
      <c r="DY140" s="152">
        <v>0</v>
      </c>
      <c r="DZ140" s="152">
        <v>0</v>
      </c>
      <c r="EA140" s="152">
        <v>0</v>
      </c>
      <c r="EB140" s="152">
        <v>0</v>
      </c>
      <c r="EC140" s="152">
        <v>0</v>
      </c>
      <c r="ED140" s="152">
        <v>0</v>
      </c>
      <c r="EE140" s="152">
        <v>0</v>
      </c>
      <c r="EF140" s="152">
        <v>0</v>
      </c>
      <c r="EG140" s="152">
        <v>0</v>
      </c>
      <c r="EH140" s="152">
        <v>0</v>
      </c>
      <c r="EI140" s="152">
        <v>0</v>
      </c>
      <c r="EJ140" s="152">
        <v>0</v>
      </c>
      <c r="EK140" s="152">
        <v>0</v>
      </c>
      <c r="EL140" s="152">
        <v>0</v>
      </c>
      <c r="EM140" s="152">
        <v>0</v>
      </c>
      <c r="EN140" s="152">
        <v>0</v>
      </c>
      <c r="EO140" s="152">
        <v>0</v>
      </c>
      <c r="EP140" s="152">
        <v>0</v>
      </c>
      <c r="EQ140" s="152">
        <v>0</v>
      </c>
      <c r="ER140" s="152">
        <v>0</v>
      </c>
      <c r="ES140" s="152">
        <v>0</v>
      </c>
      <c r="ET140" s="152">
        <v>0</v>
      </c>
      <c r="EU140" s="152">
        <v>0</v>
      </c>
      <c r="EV140" s="152">
        <v>0</v>
      </c>
      <c r="EW140" s="152">
        <v>0</v>
      </c>
      <c r="EX140" s="152">
        <v>0</v>
      </c>
      <c r="EY140" s="152">
        <v>0</v>
      </c>
      <c r="EZ140" s="152">
        <v>0</v>
      </c>
      <c r="FA140" s="152">
        <v>0</v>
      </c>
      <c r="FB140" s="152">
        <v>0</v>
      </c>
      <c r="FC140" s="152">
        <v>0</v>
      </c>
      <c r="FD140" s="152">
        <v>0</v>
      </c>
      <c r="FE140" s="152">
        <v>0</v>
      </c>
      <c r="FF140" s="152">
        <v>0</v>
      </c>
      <c r="FG140" s="152">
        <v>0</v>
      </c>
      <c r="FH140" s="152">
        <v>0</v>
      </c>
      <c r="FI140" s="152">
        <v>0</v>
      </c>
      <c r="FJ140" s="152">
        <v>0</v>
      </c>
      <c r="FK140" s="152">
        <v>0</v>
      </c>
      <c r="FL140" s="152">
        <v>0</v>
      </c>
      <c r="FM140" s="152">
        <v>0</v>
      </c>
      <c r="FN140" s="152">
        <v>0</v>
      </c>
      <c r="FO140" s="152">
        <v>0</v>
      </c>
      <c r="FP140" s="152">
        <v>0</v>
      </c>
      <c r="FQ140" s="152">
        <v>0</v>
      </c>
      <c r="FR140" s="152">
        <v>0</v>
      </c>
      <c r="FS140" s="152">
        <v>0</v>
      </c>
      <c r="FT140" s="152">
        <v>0</v>
      </c>
      <c r="FU140" s="152">
        <v>0</v>
      </c>
      <c r="FV140" s="152">
        <v>0</v>
      </c>
      <c r="FW140" s="152">
        <v>0</v>
      </c>
      <c r="FX140" s="152">
        <v>0</v>
      </c>
      <c r="FY140" s="152">
        <v>0</v>
      </c>
      <c r="FZ140" s="152">
        <v>0</v>
      </c>
      <c r="GA140" s="152">
        <v>0</v>
      </c>
      <c r="GB140" s="152">
        <v>0</v>
      </c>
      <c r="GC140" s="152">
        <v>0</v>
      </c>
      <c r="GD140" s="152">
        <v>0</v>
      </c>
      <c r="GE140" s="152">
        <v>0</v>
      </c>
      <c r="GF140" s="152">
        <v>0</v>
      </c>
      <c r="GG140" s="152">
        <v>0</v>
      </c>
      <c r="GH140" s="152">
        <v>0</v>
      </c>
      <c r="GI140" s="152">
        <v>0</v>
      </c>
      <c r="GJ140" s="152">
        <v>0</v>
      </c>
      <c r="GK140" s="152">
        <v>0</v>
      </c>
      <c r="GL140" s="152">
        <v>0</v>
      </c>
      <c r="GM140" s="152">
        <v>0</v>
      </c>
      <c r="GN140" s="152">
        <v>0</v>
      </c>
      <c r="GO140" s="152">
        <v>0</v>
      </c>
      <c r="GP140" s="152">
        <v>0</v>
      </c>
      <c r="GQ140" s="152">
        <v>0</v>
      </c>
      <c r="GR140" s="152">
        <v>0</v>
      </c>
      <c r="GS140" s="152">
        <v>0</v>
      </c>
      <c r="GT140" s="152">
        <v>0</v>
      </c>
      <c r="GU140" s="152">
        <v>0</v>
      </c>
      <c r="GV140" s="152">
        <v>0</v>
      </c>
      <c r="GW140" s="152">
        <v>0</v>
      </c>
      <c r="GX140" s="152">
        <v>0</v>
      </c>
      <c r="GY140" s="152">
        <v>0</v>
      </c>
      <c r="GZ140" s="152">
        <v>0</v>
      </c>
      <c r="HA140" s="152">
        <v>0</v>
      </c>
      <c r="HB140" s="152">
        <v>0</v>
      </c>
      <c r="HC140" s="152">
        <v>0</v>
      </c>
      <c r="HD140" s="152">
        <v>0</v>
      </c>
      <c r="HE140" s="152">
        <v>0</v>
      </c>
      <c r="HF140" s="152">
        <v>0</v>
      </c>
      <c r="HG140" s="152">
        <v>0</v>
      </c>
      <c r="HH140" s="152">
        <v>0</v>
      </c>
      <c r="HI140" s="152">
        <v>0</v>
      </c>
      <c r="HJ140" s="152">
        <v>0</v>
      </c>
      <c r="HK140" s="152">
        <v>0</v>
      </c>
      <c r="HL140" s="152">
        <v>0</v>
      </c>
      <c r="HM140" s="152">
        <v>0</v>
      </c>
      <c r="HN140" s="152">
        <v>0</v>
      </c>
      <c r="HO140" s="152">
        <v>0</v>
      </c>
      <c r="HP140" s="152">
        <v>0</v>
      </c>
      <c r="HQ140" s="152">
        <v>0</v>
      </c>
      <c r="HR140" s="152">
        <v>0</v>
      </c>
      <c r="HS140" s="152">
        <v>0</v>
      </c>
      <c r="HT140" s="152">
        <v>0</v>
      </c>
      <c r="HU140" s="216"/>
      <c r="HV140" s="152">
        <v>0</v>
      </c>
      <c r="HW140" s="216"/>
      <c r="HX140" s="216"/>
      <c r="HY140" s="216"/>
      <c r="HZ140" s="216"/>
      <c r="IA140" s="216"/>
      <c r="IB140" s="216"/>
      <c r="IC140" s="216"/>
      <c r="ID140" s="216"/>
      <c r="IE140" s="216"/>
      <c r="IF140" s="216"/>
      <c r="IG140" s="216"/>
      <c r="IH140" s="216"/>
      <c r="II140" s="216"/>
      <c r="IJ140" s="216"/>
      <c r="IK140" s="216"/>
      <c r="IL140" s="216"/>
      <c r="IM140" s="216"/>
      <c r="IN140" s="216"/>
      <c r="IO140" s="216"/>
      <c r="IP140" s="216"/>
      <c r="IQ140" s="216"/>
      <c r="IR140" s="216"/>
      <c r="IS140" s="216"/>
      <c r="IT140" s="216"/>
      <c r="IU140" s="216"/>
      <c r="IV140" s="216"/>
      <c r="IW140" s="216"/>
      <c r="IX140" s="216"/>
      <c r="IY140" s="216"/>
      <c r="IZ140" s="216"/>
      <c r="JA140" s="216"/>
      <c r="JB140" s="216"/>
      <c r="JC140" s="216"/>
      <c r="JD140" s="216"/>
      <c r="JE140" s="216"/>
      <c r="JF140" s="216"/>
      <c r="JG140" s="216"/>
      <c r="JH140" s="216"/>
      <c r="JI140" s="216"/>
      <c r="JJ140" s="216"/>
      <c r="JK140" s="216"/>
      <c r="JL140" s="216"/>
      <c r="JM140" s="216"/>
      <c r="JN140" s="216"/>
      <c r="JO140" s="216"/>
      <c r="JP140" s="216"/>
      <c r="JQ140" s="216"/>
      <c r="JR140" s="216"/>
      <c r="JS140" s="216"/>
      <c r="JT140" s="216"/>
      <c r="JU140" s="216"/>
      <c r="JV140" s="216"/>
      <c r="JW140" s="216"/>
      <c r="JX140" s="216"/>
      <c r="JY140" s="216"/>
      <c r="JZ140" s="216"/>
      <c r="KA140" s="216"/>
      <c r="KB140" s="216"/>
      <c r="KC140" s="216"/>
      <c r="KD140" s="216"/>
      <c r="KE140" s="216"/>
      <c r="KF140" s="216"/>
      <c r="KG140" s="216"/>
      <c r="KH140" s="216"/>
      <c r="KI140" s="216"/>
      <c r="KJ140" s="216"/>
      <c r="KK140" s="216"/>
      <c r="KL140" s="216"/>
      <c r="KM140" s="216"/>
      <c r="KN140" s="216"/>
      <c r="KO140" s="216"/>
      <c r="KP140" s="216"/>
      <c r="KQ140" s="216"/>
      <c r="KR140" s="216"/>
      <c r="KS140" s="216"/>
      <c r="KT140" s="216"/>
      <c r="KU140" s="216"/>
      <c r="KV140" s="216"/>
      <c r="KW140" s="216"/>
      <c r="KX140" s="216"/>
      <c r="KY140" s="216"/>
      <c r="KZ140" s="216"/>
      <c r="LA140" s="216"/>
      <c r="LB140" s="216"/>
      <c r="LC140" s="216"/>
      <c r="LD140" s="216"/>
      <c r="LE140" s="216"/>
    </row>
    <row r="141" spans="1:317" x14ac:dyDescent="0.2">
      <c r="A141" s="179" t="s">
        <v>849</v>
      </c>
      <c r="B141" s="180" t="s">
        <v>1040</v>
      </c>
      <c r="C141" s="181"/>
      <c r="D141" s="182">
        <v>0</v>
      </c>
      <c r="E141" s="182">
        <v>0</v>
      </c>
      <c r="F141" s="183" t="s">
        <v>1310</v>
      </c>
      <c r="G141" s="183">
        <v>0</v>
      </c>
      <c r="H141" s="183">
        <v>0</v>
      </c>
      <c r="I141" s="183">
        <v>0</v>
      </c>
      <c r="J141" s="183">
        <v>0</v>
      </c>
      <c r="K141" s="183" t="s">
        <v>1368</v>
      </c>
      <c r="L141" s="183">
        <v>0</v>
      </c>
      <c r="M141" s="183">
        <v>0</v>
      </c>
      <c r="N141" s="183" t="s">
        <v>881</v>
      </c>
      <c r="O141" s="183">
        <v>0</v>
      </c>
      <c r="P141" s="183">
        <v>0</v>
      </c>
      <c r="Q141" s="183"/>
      <c r="R141" s="183"/>
      <c r="S141" s="183"/>
      <c r="T141" s="183"/>
      <c r="U141" s="183"/>
      <c r="V141" s="183">
        <v>0</v>
      </c>
      <c r="W141" s="183">
        <v>0</v>
      </c>
      <c r="X141" s="183">
        <v>0</v>
      </c>
      <c r="Y141" s="184">
        <v>0</v>
      </c>
      <c r="Z141" s="184">
        <v>6.7</v>
      </c>
      <c r="AA141" s="184">
        <v>0</v>
      </c>
      <c r="AB141" s="185" t="s">
        <v>615</v>
      </c>
      <c r="AC141" s="185" t="s">
        <v>615</v>
      </c>
      <c r="AD141" s="186" t="s">
        <v>881</v>
      </c>
      <c r="AE141" s="186" t="s">
        <v>858</v>
      </c>
      <c r="AF141" s="187">
        <v>7</v>
      </c>
      <c r="AG141" s="187">
        <v>3</v>
      </c>
      <c r="AH141" s="187">
        <v>4</v>
      </c>
      <c r="AI141" s="188">
        <v>1</v>
      </c>
      <c r="AJ141" s="188" t="s">
        <v>615</v>
      </c>
      <c r="AK141" s="187" t="s">
        <v>1738</v>
      </c>
      <c r="AL141" s="87" t="s">
        <v>615</v>
      </c>
      <c r="AM141" s="189"/>
      <c r="AN141" s="187" t="s">
        <v>615</v>
      </c>
      <c r="AO141" s="13" t="s">
        <v>615</v>
      </c>
      <c r="AP141" s="187">
        <v>0</v>
      </c>
      <c r="AQ141" s="187">
        <v>0</v>
      </c>
      <c r="AR141" s="190">
        <v>0</v>
      </c>
      <c r="AS141" s="190">
        <v>0</v>
      </c>
      <c r="AT141" s="190">
        <v>0</v>
      </c>
      <c r="AU141" s="187">
        <v>0</v>
      </c>
      <c r="AV141" s="187">
        <v>0</v>
      </c>
      <c r="AW141" s="191"/>
      <c r="AX141" s="192"/>
      <c r="AY141" s="193">
        <v>42666</v>
      </c>
      <c r="AZ141" s="193"/>
      <c r="BA141" s="193"/>
      <c r="BB141" s="194"/>
      <c r="BC141" s="194"/>
      <c r="BD141" s="195"/>
      <c r="BE141" s="195" t="s">
        <v>532</v>
      </c>
      <c r="BF141" s="195"/>
      <c r="BG141" s="195">
        <v>100</v>
      </c>
      <c r="BH141" s="196" t="s">
        <v>547</v>
      </c>
      <c r="BI141" s="197">
        <v>1</v>
      </c>
      <c r="BJ141" s="198"/>
      <c r="BK141" s="199">
        <v>0</v>
      </c>
      <c r="BL141" s="13">
        <v>0</v>
      </c>
      <c r="BM141" s="13">
        <v>0</v>
      </c>
      <c r="BN141" s="13" t="s">
        <v>616</v>
      </c>
      <c r="BO141" s="13" t="s">
        <v>616</v>
      </c>
      <c r="BP141" s="200">
        <v>0</v>
      </c>
      <c r="BQ141" s="201"/>
      <c r="BR141" s="202"/>
      <c r="BS141" s="187">
        <v>1000000000</v>
      </c>
      <c r="BT141" s="203">
        <v>0</v>
      </c>
      <c r="BU141" s="204">
        <v>0</v>
      </c>
      <c r="BV141" s="203">
        <v>0</v>
      </c>
      <c r="BW141" s="205">
        <v>0</v>
      </c>
      <c r="BX141" s="205">
        <v>0</v>
      </c>
      <c r="BY141" s="205">
        <v>0</v>
      </c>
      <c r="BZ141" s="203">
        <v>0</v>
      </c>
      <c r="CA141" s="203">
        <v>0</v>
      </c>
      <c r="CB141" s="203">
        <v>0</v>
      </c>
      <c r="CC141" s="204">
        <v>0</v>
      </c>
      <c r="CD141" s="203">
        <v>0</v>
      </c>
      <c r="CE141" s="203">
        <v>0</v>
      </c>
      <c r="CF141" s="13">
        <v>0</v>
      </c>
      <c r="CG141" s="206">
        <v>0</v>
      </c>
      <c r="CH141" s="207">
        <v>0</v>
      </c>
      <c r="CI141" s="201"/>
      <c r="CJ141" s="208"/>
      <c r="CK141" s="209" t="s">
        <v>615</v>
      </c>
      <c r="CL141" s="210" t="s">
        <v>615</v>
      </c>
      <c r="CM141" s="207">
        <v>0</v>
      </c>
      <c r="CN141" s="207">
        <v>0</v>
      </c>
      <c r="CO141" s="204">
        <v>0</v>
      </c>
      <c r="CP141" s="204">
        <v>0</v>
      </c>
      <c r="CQ141" s="211"/>
      <c r="CR141" s="204">
        <v>1</v>
      </c>
      <c r="CS141" s="212">
        <v>42558</v>
      </c>
      <c r="CT141" s="212">
        <v>42780</v>
      </c>
      <c r="CU141" s="213">
        <v>42780</v>
      </c>
      <c r="CV141" s="214">
        <v>42829</v>
      </c>
      <c r="CW141" s="214" t="s">
        <v>615</v>
      </c>
      <c r="CX141" s="214" t="s">
        <v>615</v>
      </c>
      <c r="CY141" s="204">
        <v>1</v>
      </c>
      <c r="CZ141" s="204">
        <v>0.97959183673469385</v>
      </c>
      <c r="DA141" s="203">
        <v>0</v>
      </c>
      <c r="DB141" s="204">
        <v>0.97959183673469385</v>
      </c>
      <c r="DC141" s="204">
        <v>0</v>
      </c>
      <c r="DD141" s="204">
        <v>0</v>
      </c>
      <c r="DE141" s="204">
        <v>0</v>
      </c>
      <c r="DF141" s="215">
        <v>0</v>
      </c>
      <c r="DG141" s="13" t="s">
        <v>615</v>
      </c>
      <c r="DH141" s="86">
        <v>139</v>
      </c>
      <c r="DI141" s="86"/>
      <c r="DJ141" s="86">
        <v>56</v>
      </c>
      <c r="DK141" s="86" t="s">
        <v>1546</v>
      </c>
      <c r="DL141" s="86" t="e">
        <v>#N/A</v>
      </c>
      <c r="DM141" s="86" t="e">
        <v>#N/A</v>
      </c>
      <c r="DN141" s="86" t="e">
        <v>#N/A</v>
      </c>
      <c r="DO141" s="86">
        <v>57</v>
      </c>
      <c r="DP141" s="86">
        <v>5</v>
      </c>
      <c r="DQ141" s="86">
        <v>49</v>
      </c>
      <c r="DR141" s="146">
        <v>0</v>
      </c>
      <c r="DS141" s="146">
        <v>0</v>
      </c>
      <c r="DT141" s="146">
        <v>0</v>
      </c>
      <c r="DU141" s="146">
        <v>0</v>
      </c>
      <c r="DV141" s="146">
        <v>0</v>
      </c>
      <c r="DW141" s="146">
        <v>0</v>
      </c>
      <c r="DX141" s="146">
        <v>0</v>
      </c>
      <c r="DY141" s="146">
        <v>0</v>
      </c>
      <c r="DZ141" s="146">
        <v>0</v>
      </c>
      <c r="EA141" s="146">
        <v>0</v>
      </c>
      <c r="EB141" s="146">
        <v>0</v>
      </c>
      <c r="EC141" s="146">
        <v>0</v>
      </c>
      <c r="ED141" s="146">
        <v>0</v>
      </c>
      <c r="EE141" s="146">
        <v>0</v>
      </c>
      <c r="EF141" s="146">
        <v>0</v>
      </c>
      <c r="EG141" s="146">
        <v>0</v>
      </c>
      <c r="EH141" s="146">
        <v>0</v>
      </c>
      <c r="EI141" s="146">
        <v>0</v>
      </c>
      <c r="EJ141" s="146">
        <v>0</v>
      </c>
      <c r="EK141" s="146">
        <v>0</v>
      </c>
      <c r="EL141" s="146">
        <v>0</v>
      </c>
      <c r="EM141" s="146">
        <v>0</v>
      </c>
      <c r="EN141" s="146">
        <v>0</v>
      </c>
      <c r="EO141" s="146">
        <v>0</v>
      </c>
      <c r="EP141" s="146">
        <v>0</v>
      </c>
      <c r="EQ141" s="146">
        <v>0</v>
      </c>
      <c r="ER141" s="146">
        <v>0</v>
      </c>
      <c r="ES141" s="146">
        <v>0</v>
      </c>
      <c r="ET141" s="146">
        <v>0</v>
      </c>
      <c r="EU141" s="146">
        <v>0</v>
      </c>
      <c r="EV141" s="146">
        <v>0</v>
      </c>
      <c r="EW141" s="146">
        <v>0</v>
      </c>
      <c r="EX141" s="146">
        <v>0</v>
      </c>
      <c r="EY141" s="146">
        <v>0</v>
      </c>
      <c r="EZ141" s="146">
        <v>0</v>
      </c>
      <c r="FA141" s="146">
        <v>0</v>
      </c>
      <c r="FB141" s="146">
        <v>0</v>
      </c>
      <c r="FC141" s="146">
        <v>0</v>
      </c>
      <c r="FD141" s="146">
        <v>0</v>
      </c>
      <c r="FE141" s="146">
        <v>0</v>
      </c>
      <c r="FF141" s="146">
        <v>0</v>
      </c>
      <c r="FG141" s="146">
        <v>0</v>
      </c>
      <c r="FH141" s="146">
        <v>0</v>
      </c>
      <c r="FI141" s="146">
        <v>0</v>
      </c>
      <c r="FJ141" s="146">
        <v>0</v>
      </c>
      <c r="FK141" s="146">
        <v>0</v>
      </c>
      <c r="FL141" s="146">
        <v>0</v>
      </c>
      <c r="FM141" s="146">
        <v>0</v>
      </c>
      <c r="FN141" s="146">
        <v>0</v>
      </c>
      <c r="FO141" s="146">
        <v>0</v>
      </c>
      <c r="FP141" s="146">
        <v>0</v>
      </c>
      <c r="FQ141" s="146">
        <v>0</v>
      </c>
      <c r="FR141" s="146">
        <v>0</v>
      </c>
      <c r="FS141" s="146">
        <v>0</v>
      </c>
      <c r="FT141" s="146">
        <v>0</v>
      </c>
      <c r="FU141" s="146">
        <v>0</v>
      </c>
      <c r="FV141" s="146">
        <v>0</v>
      </c>
      <c r="FW141" s="146">
        <v>0</v>
      </c>
      <c r="FX141" s="146">
        <v>0</v>
      </c>
      <c r="FY141" s="146">
        <v>0</v>
      </c>
      <c r="FZ141" s="146">
        <v>0</v>
      </c>
      <c r="GA141" s="146">
        <v>0</v>
      </c>
      <c r="GB141" s="146">
        <v>0</v>
      </c>
      <c r="GC141" s="146">
        <v>0</v>
      </c>
      <c r="GD141" s="146">
        <v>0</v>
      </c>
      <c r="GE141" s="146">
        <v>0</v>
      </c>
      <c r="GF141" s="146">
        <v>0</v>
      </c>
      <c r="GG141" s="146">
        <v>0</v>
      </c>
      <c r="GH141" s="146">
        <v>0</v>
      </c>
      <c r="GI141" s="146">
        <v>0</v>
      </c>
      <c r="GJ141" s="146">
        <v>0</v>
      </c>
      <c r="GK141" s="146">
        <v>0</v>
      </c>
      <c r="GL141" s="146">
        <v>0</v>
      </c>
      <c r="GM141" s="146">
        <v>0</v>
      </c>
      <c r="GN141" s="146">
        <v>0</v>
      </c>
      <c r="GO141" s="146">
        <v>0</v>
      </c>
      <c r="GP141" s="146">
        <v>0</v>
      </c>
      <c r="GQ141" s="146">
        <v>0</v>
      </c>
      <c r="GR141" s="146">
        <v>0</v>
      </c>
      <c r="GS141" s="146">
        <v>0</v>
      </c>
      <c r="GT141" s="146">
        <v>0</v>
      </c>
      <c r="GU141" s="146">
        <v>0</v>
      </c>
      <c r="GV141" s="146">
        <v>0</v>
      </c>
      <c r="GW141" s="146">
        <v>0</v>
      </c>
      <c r="GX141" s="146">
        <v>0</v>
      </c>
      <c r="GY141" s="146">
        <v>0</v>
      </c>
      <c r="GZ141" s="146">
        <v>0</v>
      </c>
      <c r="HA141" s="146">
        <v>0</v>
      </c>
      <c r="HB141" s="146">
        <v>0</v>
      </c>
      <c r="HC141" s="146">
        <v>0</v>
      </c>
      <c r="HD141" s="146">
        <v>0</v>
      </c>
      <c r="HE141" s="146">
        <v>0</v>
      </c>
      <c r="HF141" s="146">
        <v>0</v>
      </c>
      <c r="HG141" s="146">
        <v>0</v>
      </c>
      <c r="HH141" s="146">
        <v>0</v>
      </c>
      <c r="HI141" s="146">
        <v>0</v>
      </c>
      <c r="HJ141" s="146">
        <v>0</v>
      </c>
      <c r="HK141" s="146">
        <v>0</v>
      </c>
      <c r="HL141" s="146">
        <v>0</v>
      </c>
      <c r="HM141" s="146">
        <v>0</v>
      </c>
      <c r="HN141" s="146">
        <v>0</v>
      </c>
      <c r="HO141" s="146">
        <v>0</v>
      </c>
      <c r="HP141" s="146">
        <v>0</v>
      </c>
      <c r="HQ141" s="146">
        <v>0</v>
      </c>
      <c r="HR141" s="146">
        <v>0</v>
      </c>
      <c r="HS141" s="146">
        <v>0</v>
      </c>
      <c r="HT141" s="146">
        <v>0</v>
      </c>
      <c r="HU141" s="151"/>
      <c r="HV141" s="146">
        <v>0</v>
      </c>
      <c r="HW141" s="151"/>
      <c r="HX141" s="151"/>
      <c r="HY141" s="151"/>
      <c r="HZ141" s="151"/>
      <c r="IA141" s="151"/>
      <c r="IB141" s="151"/>
      <c r="IC141" s="151"/>
      <c r="ID141" s="151"/>
      <c r="IE141" s="151"/>
      <c r="IF141" s="151"/>
      <c r="IG141" s="151"/>
      <c r="IH141" s="151"/>
      <c r="II141" s="151"/>
      <c r="IJ141" s="151"/>
      <c r="IK141" s="151"/>
      <c r="IL141" s="151"/>
      <c r="IM141" s="151"/>
      <c r="IN141" s="151"/>
      <c r="IO141" s="151"/>
      <c r="IP141" s="151"/>
      <c r="IQ141" s="151"/>
      <c r="IR141" s="151"/>
      <c r="IS141" s="151"/>
      <c r="IT141" s="151"/>
      <c r="IU141" s="151"/>
      <c r="IV141" s="151"/>
      <c r="IW141" s="151"/>
      <c r="IX141" s="151"/>
      <c r="IY141" s="151"/>
      <c r="IZ141" s="151"/>
      <c r="JA141" s="151"/>
      <c r="JB141" s="151"/>
      <c r="JC141" s="151"/>
      <c r="JD141" s="151"/>
      <c r="JE141" s="151"/>
      <c r="JF141" s="151"/>
      <c r="JG141" s="151"/>
      <c r="JH141" s="151"/>
      <c r="JI141" s="151"/>
      <c r="JJ141" s="151"/>
      <c r="JK141" s="151"/>
      <c r="JL141" s="151"/>
      <c r="JM141" s="151"/>
      <c r="JN141" s="151"/>
      <c r="JO141" s="151"/>
      <c r="JP141" s="151"/>
      <c r="JQ141" s="151"/>
      <c r="JR141" s="151"/>
      <c r="JS141" s="151"/>
      <c r="JT141" s="151"/>
      <c r="JU141" s="151"/>
      <c r="JV141" s="151"/>
      <c r="JW141" s="151"/>
      <c r="JX141" s="151"/>
      <c r="JY141" s="151"/>
      <c r="JZ141" s="151"/>
      <c r="KA141" s="151"/>
      <c r="KB141" s="151"/>
      <c r="KC141" s="151"/>
      <c r="KD141" s="151"/>
      <c r="KE141" s="151"/>
      <c r="KF141" s="151"/>
      <c r="KG141" s="151"/>
      <c r="KH141" s="151"/>
      <c r="KI141" s="151"/>
      <c r="KJ141" s="151"/>
      <c r="KK141" s="151"/>
      <c r="KL141" s="151"/>
      <c r="KM141" s="151"/>
      <c r="KN141" s="151"/>
      <c r="KO141" s="151"/>
      <c r="KP141" s="151"/>
      <c r="KQ141" s="151"/>
      <c r="KR141" s="151"/>
      <c r="KS141" s="151"/>
      <c r="KT141" s="151"/>
      <c r="KU141" s="151"/>
      <c r="KV141" s="151"/>
      <c r="KW141" s="151"/>
      <c r="KX141" s="151"/>
      <c r="KY141" s="151"/>
      <c r="KZ141" s="151"/>
      <c r="LA141" s="151"/>
      <c r="LB141" s="151"/>
      <c r="LC141" s="151"/>
      <c r="LD141" s="151"/>
      <c r="LE141" s="151"/>
    </row>
    <row r="142" spans="1:317" x14ac:dyDescent="0.2">
      <c r="A142" s="179" t="s">
        <v>849</v>
      </c>
      <c r="B142" s="180" t="s">
        <v>1041</v>
      </c>
      <c r="C142" s="181"/>
      <c r="D142" s="182">
        <v>0</v>
      </c>
      <c r="E142" s="182">
        <v>0</v>
      </c>
      <c r="F142" s="183" t="s">
        <v>1311</v>
      </c>
      <c r="G142" s="183">
        <v>0</v>
      </c>
      <c r="H142" s="183">
        <v>0</v>
      </c>
      <c r="I142" s="183">
        <v>0</v>
      </c>
      <c r="J142" s="183">
        <v>0</v>
      </c>
      <c r="K142" s="183" t="s">
        <v>1368</v>
      </c>
      <c r="L142" s="183">
        <v>0</v>
      </c>
      <c r="M142" s="183">
        <v>0</v>
      </c>
      <c r="N142" s="183" t="s">
        <v>881</v>
      </c>
      <c r="O142" s="183">
        <v>0</v>
      </c>
      <c r="P142" s="183">
        <v>0</v>
      </c>
      <c r="Q142" s="183"/>
      <c r="R142" s="183"/>
      <c r="S142" s="183"/>
      <c r="T142" s="183"/>
      <c r="U142" s="183"/>
      <c r="V142" s="183">
        <v>0</v>
      </c>
      <c r="W142" s="183">
        <v>0</v>
      </c>
      <c r="X142" s="183">
        <v>0</v>
      </c>
      <c r="Y142" s="184">
        <v>0</v>
      </c>
      <c r="Z142" s="184">
        <v>0.34</v>
      </c>
      <c r="AA142" s="184">
        <v>0</v>
      </c>
      <c r="AB142" s="185" t="s">
        <v>615</v>
      </c>
      <c r="AC142" s="185" t="s">
        <v>615</v>
      </c>
      <c r="AD142" s="186" t="s">
        <v>881</v>
      </c>
      <c r="AE142" s="186" t="s">
        <v>858</v>
      </c>
      <c r="AF142" s="187">
        <v>7</v>
      </c>
      <c r="AG142" s="187">
        <v>3</v>
      </c>
      <c r="AH142" s="187">
        <v>4</v>
      </c>
      <c r="AI142" s="188">
        <v>1</v>
      </c>
      <c r="AJ142" s="188" t="s">
        <v>615</v>
      </c>
      <c r="AK142" s="187" t="s">
        <v>1738</v>
      </c>
      <c r="AL142" s="87" t="s">
        <v>615</v>
      </c>
      <c r="AM142" s="189"/>
      <c r="AN142" s="187" t="s">
        <v>615</v>
      </c>
      <c r="AO142" s="13" t="s">
        <v>615</v>
      </c>
      <c r="AP142" s="187">
        <v>0</v>
      </c>
      <c r="AQ142" s="187">
        <v>0</v>
      </c>
      <c r="AR142" s="190">
        <v>0</v>
      </c>
      <c r="AS142" s="190">
        <v>0</v>
      </c>
      <c r="AT142" s="190">
        <v>0</v>
      </c>
      <c r="AU142" s="187">
        <v>0</v>
      </c>
      <c r="AV142" s="187">
        <v>0</v>
      </c>
      <c r="AW142" s="191"/>
      <c r="AX142" s="192"/>
      <c r="AY142" s="193">
        <v>42666</v>
      </c>
      <c r="AZ142" s="193"/>
      <c r="BA142" s="193"/>
      <c r="BB142" s="194"/>
      <c r="BC142" s="194"/>
      <c r="BD142" s="195"/>
      <c r="BE142" s="195" t="s">
        <v>532</v>
      </c>
      <c r="BF142" s="195"/>
      <c r="BG142" s="195">
        <v>480</v>
      </c>
      <c r="BH142" s="196" t="s">
        <v>547</v>
      </c>
      <c r="BI142" s="197">
        <v>1</v>
      </c>
      <c r="BJ142" s="198"/>
      <c r="BK142" s="199">
        <v>0</v>
      </c>
      <c r="BL142" s="13">
        <v>0</v>
      </c>
      <c r="BM142" s="13">
        <v>0</v>
      </c>
      <c r="BN142" s="13" t="s">
        <v>616</v>
      </c>
      <c r="BO142" s="13" t="s">
        <v>616</v>
      </c>
      <c r="BP142" s="200">
        <v>0</v>
      </c>
      <c r="BQ142" s="201"/>
      <c r="BR142" s="202"/>
      <c r="BS142" s="187">
        <v>1000000000</v>
      </c>
      <c r="BT142" s="203">
        <v>0</v>
      </c>
      <c r="BU142" s="204">
        <v>0</v>
      </c>
      <c r="BV142" s="203">
        <v>0</v>
      </c>
      <c r="BW142" s="205">
        <v>0</v>
      </c>
      <c r="BX142" s="205">
        <v>0</v>
      </c>
      <c r="BY142" s="205">
        <v>0</v>
      </c>
      <c r="BZ142" s="203">
        <v>0</v>
      </c>
      <c r="CA142" s="203">
        <v>0</v>
      </c>
      <c r="CB142" s="203">
        <v>0</v>
      </c>
      <c r="CC142" s="204">
        <v>0</v>
      </c>
      <c r="CD142" s="203">
        <v>0</v>
      </c>
      <c r="CE142" s="203">
        <v>0</v>
      </c>
      <c r="CF142" s="13">
        <v>0</v>
      </c>
      <c r="CG142" s="206">
        <v>0</v>
      </c>
      <c r="CH142" s="207">
        <v>0</v>
      </c>
      <c r="CI142" s="201"/>
      <c r="CJ142" s="208"/>
      <c r="CK142" s="209" t="s">
        <v>615</v>
      </c>
      <c r="CL142" s="210" t="s">
        <v>615</v>
      </c>
      <c r="CM142" s="207">
        <v>0</v>
      </c>
      <c r="CN142" s="207">
        <v>0</v>
      </c>
      <c r="CO142" s="204">
        <v>0</v>
      </c>
      <c r="CP142" s="204">
        <v>0</v>
      </c>
      <c r="CQ142" s="211"/>
      <c r="CR142" s="204">
        <v>1</v>
      </c>
      <c r="CS142" s="212">
        <v>42558</v>
      </c>
      <c r="CT142" s="212">
        <v>42780</v>
      </c>
      <c r="CU142" s="213">
        <v>42780</v>
      </c>
      <c r="CV142" s="214">
        <v>42829</v>
      </c>
      <c r="CW142" s="214" t="s">
        <v>615</v>
      </c>
      <c r="CX142" s="214" t="s">
        <v>615</v>
      </c>
      <c r="CY142" s="204">
        <v>1</v>
      </c>
      <c r="CZ142" s="204">
        <v>0.97959183673469385</v>
      </c>
      <c r="DA142" s="203">
        <v>0</v>
      </c>
      <c r="DB142" s="204">
        <v>0.97959183673469385</v>
      </c>
      <c r="DC142" s="204">
        <v>0</v>
      </c>
      <c r="DD142" s="204">
        <v>0</v>
      </c>
      <c r="DE142" s="204">
        <v>0</v>
      </c>
      <c r="DF142" s="215">
        <v>0</v>
      </c>
      <c r="DG142" s="13" t="s">
        <v>615</v>
      </c>
      <c r="DH142" s="86">
        <v>140</v>
      </c>
      <c r="DI142" s="86"/>
      <c r="DJ142" s="86">
        <v>65</v>
      </c>
      <c r="DK142" s="86" t="s">
        <v>1551</v>
      </c>
      <c r="DL142" s="86" t="e">
        <v>#N/A</v>
      </c>
      <c r="DM142" s="86" t="e">
        <v>#N/A</v>
      </c>
      <c r="DN142" s="86" t="e">
        <v>#N/A</v>
      </c>
      <c r="DO142" s="86">
        <v>67</v>
      </c>
      <c r="DP142" s="86">
        <v>5</v>
      </c>
      <c r="DQ142" s="86">
        <v>49</v>
      </c>
      <c r="DR142" s="152">
        <v>0</v>
      </c>
      <c r="DS142" s="152">
        <v>0</v>
      </c>
      <c r="DT142" s="152">
        <v>0</v>
      </c>
      <c r="DU142" s="152">
        <v>0</v>
      </c>
      <c r="DV142" s="152">
        <v>0</v>
      </c>
      <c r="DW142" s="152">
        <v>0</v>
      </c>
      <c r="DX142" s="152">
        <v>0</v>
      </c>
      <c r="DY142" s="152">
        <v>0</v>
      </c>
      <c r="DZ142" s="152">
        <v>0</v>
      </c>
      <c r="EA142" s="152">
        <v>0</v>
      </c>
      <c r="EB142" s="152">
        <v>0</v>
      </c>
      <c r="EC142" s="152">
        <v>0</v>
      </c>
      <c r="ED142" s="152">
        <v>0</v>
      </c>
      <c r="EE142" s="152">
        <v>0</v>
      </c>
      <c r="EF142" s="152">
        <v>0</v>
      </c>
      <c r="EG142" s="152">
        <v>0</v>
      </c>
      <c r="EH142" s="152">
        <v>0</v>
      </c>
      <c r="EI142" s="152">
        <v>0</v>
      </c>
      <c r="EJ142" s="152">
        <v>0</v>
      </c>
      <c r="EK142" s="152">
        <v>0</v>
      </c>
      <c r="EL142" s="152">
        <v>0</v>
      </c>
      <c r="EM142" s="152">
        <v>0</v>
      </c>
      <c r="EN142" s="152">
        <v>0</v>
      </c>
      <c r="EO142" s="152">
        <v>0</v>
      </c>
      <c r="EP142" s="152">
        <v>0</v>
      </c>
      <c r="EQ142" s="152">
        <v>0</v>
      </c>
      <c r="ER142" s="152">
        <v>0</v>
      </c>
      <c r="ES142" s="152">
        <v>0</v>
      </c>
      <c r="ET142" s="152">
        <v>0</v>
      </c>
      <c r="EU142" s="152">
        <v>0</v>
      </c>
      <c r="EV142" s="152">
        <v>0</v>
      </c>
      <c r="EW142" s="152">
        <v>0</v>
      </c>
      <c r="EX142" s="152">
        <v>0</v>
      </c>
      <c r="EY142" s="152">
        <v>0</v>
      </c>
      <c r="EZ142" s="152">
        <v>0</v>
      </c>
      <c r="FA142" s="152">
        <v>0</v>
      </c>
      <c r="FB142" s="152">
        <v>0</v>
      </c>
      <c r="FC142" s="152">
        <v>0</v>
      </c>
      <c r="FD142" s="152">
        <v>0</v>
      </c>
      <c r="FE142" s="152">
        <v>0</v>
      </c>
      <c r="FF142" s="152">
        <v>0</v>
      </c>
      <c r="FG142" s="152">
        <v>0</v>
      </c>
      <c r="FH142" s="152">
        <v>0</v>
      </c>
      <c r="FI142" s="152">
        <v>0</v>
      </c>
      <c r="FJ142" s="152">
        <v>0</v>
      </c>
      <c r="FK142" s="152">
        <v>0</v>
      </c>
      <c r="FL142" s="152">
        <v>0</v>
      </c>
      <c r="FM142" s="152">
        <v>0</v>
      </c>
      <c r="FN142" s="152">
        <v>0</v>
      </c>
      <c r="FO142" s="152">
        <v>0</v>
      </c>
      <c r="FP142" s="152">
        <v>0</v>
      </c>
      <c r="FQ142" s="152">
        <v>0</v>
      </c>
      <c r="FR142" s="152">
        <v>0</v>
      </c>
      <c r="FS142" s="152">
        <v>0</v>
      </c>
      <c r="FT142" s="152">
        <v>0</v>
      </c>
      <c r="FU142" s="152">
        <v>0</v>
      </c>
      <c r="FV142" s="152">
        <v>0</v>
      </c>
      <c r="FW142" s="152">
        <v>0</v>
      </c>
      <c r="FX142" s="152">
        <v>0</v>
      </c>
      <c r="FY142" s="152">
        <v>0</v>
      </c>
      <c r="FZ142" s="152">
        <v>0</v>
      </c>
      <c r="GA142" s="152">
        <v>0</v>
      </c>
      <c r="GB142" s="152">
        <v>0</v>
      </c>
      <c r="GC142" s="152">
        <v>0</v>
      </c>
      <c r="GD142" s="152">
        <v>0</v>
      </c>
      <c r="GE142" s="152">
        <v>0</v>
      </c>
      <c r="GF142" s="152">
        <v>0</v>
      </c>
      <c r="GG142" s="152">
        <v>0</v>
      </c>
      <c r="GH142" s="152">
        <v>0</v>
      </c>
      <c r="GI142" s="152">
        <v>0</v>
      </c>
      <c r="GJ142" s="152">
        <v>0</v>
      </c>
      <c r="GK142" s="152">
        <v>0</v>
      </c>
      <c r="GL142" s="152">
        <v>0</v>
      </c>
      <c r="GM142" s="152">
        <v>0</v>
      </c>
      <c r="GN142" s="152">
        <v>0</v>
      </c>
      <c r="GO142" s="152">
        <v>0</v>
      </c>
      <c r="GP142" s="152">
        <v>0</v>
      </c>
      <c r="GQ142" s="152">
        <v>0</v>
      </c>
      <c r="GR142" s="152">
        <v>0</v>
      </c>
      <c r="GS142" s="152">
        <v>0</v>
      </c>
      <c r="GT142" s="152">
        <v>0</v>
      </c>
      <c r="GU142" s="152">
        <v>0</v>
      </c>
      <c r="GV142" s="152">
        <v>0</v>
      </c>
      <c r="GW142" s="152">
        <v>0</v>
      </c>
      <c r="GX142" s="152">
        <v>0</v>
      </c>
      <c r="GY142" s="152">
        <v>0</v>
      </c>
      <c r="GZ142" s="152">
        <v>0</v>
      </c>
      <c r="HA142" s="152">
        <v>0</v>
      </c>
      <c r="HB142" s="152">
        <v>0</v>
      </c>
      <c r="HC142" s="152">
        <v>0</v>
      </c>
      <c r="HD142" s="152">
        <v>0</v>
      </c>
      <c r="HE142" s="152">
        <v>0</v>
      </c>
      <c r="HF142" s="152">
        <v>0</v>
      </c>
      <c r="HG142" s="152">
        <v>0</v>
      </c>
      <c r="HH142" s="152">
        <v>0</v>
      </c>
      <c r="HI142" s="152">
        <v>0</v>
      </c>
      <c r="HJ142" s="152">
        <v>0</v>
      </c>
      <c r="HK142" s="152">
        <v>0</v>
      </c>
      <c r="HL142" s="152">
        <v>0</v>
      </c>
      <c r="HM142" s="152">
        <v>0</v>
      </c>
      <c r="HN142" s="152">
        <v>0</v>
      </c>
      <c r="HO142" s="152">
        <v>0</v>
      </c>
      <c r="HP142" s="152">
        <v>0</v>
      </c>
      <c r="HQ142" s="152">
        <v>0</v>
      </c>
      <c r="HR142" s="152">
        <v>0</v>
      </c>
      <c r="HS142" s="152">
        <v>0</v>
      </c>
      <c r="HT142" s="152">
        <v>0</v>
      </c>
      <c r="HU142" s="216"/>
      <c r="HV142" s="152">
        <v>0</v>
      </c>
      <c r="HW142" s="216"/>
      <c r="HX142" s="216"/>
      <c r="HY142" s="216"/>
      <c r="HZ142" s="216"/>
      <c r="IA142" s="216"/>
      <c r="IB142" s="216"/>
      <c r="IC142" s="216"/>
      <c r="ID142" s="216"/>
      <c r="IE142" s="216"/>
      <c r="IF142" s="216"/>
      <c r="IG142" s="216"/>
      <c r="IH142" s="216"/>
      <c r="II142" s="216"/>
      <c r="IJ142" s="216"/>
      <c r="IK142" s="216"/>
      <c r="IL142" s="216"/>
      <c r="IM142" s="216"/>
      <c r="IN142" s="216"/>
      <c r="IO142" s="216"/>
      <c r="IP142" s="216"/>
      <c r="IQ142" s="216"/>
      <c r="IR142" s="216"/>
      <c r="IS142" s="216"/>
      <c r="IT142" s="216"/>
      <c r="IU142" s="216"/>
      <c r="IV142" s="216"/>
      <c r="IW142" s="216"/>
      <c r="IX142" s="216"/>
      <c r="IY142" s="216"/>
      <c r="IZ142" s="216"/>
      <c r="JA142" s="216"/>
      <c r="JB142" s="216"/>
      <c r="JC142" s="216"/>
      <c r="JD142" s="216"/>
      <c r="JE142" s="216"/>
      <c r="JF142" s="216"/>
      <c r="JG142" s="216"/>
      <c r="JH142" s="216"/>
      <c r="JI142" s="216"/>
      <c r="JJ142" s="216"/>
      <c r="JK142" s="216"/>
      <c r="JL142" s="216"/>
      <c r="JM142" s="216"/>
      <c r="JN142" s="216"/>
      <c r="JO142" s="216"/>
      <c r="JP142" s="216"/>
      <c r="JQ142" s="216"/>
      <c r="JR142" s="216"/>
      <c r="JS142" s="216"/>
      <c r="JT142" s="216"/>
      <c r="JU142" s="216"/>
      <c r="JV142" s="216"/>
      <c r="JW142" s="216"/>
      <c r="JX142" s="216"/>
      <c r="JY142" s="216"/>
      <c r="JZ142" s="216"/>
      <c r="KA142" s="216"/>
      <c r="KB142" s="216"/>
      <c r="KC142" s="216"/>
      <c r="KD142" s="216"/>
      <c r="KE142" s="216"/>
      <c r="KF142" s="216"/>
      <c r="KG142" s="216"/>
      <c r="KH142" s="216"/>
      <c r="KI142" s="216"/>
      <c r="KJ142" s="216"/>
      <c r="KK142" s="216"/>
      <c r="KL142" s="216"/>
      <c r="KM142" s="216"/>
      <c r="KN142" s="216"/>
      <c r="KO142" s="216"/>
      <c r="KP142" s="216"/>
      <c r="KQ142" s="216"/>
      <c r="KR142" s="216"/>
      <c r="KS142" s="216"/>
      <c r="KT142" s="216"/>
      <c r="KU142" s="216"/>
      <c r="KV142" s="216"/>
      <c r="KW142" s="216"/>
      <c r="KX142" s="216"/>
      <c r="KY142" s="216"/>
      <c r="KZ142" s="216"/>
      <c r="LA142" s="216"/>
      <c r="LB142" s="216"/>
      <c r="LC142" s="216"/>
      <c r="LD142" s="216"/>
      <c r="LE142" s="216"/>
    </row>
    <row r="143" spans="1:317" x14ac:dyDescent="0.2">
      <c r="A143" s="179" t="s">
        <v>849</v>
      </c>
      <c r="B143" s="180" t="s">
        <v>1042</v>
      </c>
      <c r="C143" s="181"/>
      <c r="D143" s="182">
        <v>0</v>
      </c>
      <c r="E143" s="182">
        <v>0</v>
      </c>
      <c r="F143" s="183" t="s">
        <v>1311</v>
      </c>
      <c r="G143" s="183">
        <v>0</v>
      </c>
      <c r="H143" s="183">
        <v>0</v>
      </c>
      <c r="I143" s="183">
        <v>0</v>
      </c>
      <c r="J143" s="183">
        <v>0</v>
      </c>
      <c r="K143" s="183" t="s">
        <v>1368</v>
      </c>
      <c r="L143" s="183">
        <v>0</v>
      </c>
      <c r="M143" s="183">
        <v>0</v>
      </c>
      <c r="N143" s="183" t="s">
        <v>881</v>
      </c>
      <c r="O143" s="183">
        <v>0</v>
      </c>
      <c r="P143" s="183">
        <v>0</v>
      </c>
      <c r="Q143" s="183"/>
      <c r="R143" s="183"/>
      <c r="S143" s="183"/>
      <c r="T143" s="183"/>
      <c r="U143" s="183"/>
      <c r="V143" s="183">
        <v>0</v>
      </c>
      <c r="W143" s="183">
        <v>0</v>
      </c>
      <c r="X143" s="183">
        <v>0</v>
      </c>
      <c r="Y143" s="184">
        <v>0</v>
      </c>
      <c r="Z143" s="184">
        <v>0.68</v>
      </c>
      <c r="AA143" s="184">
        <v>0</v>
      </c>
      <c r="AB143" s="185" t="s">
        <v>615</v>
      </c>
      <c r="AC143" s="185" t="s">
        <v>615</v>
      </c>
      <c r="AD143" s="186" t="s">
        <v>881</v>
      </c>
      <c r="AE143" s="186" t="s">
        <v>858</v>
      </c>
      <c r="AF143" s="187">
        <v>7</v>
      </c>
      <c r="AG143" s="187">
        <v>3</v>
      </c>
      <c r="AH143" s="187">
        <v>4</v>
      </c>
      <c r="AI143" s="188">
        <v>1</v>
      </c>
      <c r="AJ143" s="188" t="s">
        <v>615</v>
      </c>
      <c r="AK143" s="187" t="s">
        <v>1738</v>
      </c>
      <c r="AL143" s="87" t="s">
        <v>615</v>
      </c>
      <c r="AM143" s="189"/>
      <c r="AN143" s="187" t="s">
        <v>615</v>
      </c>
      <c r="AO143" s="13" t="s">
        <v>615</v>
      </c>
      <c r="AP143" s="187">
        <v>0</v>
      </c>
      <c r="AQ143" s="187">
        <v>0</v>
      </c>
      <c r="AR143" s="190">
        <v>0</v>
      </c>
      <c r="AS143" s="190">
        <v>0</v>
      </c>
      <c r="AT143" s="190">
        <v>0</v>
      </c>
      <c r="AU143" s="187">
        <v>0</v>
      </c>
      <c r="AV143" s="187">
        <v>0</v>
      </c>
      <c r="AW143" s="191"/>
      <c r="AX143" s="192"/>
      <c r="AY143" s="193">
        <v>42666</v>
      </c>
      <c r="AZ143" s="193"/>
      <c r="BA143" s="193"/>
      <c r="BB143" s="194"/>
      <c r="BC143" s="194"/>
      <c r="BD143" s="195"/>
      <c r="BE143" s="195" t="s">
        <v>532</v>
      </c>
      <c r="BF143" s="195"/>
      <c r="BG143" s="195">
        <v>480</v>
      </c>
      <c r="BH143" s="196" t="s">
        <v>547</v>
      </c>
      <c r="BI143" s="197">
        <v>1</v>
      </c>
      <c r="BJ143" s="198"/>
      <c r="BK143" s="199">
        <v>0</v>
      </c>
      <c r="BL143" s="13">
        <v>0</v>
      </c>
      <c r="BM143" s="13">
        <v>0</v>
      </c>
      <c r="BN143" s="13" t="s">
        <v>616</v>
      </c>
      <c r="BO143" s="13" t="s">
        <v>616</v>
      </c>
      <c r="BP143" s="200">
        <v>0</v>
      </c>
      <c r="BQ143" s="201"/>
      <c r="BR143" s="202"/>
      <c r="BS143" s="187">
        <v>1000000000</v>
      </c>
      <c r="BT143" s="203">
        <v>0</v>
      </c>
      <c r="BU143" s="204">
        <v>0</v>
      </c>
      <c r="BV143" s="203">
        <v>0</v>
      </c>
      <c r="BW143" s="205">
        <v>0</v>
      </c>
      <c r="BX143" s="205">
        <v>0</v>
      </c>
      <c r="BY143" s="205">
        <v>0</v>
      </c>
      <c r="BZ143" s="203">
        <v>0</v>
      </c>
      <c r="CA143" s="203">
        <v>0</v>
      </c>
      <c r="CB143" s="203">
        <v>0</v>
      </c>
      <c r="CC143" s="204">
        <v>0</v>
      </c>
      <c r="CD143" s="203">
        <v>0</v>
      </c>
      <c r="CE143" s="203">
        <v>0</v>
      </c>
      <c r="CF143" s="13">
        <v>0</v>
      </c>
      <c r="CG143" s="206">
        <v>0</v>
      </c>
      <c r="CH143" s="207">
        <v>0</v>
      </c>
      <c r="CI143" s="201"/>
      <c r="CJ143" s="208"/>
      <c r="CK143" s="209" t="s">
        <v>615</v>
      </c>
      <c r="CL143" s="210" t="s">
        <v>615</v>
      </c>
      <c r="CM143" s="207">
        <v>0</v>
      </c>
      <c r="CN143" s="207">
        <v>0</v>
      </c>
      <c r="CO143" s="204">
        <v>0</v>
      </c>
      <c r="CP143" s="204">
        <v>0</v>
      </c>
      <c r="CQ143" s="211"/>
      <c r="CR143" s="204">
        <v>1</v>
      </c>
      <c r="CS143" s="212">
        <v>42558</v>
      </c>
      <c r="CT143" s="212">
        <v>42780</v>
      </c>
      <c r="CU143" s="213">
        <v>42780</v>
      </c>
      <c r="CV143" s="214">
        <v>42829</v>
      </c>
      <c r="CW143" s="214" t="s">
        <v>615</v>
      </c>
      <c r="CX143" s="214" t="s">
        <v>615</v>
      </c>
      <c r="CY143" s="204">
        <v>1</v>
      </c>
      <c r="CZ143" s="204">
        <v>0.97959183673469385</v>
      </c>
      <c r="DA143" s="203">
        <v>0</v>
      </c>
      <c r="DB143" s="204">
        <v>0.97959183673469385</v>
      </c>
      <c r="DC143" s="204">
        <v>0</v>
      </c>
      <c r="DD143" s="204">
        <v>0</v>
      </c>
      <c r="DE143" s="204">
        <v>0</v>
      </c>
      <c r="DF143" s="215">
        <v>0</v>
      </c>
      <c r="DG143" s="13" t="s">
        <v>615</v>
      </c>
      <c r="DH143" s="86">
        <v>141</v>
      </c>
      <c r="DI143" s="86"/>
      <c r="DJ143" s="86">
        <v>66</v>
      </c>
      <c r="DK143" s="86" t="s">
        <v>1552</v>
      </c>
      <c r="DL143" s="86" t="e">
        <v>#N/A</v>
      </c>
      <c r="DM143" s="86" t="e">
        <v>#N/A</v>
      </c>
      <c r="DN143" s="86" t="e">
        <v>#N/A</v>
      </c>
      <c r="DO143" s="86">
        <v>68</v>
      </c>
      <c r="DP143" s="86">
        <v>5</v>
      </c>
      <c r="DQ143" s="86">
        <v>49</v>
      </c>
      <c r="DR143" s="146">
        <v>0</v>
      </c>
      <c r="DS143" s="146">
        <v>0</v>
      </c>
      <c r="DT143" s="146">
        <v>0</v>
      </c>
      <c r="DU143" s="146">
        <v>0</v>
      </c>
      <c r="DV143" s="146">
        <v>0</v>
      </c>
      <c r="DW143" s="146">
        <v>0</v>
      </c>
      <c r="DX143" s="146">
        <v>0</v>
      </c>
      <c r="DY143" s="146">
        <v>0</v>
      </c>
      <c r="DZ143" s="146">
        <v>0</v>
      </c>
      <c r="EA143" s="146">
        <v>0</v>
      </c>
      <c r="EB143" s="146">
        <v>0</v>
      </c>
      <c r="EC143" s="146">
        <v>0</v>
      </c>
      <c r="ED143" s="146">
        <v>0</v>
      </c>
      <c r="EE143" s="146">
        <v>0</v>
      </c>
      <c r="EF143" s="146">
        <v>0</v>
      </c>
      <c r="EG143" s="146">
        <v>0</v>
      </c>
      <c r="EH143" s="146">
        <v>0</v>
      </c>
      <c r="EI143" s="146">
        <v>0</v>
      </c>
      <c r="EJ143" s="146">
        <v>0</v>
      </c>
      <c r="EK143" s="146">
        <v>0</v>
      </c>
      <c r="EL143" s="146">
        <v>0</v>
      </c>
      <c r="EM143" s="146">
        <v>0</v>
      </c>
      <c r="EN143" s="146">
        <v>0</v>
      </c>
      <c r="EO143" s="146">
        <v>0</v>
      </c>
      <c r="EP143" s="146">
        <v>0</v>
      </c>
      <c r="EQ143" s="146">
        <v>0</v>
      </c>
      <c r="ER143" s="146">
        <v>0</v>
      </c>
      <c r="ES143" s="146">
        <v>0</v>
      </c>
      <c r="ET143" s="146">
        <v>0</v>
      </c>
      <c r="EU143" s="146">
        <v>0</v>
      </c>
      <c r="EV143" s="146">
        <v>0</v>
      </c>
      <c r="EW143" s="146">
        <v>0</v>
      </c>
      <c r="EX143" s="146">
        <v>0</v>
      </c>
      <c r="EY143" s="146">
        <v>0</v>
      </c>
      <c r="EZ143" s="146">
        <v>0</v>
      </c>
      <c r="FA143" s="146">
        <v>0</v>
      </c>
      <c r="FB143" s="146">
        <v>0</v>
      </c>
      <c r="FC143" s="146">
        <v>0</v>
      </c>
      <c r="FD143" s="146">
        <v>0</v>
      </c>
      <c r="FE143" s="146">
        <v>0</v>
      </c>
      <c r="FF143" s="146">
        <v>0</v>
      </c>
      <c r="FG143" s="146">
        <v>0</v>
      </c>
      <c r="FH143" s="146">
        <v>0</v>
      </c>
      <c r="FI143" s="146">
        <v>0</v>
      </c>
      <c r="FJ143" s="146">
        <v>0</v>
      </c>
      <c r="FK143" s="146">
        <v>0</v>
      </c>
      <c r="FL143" s="146">
        <v>0</v>
      </c>
      <c r="FM143" s="146">
        <v>0</v>
      </c>
      <c r="FN143" s="146">
        <v>0</v>
      </c>
      <c r="FO143" s="146">
        <v>0</v>
      </c>
      <c r="FP143" s="146">
        <v>0</v>
      </c>
      <c r="FQ143" s="146">
        <v>0</v>
      </c>
      <c r="FR143" s="146">
        <v>0</v>
      </c>
      <c r="FS143" s="146">
        <v>0</v>
      </c>
      <c r="FT143" s="146">
        <v>0</v>
      </c>
      <c r="FU143" s="146">
        <v>0</v>
      </c>
      <c r="FV143" s="146">
        <v>0</v>
      </c>
      <c r="FW143" s="146">
        <v>0</v>
      </c>
      <c r="FX143" s="146">
        <v>0</v>
      </c>
      <c r="FY143" s="146">
        <v>0</v>
      </c>
      <c r="FZ143" s="146">
        <v>0</v>
      </c>
      <c r="GA143" s="146">
        <v>0</v>
      </c>
      <c r="GB143" s="146">
        <v>0</v>
      </c>
      <c r="GC143" s="146">
        <v>0</v>
      </c>
      <c r="GD143" s="146">
        <v>0</v>
      </c>
      <c r="GE143" s="146">
        <v>0</v>
      </c>
      <c r="GF143" s="146">
        <v>0</v>
      </c>
      <c r="GG143" s="146">
        <v>0</v>
      </c>
      <c r="GH143" s="146">
        <v>0</v>
      </c>
      <c r="GI143" s="146">
        <v>0</v>
      </c>
      <c r="GJ143" s="146">
        <v>0</v>
      </c>
      <c r="GK143" s="146">
        <v>0</v>
      </c>
      <c r="GL143" s="146">
        <v>0</v>
      </c>
      <c r="GM143" s="146">
        <v>0</v>
      </c>
      <c r="GN143" s="146">
        <v>0</v>
      </c>
      <c r="GO143" s="146">
        <v>0</v>
      </c>
      <c r="GP143" s="146">
        <v>0</v>
      </c>
      <c r="GQ143" s="146">
        <v>0</v>
      </c>
      <c r="GR143" s="146">
        <v>0</v>
      </c>
      <c r="GS143" s="146">
        <v>0</v>
      </c>
      <c r="GT143" s="146">
        <v>0</v>
      </c>
      <c r="GU143" s="146">
        <v>0</v>
      </c>
      <c r="GV143" s="146">
        <v>0</v>
      </c>
      <c r="GW143" s="146">
        <v>0</v>
      </c>
      <c r="GX143" s="146">
        <v>0</v>
      </c>
      <c r="GY143" s="146">
        <v>0</v>
      </c>
      <c r="GZ143" s="146">
        <v>0</v>
      </c>
      <c r="HA143" s="146">
        <v>0</v>
      </c>
      <c r="HB143" s="146">
        <v>0</v>
      </c>
      <c r="HC143" s="146">
        <v>0</v>
      </c>
      <c r="HD143" s="146">
        <v>0</v>
      </c>
      <c r="HE143" s="146">
        <v>0</v>
      </c>
      <c r="HF143" s="146">
        <v>0</v>
      </c>
      <c r="HG143" s="146">
        <v>0</v>
      </c>
      <c r="HH143" s="146">
        <v>0</v>
      </c>
      <c r="HI143" s="146">
        <v>0</v>
      </c>
      <c r="HJ143" s="146">
        <v>0</v>
      </c>
      <c r="HK143" s="146">
        <v>0</v>
      </c>
      <c r="HL143" s="146">
        <v>0</v>
      </c>
      <c r="HM143" s="146">
        <v>0</v>
      </c>
      <c r="HN143" s="146">
        <v>0</v>
      </c>
      <c r="HO143" s="146">
        <v>0</v>
      </c>
      <c r="HP143" s="146">
        <v>0</v>
      </c>
      <c r="HQ143" s="146">
        <v>0</v>
      </c>
      <c r="HR143" s="146">
        <v>0</v>
      </c>
      <c r="HS143" s="146">
        <v>0</v>
      </c>
      <c r="HT143" s="146">
        <v>0</v>
      </c>
      <c r="HU143" s="151"/>
      <c r="HV143" s="146">
        <v>0</v>
      </c>
      <c r="HW143" s="151"/>
      <c r="HX143" s="151"/>
      <c r="HY143" s="151"/>
      <c r="HZ143" s="151"/>
      <c r="IA143" s="151"/>
      <c r="IB143" s="151"/>
      <c r="IC143" s="151"/>
      <c r="ID143" s="151"/>
      <c r="IE143" s="151"/>
      <c r="IF143" s="151"/>
      <c r="IG143" s="151"/>
      <c r="IH143" s="151"/>
      <c r="II143" s="151"/>
      <c r="IJ143" s="151"/>
      <c r="IK143" s="151"/>
      <c r="IL143" s="151"/>
      <c r="IM143" s="151"/>
      <c r="IN143" s="151"/>
      <c r="IO143" s="151"/>
      <c r="IP143" s="151"/>
      <c r="IQ143" s="151"/>
      <c r="IR143" s="151"/>
      <c r="IS143" s="151"/>
      <c r="IT143" s="151"/>
      <c r="IU143" s="151"/>
      <c r="IV143" s="151"/>
      <c r="IW143" s="151"/>
      <c r="IX143" s="151"/>
      <c r="IY143" s="151"/>
      <c r="IZ143" s="151"/>
      <c r="JA143" s="151"/>
      <c r="JB143" s="151"/>
      <c r="JC143" s="151"/>
      <c r="JD143" s="151"/>
      <c r="JE143" s="151"/>
      <c r="JF143" s="151"/>
      <c r="JG143" s="151"/>
      <c r="JH143" s="151"/>
      <c r="JI143" s="151"/>
      <c r="JJ143" s="151"/>
      <c r="JK143" s="151"/>
      <c r="JL143" s="151"/>
      <c r="JM143" s="151"/>
      <c r="JN143" s="151"/>
      <c r="JO143" s="151"/>
      <c r="JP143" s="151"/>
      <c r="JQ143" s="151"/>
      <c r="JR143" s="151"/>
      <c r="JS143" s="151"/>
      <c r="JT143" s="151"/>
      <c r="JU143" s="151"/>
      <c r="JV143" s="151"/>
      <c r="JW143" s="151"/>
      <c r="JX143" s="151"/>
      <c r="JY143" s="151"/>
      <c r="JZ143" s="151"/>
      <c r="KA143" s="151"/>
      <c r="KB143" s="151"/>
      <c r="KC143" s="151"/>
      <c r="KD143" s="151"/>
      <c r="KE143" s="151"/>
      <c r="KF143" s="151"/>
      <c r="KG143" s="151"/>
      <c r="KH143" s="151"/>
      <c r="KI143" s="151"/>
      <c r="KJ143" s="151"/>
      <c r="KK143" s="151"/>
      <c r="KL143" s="151"/>
      <c r="KM143" s="151"/>
      <c r="KN143" s="151"/>
      <c r="KO143" s="151"/>
      <c r="KP143" s="151"/>
      <c r="KQ143" s="151"/>
      <c r="KR143" s="151"/>
      <c r="KS143" s="151"/>
      <c r="KT143" s="151"/>
      <c r="KU143" s="151"/>
      <c r="KV143" s="151"/>
      <c r="KW143" s="151"/>
      <c r="KX143" s="151"/>
      <c r="KY143" s="151"/>
      <c r="KZ143" s="151"/>
      <c r="LA143" s="151"/>
      <c r="LB143" s="151"/>
      <c r="LC143" s="151"/>
      <c r="LD143" s="151"/>
      <c r="LE143" s="151"/>
    </row>
    <row r="144" spans="1:317" x14ac:dyDescent="0.2">
      <c r="A144" s="179" t="s">
        <v>849</v>
      </c>
      <c r="B144" s="180" t="s">
        <v>1043</v>
      </c>
      <c r="C144" s="181"/>
      <c r="D144" s="182">
        <v>0</v>
      </c>
      <c r="E144" s="182">
        <v>0</v>
      </c>
      <c r="F144" s="183" t="s">
        <v>1311</v>
      </c>
      <c r="G144" s="183">
        <v>0</v>
      </c>
      <c r="H144" s="183">
        <v>0</v>
      </c>
      <c r="I144" s="183">
        <v>0</v>
      </c>
      <c r="J144" s="183">
        <v>0</v>
      </c>
      <c r="K144" s="183" t="s">
        <v>1368</v>
      </c>
      <c r="L144" s="183">
        <v>0</v>
      </c>
      <c r="M144" s="183">
        <v>0</v>
      </c>
      <c r="N144" s="183" t="s">
        <v>881</v>
      </c>
      <c r="O144" s="183">
        <v>0</v>
      </c>
      <c r="P144" s="183">
        <v>0</v>
      </c>
      <c r="Q144" s="183"/>
      <c r="R144" s="183"/>
      <c r="S144" s="183"/>
      <c r="T144" s="183"/>
      <c r="U144" s="183"/>
      <c r="V144" s="183">
        <v>0</v>
      </c>
      <c r="W144" s="183">
        <v>0</v>
      </c>
      <c r="X144" s="183">
        <v>0</v>
      </c>
      <c r="Y144" s="184">
        <v>0</v>
      </c>
      <c r="Z144" s="184">
        <v>0.89</v>
      </c>
      <c r="AA144" s="184">
        <v>0</v>
      </c>
      <c r="AB144" s="185" t="s">
        <v>615</v>
      </c>
      <c r="AC144" s="185" t="s">
        <v>615</v>
      </c>
      <c r="AD144" s="186" t="s">
        <v>881</v>
      </c>
      <c r="AE144" s="186" t="s">
        <v>858</v>
      </c>
      <c r="AF144" s="187">
        <v>7</v>
      </c>
      <c r="AG144" s="187">
        <v>3</v>
      </c>
      <c r="AH144" s="187">
        <v>4</v>
      </c>
      <c r="AI144" s="188">
        <v>1</v>
      </c>
      <c r="AJ144" s="188" t="s">
        <v>615</v>
      </c>
      <c r="AK144" s="187" t="s">
        <v>1738</v>
      </c>
      <c r="AL144" s="87" t="s">
        <v>615</v>
      </c>
      <c r="AM144" s="189"/>
      <c r="AN144" s="187" t="s">
        <v>615</v>
      </c>
      <c r="AO144" s="13" t="s">
        <v>615</v>
      </c>
      <c r="AP144" s="187">
        <v>0</v>
      </c>
      <c r="AQ144" s="187">
        <v>0</v>
      </c>
      <c r="AR144" s="190">
        <v>0</v>
      </c>
      <c r="AS144" s="190">
        <v>0</v>
      </c>
      <c r="AT144" s="190">
        <v>0</v>
      </c>
      <c r="AU144" s="187">
        <v>0</v>
      </c>
      <c r="AV144" s="187">
        <v>0</v>
      </c>
      <c r="AW144" s="191"/>
      <c r="AX144" s="192"/>
      <c r="AY144" s="193">
        <v>42666</v>
      </c>
      <c r="AZ144" s="193"/>
      <c r="BA144" s="193"/>
      <c r="BB144" s="194"/>
      <c r="BC144" s="194"/>
      <c r="BD144" s="195"/>
      <c r="BE144" s="195" t="s">
        <v>532</v>
      </c>
      <c r="BF144" s="195"/>
      <c r="BG144" s="195">
        <v>480</v>
      </c>
      <c r="BH144" s="196" t="s">
        <v>547</v>
      </c>
      <c r="BI144" s="197">
        <v>1</v>
      </c>
      <c r="BJ144" s="198"/>
      <c r="BK144" s="199">
        <v>0</v>
      </c>
      <c r="BL144" s="13">
        <v>0</v>
      </c>
      <c r="BM144" s="13">
        <v>0</v>
      </c>
      <c r="BN144" s="13" t="s">
        <v>616</v>
      </c>
      <c r="BO144" s="13" t="s">
        <v>616</v>
      </c>
      <c r="BP144" s="200">
        <v>0</v>
      </c>
      <c r="BQ144" s="201"/>
      <c r="BR144" s="202"/>
      <c r="BS144" s="187">
        <v>1000000000</v>
      </c>
      <c r="BT144" s="203">
        <v>0</v>
      </c>
      <c r="BU144" s="204">
        <v>0</v>
      </c>
      <c r="BV144" s="203">
        <v>0</v>
      </c>
      <c r="BW144" s="205">
        <v>0</v>
      </c>
      <c r="BX144" s="205">
        <v>0</v>
      </c>
      <c r="BY144" s="205">
        <v>0</v>
      </c>
      <c r="BZ144" s="203">
        <v>0</v>
      </c>
      <c r="CA144" s="203">
        <v>0</v>
      </c>
      <c r="CB144" s="203">
        <v>0</v>
      </c>
      <c r="CC144" s="204">
        <v>0</v>
      </c>
      <c r="CD144" s="203">
        <v>0</v>
      </c>
      <c r="CE144" s="203">
        <v>0</v>
      </c>
      <c r="CF144" s="13">
        <v>0</v>
      </c>
      <c r="CG144" s="206">
        <v>0</v>
      </c>
      <c r="CH144" s="207">
        <v>0</v>
      </c>
      <c r="CI144" s="201"/>
      <c r="CJ144" s="208"/>
      <c r="CK144" s="209" t="s">
        <v>615</v>
      </c>
      <c r="CL144" s="210" t="s">
        <v>615</v>
      </c>
      <c r="CM144" s="207">
        <v>0</v>
      </c>
      <c r="CN144" s="207">
        <v>0</v>
      </c>
      <c r="CO144" s="204">
        <v>0</v>
      </c>
      <c r="CP144" s="204">
        <v>0</v>
      </c>
      <c r="CQ144" s="211"/>
      <c r="CR144" s="204">
        <v>1</v>
      </c>
      <c r="CS144" s="212">
        <v>42558</v>
      </c>
      <c r="CT144" s="212">
        <v>42780</v>
      </c>
      <c r="CU144" s="213">
        <v>42780</v>
      </c>
      <c r="CV144" s="214">
        <v>42829</v>
      </c>
      <c r="CW144" s="214" t="s">
        <v>615</v>
      </c>
      <c r="CX144" s="214" t="s">
        <v>615</v>
      </c>
      <c r="CY144" s="204">
        <v>1</v>
      </c>
      <c r="CZ144" s="204">
        <v>0.97959183673469385</v>
      </c>
      <c r="DA144" s="203">
        <v>0</v>
      </c>
      <c r="DB144" s="204">
        <v>0.97959183673469385</v>
      </c>
      <c r="DC144" s="204">
        <v>0</v>
      </c>
      <c r="DD144" s="204">
        <v>0</v>
      </c>
      <c r="DE144" s="204">
        <v>0</v>
      </c>
      <c r="DF144" s="215">
        <v>0</v>
      </c>
      <c r="DG144" s="13" t="s">
        <v>615</v>
      </c>
      <c r="DH144" s="86">
        <v>142</v>
      </c>
      <c r="DI144" s="86"/>
      <c r="DJ144" s="86">
        <v>67</v>
      </c>
      <c r="DK144" s="86" t="s">
        <v>1553</v>
      </c>
      <c r="DL144" s="86" t="e">
        <v>#N/A</v>
      </c>
      <c r="DM144" s="86" t="e">
        <v>#N/A</v>
      </c>
      <c r="DN144" s="86" t="e">
        <v>#N/A</v>
      </c>
      <c r="DO144" s="86">
        <v>69</v>
      </c>
      <c r="DP144" s="86">
        <v>5</v>
      </c>
      <c r="DQ144" s="86">
        <v>49</v>
      </c>
      <c r="DR144" s="152">
        <v>0</v>
      </c>
      <c r="DS144" s="152">
        <v>0</v>
      </c>
      <c r="DT144" s="152">
        <v>0</v>
      </c>
      <c r="DU144" s="152">
        <v>0</v>
      </c>
      <c r="DV144" s="152">
        <v>0</v>
      </c>
      <c r="DW144" s="152">
        <v>0</v>
      </c>
      <c r="DX144" s="152">
        <v>0</v>
      </c>
      <c r="DY144" s="152">
        <v>0</v>
      </c>
      <c r="DZ144" s="152">
        <v>0</v>
      </c>
      <c r="EA144" s="152">
        <v>0</v>
      </c>
      <c r="EB144" s="152">
        <v>0</v>
      </c>
      <c r="EC144" s="152">
        <v>0</v>
      </c>
      <c r="ED144" s="152">
        <v>0</v>
      </c>
      <c r="EE144" s="152">
        <v>0</v>
      </c>
      <c r="EF144" s="152">
        <v>0</v>
      </c>
      <c r="EG144" s="152">
        <v>0</v>
      </c>
      <c r="EH144" s="152">
        <v>0</v>
      </c>
      <c r="EI144" s="152">
        <v>0</v>
      </c>
      <c r="EJ144" s="152">
        <v>0</v>
      </c>
      <c r="EK144" s="152">
        <v>0</v>
      </c>
      <c r="EL144" s="152">
        <v>0</v>
      </c>
      <c r="EM144" s="152">
        <v>0</v>
      </c>
      <c r="EN144" s="152">
        <v>0</v>
      </c>
      <c r="EO144" s="152">
        <v>0</v>
      </c>
      <c r="EP144" s="152">
        <v>0</v>
      </c>
      <c r="EQ144" s="152">
        <v>0</v>
      </c>
      <c r="ER144" s="152">
        <v>0</v>
      </c>
      <c r="ES144" s="152">
        <v>0</v>
      </c>
      <c r="ET144" s="152">
        <v>0</v>
      </c>
      <c r="EU144" s="152">
        <v>0</v>
      </c>
      <c r="EV144" s="152">
        <v>0</v>
      </c>
      <c r="EW144" s="152">
        <v>0</v>
      </c>
      <c r="EX144" s="152">
        <v>0</v>
      </c>
      <c r="EY144" s="152">
        <v>0</v>
      </c>
      <c r="EZ144" s="152">
        <v>0</v>
      </c>
      <c r="FA144" s="152">
        <v>0</v>
      </c>
      <c r="FB144" s="152">
        <v>0</v>
      </c>
      <c r="FC144" s="152">
        <v>0</v>
      </c>
      <c r="FD144" s="152">
        <v>0</v>
      </c>
      <c r="FE144" s="152">
        <v>0</v>
      </c>
      <c r="FF144" s="152">
        <v>0</v>
      </c>
      <c r="FG144" s="152">
        <v>0</v>
      </c>
      <c r="FH144" s="152">
        <v>0</v>
      </c>
      <c r="FI144" s="152">
        <v>0</v>
      </c>
      <c r="FJ144" s="152">
        <v>0</v>
      </c>
      <c r="FK144" s="152">
        <v>0</v>
      </c>
      <c r="FL144" s="152">
        <v>0</v>
      </c>
      <c r="FM144" s="152">
        <v>0</v>
      </c>
      <c r="FN144" s="152">
        <v>0</v>
      </c>
      <c r="FO144" s="152">
        <v>0</v>
      </c>
      <c r="FP144" s="152">
        <v>0</v>
      </c>
      <c r="FQ144" s="152">
        <v>0</v>
      </c>
      <c r="FR144" s="152">
        <v>0</v>
      </c>
      <c r="FS144" s="152">
        <v>0</v>
      </c>
      <c r="FT144" s="152">
        <v>0</v>
      </c>
      <c r="FU144" s="152">
        <v>0</v>
      </c>
      <c r="FV144" s="152">
        <v>0</v>
      </c>
      <c r="FW144" s="152">
        <v>0</v>
      </c>
      <c r="FX144" s="152">
        <v>0</v>
      </c>
      <c r="FY144" s="152">
        <v>0</v>
      </c>
      <c r="FZ144" s="152">
        <v>0</v>
      </c>
      <c r="GA144" s="152">
        <v>0</v>
      </c>
      <c r="GB144" s="152">
        <v>0</v>
      </c>
      <c r="GC144" s="152">
        <v>0</v>
      </c>
      <c r="GD144" s="152">
        <v>0</v>
      </c>
      <c r="GE144" s="152">
        <v>0</v>
      </c>
      <c r="GF144" s="152">
        <v>0</v>
      </c>
      <c r="GG144" s="152">
        <v>0</v>
      </c>
      <c r="GH144" s="152">
        <v>0</v>
      </c>
      <c r="GI144" s="152">
        <v>0</v>
      </c>
      <c r="GJ144" s="152">
        <v>0</v>
      </c>
      <c r="GK144" s="152">
        <v>0</v>
      </c>
      <c r="GL144" s="152">
        <v>0</v>
      </c>
      <c r="GM144" s="152">
        <v>0</v>
      </c>
      <c r="GN144" s="152">
        <v>0</v>
      </c>
      <c r="GO144" s="152">
        <v>0</v>
      </c>
      <c r="GP144" s="152">
        <v>0</v>
      </c>
      <c r="GQ144" s="152">
        <v>0</v>
      </c>
      <c r="GR144" s="152">
        <v>0</v>
      </c>
      <c r="GS144" s="152">
        <v>0</v>
      </c>
      <c r="GT144" s="152">
        <v>0</v>
      </c>
      <c r="GU144" s="152">
        <v>0</v>
      </c>
      <c r="GV144" s="152">
        <v>0</v>
      </c>
      <c r="GW144" s="152">
        <v>0</v>
      </c>
      <c r="GX144" s="152">
        <v>0</v>
      </c>
      <c r="GY144" s="152">
        <v>0</v>
      </c>
      <c r="GZ144" s="152">
        <v>0</v>
      </c>
      <c r="HA144" s="152">
        <v>0</v>
      </c>
      <c r="HB144" s="152">
        <v>0</v>
      </c>
      <c r="HC144" s="152">
        <v>0</v>
      </c>
      <c r="HD144" s="152">
        <v>0</v>
      </c>
      <c r="HE144" s="152">
        <v>0</v>
      </c>
      <c r="HF144" s="152">
        <v>0</v>
      </c>
      <c r="HG144" s="152">
        <v>0</v>
      </c>
      <c r="HH144" s="152">
        <v>0</v>
      </c>
      <c r="HI144" s="152">
        <v>0</v>
      </c>
      <c r="HJ144" s="152">
        <v>0</v>
      </c>
      <c r="HK144" s="152">
        <v>0</v>
      </c>
      <c r="HL144" s="152">
        <v>0</v>
      </c>
      <c r="HM144" s="152">
        <v>0</v>
      </c>
      <c r="HN144" s="152">
        <v>0</v>
      </c>
      <c r="HO144" s="152">
        <v>0</v>
      </c>
      <c r="HP144" s="152">
        <v>0</v>
      </c>
      <c r="HQ144" s="152">
        <v>0</v>
      </c>
      <c r="HR144" s="152">
        <v>0</v>
      </c>
      <c r="HS144" s="152">
        <v>0</v>
      </c>
      <c r="HT144" s="152">
        <v>0</v>
      </c>
      <c r="HU144" s="216"/>
      <c r="HV144" s="152">
        <v>0</v>
      </c>
      <c r="HW144" s="216"/>
      <c r="HX144" s="216"/>
      <c r="HY144" s="216"/>
      <c r="HZ144" s="216"/>
      <c r="IA144" s="216"/>
      <c r="IB144" s="216"/>
      <c r="IC144" s="216"/>
      <c r="ID144" s="216"/>
      <c r="IE144" s="216"/>
      <c r="IF144" s="216"/>
      <c r="IG144" s="216"/>
      <c r="IH144" s="216"/>
      <c r="II144" s="216"/>
      <c r="IJ144" s="216"/>
      <c r="IK144" s="216"/>
      <c r="IL144" s="216"/>
      <c r="IM144" s="216"/>
      <c r="IN144" s="216"/>
      <c r="IO144" s="216"/>
      <c r="IP144" s="216"/>
      <c r="IQ144" s="216"/>
      <c r="IR144" s="216"/>
      <c r="IS144" s="216"/>
      <c r="IT144" s="216"/>
      <c r="IU144" s="216"/>
      <c r="IV144" s="216"/>
      <c r="IW144" s="216"/>
      <c r="IX144" s="216"/>
      <c r="IY144" s="216"/>
      <c r="IZ144" s="216"/>
      <c r="JA144" s="216"/>
      <c r="JB144" s="216"/>
      <c r="JC144" s="216"/>
      <c r="JD144" s="216"/>
      <c r="JE144" s="216"/>
      <c r="JF144" s="216"/>
      <c r="JG144" s="216"/>
      <c r="JH144" s="216"/>
      <c r="JI144" s="216"/>
      <c r="JJ144" s="216"/>
      <c r="JK144" s="216"/>
      <c r="JL144" s="216"/>
      <c r="JM144" s="216"/>
      <c r="JN144" s="216"/>
      <c r="JO144" s="216"/>
      <c r="JP144" s="216"/>
      <c r="JQ144" s="216"/>
      <c r="JR144" s="216"/>
      <c r="JS144" s="216"/>
      <c r="JT144" s="216"/>
      <c r="JU144" s="216"/>
      <c r="JV144" s="216"/>
      <c r="JW144" s="216"/>
      <c r="JX144" s="216"/>
      <c r="JY144" s="216"/>
      <c r="JZ144" s="216"/>
      <c r="KA144" s="216"/>
      <c r="KB144" s="216"/>
      <c r="KC144" s="216"/>
      <c r="KD144" s="216"/>
      <c r="KE144" s="216"/>
      <c r="KF144" s="216"/>
      <c r="KG144" s="216"/>
      <c r="KH144" s="216"/>
      <c r="KI144" s="216"/>
      <c r="KJ144" s="216"/>
      <c r="KK144" s="216"/>
      <c r="KL144" s="216"/>
      <c r="KM144" s="216"/>
      <c r="KN144" s="216"/>
      <c r="KO144" s="216"/>
      <c r="KP144" s="216"/>
      <c r="KQ144" s="216"/>
      <c r="KR144" s="216"/>
      <c r="KS144" s="216"/>
      <c r="KT144" s="216"/>
      <c r="KU144" s="216"/>
      <c r="KV144" s="216"/>
      <c r="KW144" s="216"/>
      <c r="KX144" s="216"/>
      <c r="KY144" s="216"/>
      <c r="KZ144" s="216"/>
      <c r="LA144" s="216"/>
      <c r="LB144" s="216"/>
      <c r="LC144" s="216"/>
      <c r="LD144" s="216"/>
      <c r="LE144" s="216"/>
    </row>
    <row r="145" spans="1:317" x14ac:dyDescent="0.2">
      <c r="A145" s="179" t="s">
        <v>849</v>
      </c>
      <c r="B145" s="180" t="s">
        <v>1044</v>
      </c>
      <c r="C145" s="181"/>
      <c r="D145" s="182">
        <v>0</v>
      </c>
      <c r="E145" s="182">
        <v>0</v>
      </c>
      <c r="F145" s="183" t="s">
        <v>1311</v>
      </c>
      <c r="G145" s="183">
        <v>0</v>
      </c>
      <c r="H145" s="183">
        <v>0</v>
      </c>
      <c r="I145" s="183">
        <v>0</v>
      </c>
      <c r="J145" s="183">
        <v>0</v>
      </c>
      <c r="K145" s="183" t="s">
        <v>1368</v>
      </c>
      <c r="L145" s="183">
        <v>0</v>
      </c>
      <c r="M145" s="183">
        <v>0</v>
      </c>
      <c r="N145" s="183" t="s">
        <v>881</v>
      </c>
      <c r="O145" s="183">
        <v>0</v>
      </c>
      <c r="P145" s="183">
        <v>0</v>
      </c>
      <c r="Q145" s="183"/>
      <c r="R145" s="183"/>
      <c r="S145" s="183"/>
      <c r="T145" s="183"/>
      <c r="U145" s="183"/>
      <c r="V145" s="183">
        <v>0</v>
      </c>
      <c r="W145" s="183">
        <v>0</v>
      </c>
      <c r="X145" s="183">
        <v>0</v>
      </c>
      <c r="Y145" s="184">
        <v>0</v>
      </c>
      <c r="Z145" s="184">
        <v>1.17</v>
      </c>
      <c r="AA145" s="184">
        <v>0</v>
      </c>
      <c r="AB145" s="185" t="s">
        <v>615</v>
      </c>
      <c r="AC145" s="185" t="s">
        <v>615</v>
      </c>
      <c r="AD145" s="186" t="s">
        <v>881</v>
      </c>
      <c r="AE145" s="186" t="s">
        <v>858</v>
      </c>
      <c r="AF145" s="187">
        <v>7</v>
      </c>
      <c r="AG145" s="187">
        <v>3</v>
      </c>
      <c r="AH145" s="187">
        <v>4</v>
      </c>
      <c r="AI145" s="188">
        <v>1</v>
      </c>
      <c r="AJ145" s="188" t="s">
        <v>615</v>
      </c>
      <c r="AK145" s="187" t="s">
        <v>1738</v>
      </c>
      <c r="AL145" s="87" t="s">
        <v>615</v>
      </c>
      <c r="AM145" s="189"/>
      <c r="AN145" s="187" t="s">
        <v>615</v>
      </c>
      <c r="AO145" s="13" t="s">
        <v>615</v>
      </c>
      <c r="AP145" s="187">
        <v>0</v>
      </c>
      <c r="AQ145" s="187">
        <v>0</v>
      </c>
      <c r="AR145" s="190">
        <v>0</v>
      </c>
      <c r="AS145" s="190">
        <v>0</v>
      </c>
      <c r="AT145" s="190">
        <v>0</v>
      </c>
      <c r="AU145" s="187">
        <v>0</v>
      </c>
      <c r="AV145" s="187">
        <v>0</v>
      </c>
      <c r="AW145" s="191"/>
      <c r="AX145" s="192"/>
      <c r="AY145" s="193">
        <v>42666</v>
      </c>
      <c r="AZ145" s="193"/>
      <c r="BA145" s="193"/>
      <c r="BB145" s="194"/>
      <c r="BC145" s="194"/>
      <c r="BD145" s="195"/>
      <c r="BE145" s="195" t="s">
        <v>532</v>
      </c>
      <c r="BF145" s="195"/>
      <c r="BG145" s="195">
        <v>480</v>
      </c>
      <c r="BH145" s="196" t="s">
        <v>547</v>
      </c>
      <c r="BI145" s="197">
        <v>1</v>
      </c>
      <c r="BJ145" s="198"/>
      <c r="BK145" s="199">
        <v>0</v>
      </c>
      <c r="BL145" s="13">
        <v>0</v>
      </c>
      <c r="BM145" s="13">
        <v>0</v>
      </c>
      <c r="BN145" s="13" t="s">
        <v>616</v>
      </c>
      <c r="BO145" s="13" t="s">
        <v>616</v>
      </c>
      <c r="BP145" s="200">
        <v>0</v>
      </c>
      <c r="BQ145" s="201"/>
      <c r="BR145" s="202"/>
      <c r="BS145" s="187">
        <v>1000000000</v>
      </c>
      <c r="BT145" s="203">
        <v>0</v>
      </c>
      <c r="BU145" s="204">
        <v>0</v>
      </c>
      <c r="BV145" s="203">
        <v>0</v>
      </c>
      <c r="BW145" s="205">
        <v>0</v>
      </c>
      <c r="BX145" s="205">
        <v>0</v>
      </c>
      <c r="BY145" s="205">
        <v>0</v>
      </c>
      <c r="BZ145" s="203">
        <v>0</v>
      </c>
      <c r="CA145" s="203">
        <v>0</v>
      </c>
      <c r="CB145" s="203">
        <v>0</v>
      </c>
      <c r="CC145" s="204">
        <v>0</v>
      </c>
      <c r="CD145" s="203">
        <v>0</v>
      </c>
      <c r="CE145" s="203">
        <v>0</v>
      </c>
      <c r="CF145" s="13">
        <v>0</v>
      </c>
      <c r="CG145" s="206">
        <v>0</v>
      </c>
      <c r="CH145" s="207">
        <v>0</v>
      </c>
      <c r="CI145" s="201"/>
      <c r="CJ145" s="208"/>
      <c r="CK145" s="209" t="s">
        <v>615</v>
      </c>
      <c r="CL145" s="210" t="s">
        <v>615</v>
      </c>
      <c r="CM145" s="207">
        <v>0</v>
      </c>
      <c r="CN145" s="207">
        <v>0</v>
      </c>
      <c r="CO145" s="204">
        <v>0</v>
      </c>
      <c r="CP145" s="204">
        <v>0</v>
      </c>
      <c r="CQ145" s="211"/>
      <c r="CR145" s="204">
        <v>1</v>
      </c>
      <c r="CS145" s="212">
        <v>42558</v>
      </c>
      <c r="CT145" s="212">
        <v>42780</v>
      </c>
      <c r="CU145" s="213">
        <v>42780</v>
      </c>
      <c r="CV145" s="214">
        <v>42829</v>
      </c>
      <c r="CW145" s="214" t="s">
        <v>615</v>
      </c>
      <c r="CX145" s="214" t="s">
        <v>615</v>
      </c>
      <c r="CY145" s="204">
        <v>1</v>
      </c>
      <c r="CZ145" s="204">
        <v>0.97959183673469385</v>
      </c>
      <c r="DA145" s="203">
        <v>0</v>
      </c>
      <c r="DB145" s="204">
        <v>0.97959183673469385</v>
      </c>
      <c r="DC145" s="204">
        <v>0</v>
      </c>
      <c r="DD145" s="204">
        <v>0</v>
      </c>
      <c r="DE145" s="204">
        <v>0</v>
      </c>
      <c r="DF145" s="215">
        <v>0</v>
      </c>
      <c r="DG145" s="13" t="s">
        <v>615</v>
      </c>
      <c r="DH145" s="86">
        <v>143</v>
      </c>
      <c r="DI145" s="86"/>
      <c r="DJ145" s="86">
        <v>68</v>
      </c>
      <c r="DK145" s="86" t="s">
        <v>1554</v>
      </c>
      <c r="DL145" s="86" t="e">
        <v>#N/A</v>
      </c>
      <c r="DM145" s="86" t="e">
        <v>#N/A</v>
      </c>
      <c r="DN145" s="86" t="e">
        <v>#N/A</v>
      </c>
      <c r="DO145" s="86">
        <v>70</v>
      </c>
      <c r="DP145" s="86">
        <v>5</v>
      </c>
      <c r="DQ145" s="86">
        <v>49</v>
      </c>
      <c r="DR145" s="146">
        <v>0</v>
      </c>
      <c r="DS145" s="146">
        <v>0</v>
      </c>
      <c r="DT145" s="146">
        <v>0</v>
      </c>
      <c r="DU145" s="146">
        <v>0</v>
      </c>
      <c r="DV145" s="146">
        <v>0</v>
      </c>
      <c r="DW145" s="146">
        <v>0</v>
      </c>
      <c r="DX145" s="146">
        <v>0</v>
      </c>
      <c r="DY145" s="146">
        <v>0</v>
      </c>
      <c r="DZ145" s="146">
        <v>0</v>
      </c>
      <c r="EA145" s="146">
        <v>0</v>
      </c>
      <c r="EB145" s="146">
        <v>0</v>
      </c>
      <c r="EC145" s="146">
        <v>0</v>
      </c>
      <c r="ED145" s="146">
        <v>0</v>
      </c>
      <c r="EE145" s="146">
        <v>0</v>
      </c>
      <c r="EF145" s="146">
        <v>0</v>
      </c>
      <c r="EG145" s="146">
        <v>0</v>
      </c>
      <c r="EH145" s="146">
        <v>0</v>
      </c>
      <c r="EI145" s="146">
        <v>0</v>
      </c>
      <c r="EJ145" s="146">
        <v>0</v>
      </c>
      <c r="EK145" s="146">
        <v>0</v>
      </c>
      <c r="EL145" s="146">
        <v>0</v>
      </c>
      <c r="EM145" s="146">
        <v>0</v>
      </c>
      <c r="EN145" s="146">
        <v>0</v>
      </c>
      <c r="EO145" s="146">
        <v>0</v>
      </c>
      <c r="EP145" s="146">
        <v>0</v>
      </c>
      <c r="EQ145" s="146">
        <v>0</v>
      </c>
      <c r="ER145" s="146">
        <v>0</v>
      </c>
      <c r="ES145" s="146">
        <v>0</v>
      </c>
      <c r="ET145" s="146">
        <v>0</v>
      </c>
      <c r="EU145" s="146">
        <v>0</v>
      </c>
      <c r="EV145" s="146">
        <v>0</v>
      </c>
      <c r="EW145" s="146">
        <v>0</v>
      </c>
      <c r="EX145" s="146">
        <v>0</v>
      </c>
      <c r="EY145" s="146">
        <v>0</v>
      </c>
      <c r="EZ145" s="146">
        <v>0</v>
      </c>
      <c r="FA145" s="146">
        <v>0</v>
      </c>
      <c r="FB145" s="146">
        <v>0</v>
      </c>
      <c r="FC145" s="146">
        <v>0</v>
      </c>
      <c r="FD145" s="146">
        <v>0</v>
      </c>
      <c r="FE145" s="146">
        <v>0</v>
      </c>
      <c r="FF145" s="146">
        <v>0</v>
      </c>
      <c r="FG145" s="146">
        <v>0</v>
      </c>
      <c r="FH145" s="146">
        <v>0</v>
      </c>
      <c r="FI145" s="146">
        <v>0</v>
      </c>
      <c r="FJ145" s="146">
        <v>0</v>
      </c>
      <c r="FK145" s="146">
        <v>0</v>
      </c>
      <c r="FL145" s="146">
        <v>0</v>
      </c>
      <c r="FM145" s="146">
        <v>0</v>
      </c>
      <c r="FN145" s="146">
        <v>0</v>
      </c>
      <c r="FO145" s="146">
        <v>0</v>
      </c>
      <c r="FP145" s="146">
        <v>0</v>
      </c>
      <c r="FQ145" s="146">
        <v>0</v>
      </c>
      <c r="FR145" s="146">
        <v>0</v>
      </c>
      <c r="FS145" s="146">
        <v>0</v>
      </c>
      <c r="FT145" s="146">
        <v>0</v>
      </c>
      <c r="FU145" s="146">
        <v>0</v>
      </c>
      <c r="FV145" s="146">
        <v>0</v>
      </c>
      <c r="FW145" s="146">
        <v>0</v>
      </c>
      <c r="FX145" s="146">
        <v>0</v>
      </c>
      <c r="FY145" s="146">
        <v>0</v>
      </c>
      <c r="FZ145" s="146">
        <v>0</v>
      </c>
      <c r="GA145" s="146">
        <v>0</v>
      </c>
      <c r="GB145" s="146">
        <v>0</v>
      </c>
      <c r="GC145" s="146">
        <v>0</v>
      </c>
      <c r="GD145" s="146">
        <v>0</v>
      </c>
      <c r="GE145" s="146">
        <v>0</v>
      </c>
      <c r="GF145" s="146">
        <v>0</v>
      </c>
      <c r="GG145" s="146">
        <v>0</v>
      </c>
      <c r="GH145" s="146">
        <v>0</v>
      </c>
      <c r="GI145" s="146">
        <v>0</v>
      </c>
      <c r="GJ145" s="146">
        <v>0</v>
      </c>
      <c r="GK145" s="146">
        <v>0</v>
      </c>
      <c r="GL145" s="146">
        <v>0</v>
      </c>
      <c r="GM145" s="146">
        <v>0</v>
      </c>
      <c r="GN145" s="146">
        <v>0</v>
      </c>
      <c r="GO145" s="146">
        <v>0</v>
      </c>
      <c r="GP145" s="146">
        <v>0</v>
      </c>
      <c r="GQ145" s="146">
        <v>0</v>
      </c>
      <c r="GR145" s="146">
        <v>0</v>
      </c>
      <c r="GS145" s="146">
        <v>0</v>
      </c>
      <c r="GT145" s="146">
        <v>0</v>
      </c>
      <c r="GU145" s="146">
        <v>0</v>
      </c>
      <c r="GV145" s="146">
        <v>0</v>
      </c>
      <c r="GW145" s="146">
        <v>0</v>
      </c>
      <c r="GX145" s="146">
        <v>0</v>
      </c>
      <c r="GY145" s="146">
        <v>0</v>
      </c>
      <c r="GZ145" s="146">
        <v>0</v>
      </c>
      <c r="HA145" s="146">
        <v>0</v>
      </c>
      <c r="HB145" s="146">
        <v>0</v>
      </c>
      <c r="HC145" s="146">
        <v>0</v>
      </c>
      <c r="HD145" s="146">
        <v>0</v>
      </c>
      <c r="HE145" s="146">
        <v>0</v>
      </c>
      <c r="HF145" s="146">
        <v>0</v>
      </c>
      <c r="HG145" s="146">
        <v>0</v>
      </c>
      <c r="HH145" s="146">
        <v>0</v>
      </c>
      <c r="HI145" s="146">
        <v>0</v>
      </c>
      <c r="HJ145" s="146">
        <v>0</v>
      </c>
      <c r="HK145" s="146">
        <v>0</v>
      </c>
      <c r="HL145" s="146">
        <v>0</v>
      </c>
      <c r="HM145" s="146">
        <v>0</v>
      </c>
      <c r="HN145" s="146">
        <v>0</v>
      </c>
      <c r="HO145" s="146">
        <v>0</v>
      </c>
      <c r="HP145" s="146">
        <v>0</v>
      </c>
      <c r="HQ145" s="146">
        <v>0</v>
      </c>
      <c r="HR145" s="146">
        <v>0</v>
      </c>
      <c r="HS145" s="146">
        <v>0</v>
      </c>
      <c r="HT145" s="146">
        <v>0</v>
      </c>
      <c r="HU145" s="151"/>
      <c r="HV145" s="146">
        <v>0</v>
      </c>
      <c r="HW145" s="151"/>
      <c r="HX145" s="151"/>
      <c r="HY145" s="151"/>
      <c r="HZ145" s="151"/>
      <c r="IA145" s="151"/>
      <c r="IB145" s="151"/>
      <c r="IC145" s="151"/>
      <c r="ID145" s="151"/>
      <c r="IE145" s="151"/>
      <c r="IF145" s="151"/>
      <c r="IG145" s="151"/>
      <c r="IH145" s="151"/>
      <c r="II145" s="151"/>
      <c r="IJ145" s="151"/>
      <c r="IK145" s="151"/>
      <c r="IL145" s="151"/>
      <c r="IM145" s="151"/>
      <c r="IN145" s="151"/>
      <c r="IO145" s="151"/>
      <c r="IP145" s="151"/>
      <c r="IQ145" s="151"/>
      <c r="IR145" s="151"/>
      <c r="IS145" s="151"/>
      <c r="IT145" s="151"/>
      <c r="IU145" s="151"/>
      <c r="IV145" s="151"/>
      <c r="IW145" s="151"/>
      <c r="IX145" s="151"/>
      <c r="IY145" s="151"/>
      <c r="IZ145" s="151"/>
      <c r="JA145" s="151"/>
      <c r="JB145" s="151"/>
      <c r="JC145" s="151"/>
      <c r="JD145" s="151"/>
      <c r="JE145" s="151"/>
      <c r="JF145" s="151"/>
      <c r="JG145" s="151"/>
      <c r="JH145" s="151"/>
      <c r="JI145" s="151"/>
      <c r="JJ145" s="151"/>
      <c r="JK145" s="151"/>
      <c r="JL145" s="151"/>
      <c r="JM145" s="151"/>
      <c r="JN145" s="151"/>
      <c r="JO145" s="151"/>
      <c r="JP145" s="151"/>
      <c r="JQ145" s="151"/>
      <c r="JR145" s="151"/>
      <c r="JS145" s="151"/>
      <c r="JT145" s="151"/>
      <c r="JU145" s="151"/>
      <c r="JV145" s="151"/>
      <c r="JW145" s="151"/>
      <c r="JX145" s="151"/>
      <c r="JY145" s="151"/>
      <c r="JZ145" s="151"/>
      <c r="KA145" s="151"/>
      <c r="KB145" s="151"/>
      <c r="KC145" s="151"/>
      <c r="KD145" s="151"/>
      <c r="KE145" s="151"/>
      <c r="KF145" s="151"/>
      <c r="KG145" s="151"/>
      <c r="KH145" s="151"/>
      <c r="KI145" s="151"/>
      <c r="KJ145" s="151"/>
      <c r="KK145" s="151"/>
      <c r="KL145" s="151"/>
      <c r="KM145" s="151"/>
      <c r="KN145" s="151"/>
      <c r="KO145" s="151"/>
      <c r="KP145" s="151"/>
      <c r="KQ145" s="151"/>
      <c r="KR145" s="151"/>
      <c r="KS145" s="151"/>
      <c r="KT145" s="151"/>
      <c r="KU145" s="151"/>
      <c r="KV145" s="151"/>
      <c r="KW145" s="151"/>
      <c r="KX145" s="151"/>
      <c r="KY145" s="151"/>
      <c r="KZ145" s="151"/>
      <c r="LA145" s="151"/>
      <c r="LB145" s="151"/>
      <c r="LC145" s="151"/>
      <c r="LD145" s="151"/>
      <c r="LE145" s="151"/>
    </row>
    <row r="146" spans="1:317" x14ac:dyDescent="0.2">
      <c r="A146" s="179" t="s">
        <v>849</v>
      </c>
      <c r="B146" s="180" t="s">
        <v>1045</v>
      </c>
      <c r="C146" s="181"/>
      <c r="D146" s="182">
        <v>0</v>
      </c>
      <c r="E146" s="182">
        <v>0</v>
      </c>
      <c r="F146" s="183" t="s">
        <v>1311</v>
      </c>
      <c r="G146" s="183">
        <v>0</v>
      </c>
      <c r="H146" s="183">
        <v>0</v>
      </c>
      <c r="I146" s="183">
        <v>0</v>
      </c>
      <c r="J146" s="183">
        <v>0</v>
      </c>
      <c r="K146" s="183" t="s">
        <v>1368</v>
      </c>
      <c r="L146" s="183">
        <v>0</v>
      </c>
      <c r="M146" s="183">
        <v>0</v>
      </c>
      <c r="N146" s="183" t="s">
        <v>881</v>
      </c>
      <c r="O146" s="183">
        <v>0</v>
      </c>
      <c r="P146" s="183">
        <v>0</v>
      </c>
      <c r="Q146" s="183"/>
      <c r="R146" s="183"/>
      <c r="S146" s="183"/>
      <c r="T146" s="183"/>
      <c r="U146" s="183"/>
      <c r="V146" s="183">
        <v>0</v>
      </c>
      <c r="W146" s="183">
        <v>0</v>
      </c>
      <c r="X146" s="183">
        <v>0</v>
      </c>
      <c r="Y146" s="184">
        <v>0</v>
      </c>
      <c r="Z146" s="184">
        <v>3.32</v>
      </c>
      <c r="AA146" s="184">
        <v>0</v>
      </c>
      <c r="AB146" s="185" t="s">
        <v>615</v>
      </c>
      <c r="AC146" s="185" t="s">
        <v>615</v>
      </c>
      <c r="AD146" s="186" t="s">
        <v>881</v>
      </c>
      <c r="AE146" s="186" t="s">
        <v>858</v>
      </c>
      <c r="AF146" s="187">
        <v>7</v>
      </c>
      <c r="AG146" s="187">
        <v>3</v>
      </c>
      <c r="AH146" s="187">
        <v>4</v>
      </c>
      <c r="AI146" s="188">
        <v>1</v>
      </c>
      <c r="AJ146" s="188" t="s">
        <v>615</v>
      </c>
      <c r="AK146" s="187" t="s">
        <v>1738</v>
      </c>
      <c r="AL146" s="87" t="s">
        <v>615</v>
      </c>
      <c r="AM146" s="189"/>
      <c r="AN146" s="187" t="s">
        <v>615</v>
      </c>
      <c r="AO146" s="13" t="s">
        <v>615</v>
      </c>
      <c r="AP146" s="187">
        <v>0</v>
      </c>
      <c r="AQ146" s="187">
        <v>0</v>
      </c>
      <c r="AR146" s="190">
        <v>0</v>
      </c>
      <c r="AS146" s="190">
        <v>0</v>
      </c>
      <c r="AT146" s="190">
        <v>0</v>
      </c>
      <c r="AU146" s="187">
        <v>0</v>
      </c>
      <c r="AV146" s="187">
        <v>0</v>
      </c>
      <c r="AW146" s="191"/>
      <c r="AX146" s="192"/>
      <c r="AY146" s="193">
        <v>42666</v>
      </c>
      <c r="AZ146" s="193"/>
      <c r="BA146" s="193"/>
      <c r="BB146" s="194"/>
      <c r="BC146" s="194"/>
      <c r="BD146" s="195"/>
      <c r="BE146" s="195" t="s">
        <v>532</v>
      </c>
      <c r="BF146" s="195"/>
      <c r="BG146" s="195">
        <v>480</v>
      </c>
      <c r="BH146" s="196" t="s">
        <v>547</v>
      </c>
      <c r="BI146" s="197">
        <v>1</v>
      </c>
      <c r="BJ146" s="198"/>
      <c r="BK146" s="199">
        <v>0</v>
      </c>
      <c r="BL146" s="13">
        <v>0</v>
      </c>
      <c r="BM146" s="13">
        <v>0</v>
      </c>
      <c r="BN146" s="13" t="s">
        <v>616</v>
      </c>
      <c r="BO146" s="13" t="s">
        <v>616</v>
      </c>
      <c r="BP146" s="200">
        <v>0</v>
      </c>
      <c r="BQ146" s="201"/>
      <c r="BR146" s="202"/>
      <c r="BS146" s="187">
        <v>1000000000</v>
      </c>
      <c r="BT146" s="203">
        <v>0</v>
      </c>
      <c r="BU146" s="204">
        <v>0</v>
      </c>
      <c r="BV146" s="203">
        <v>0</v>
      </c>
      <c r="BW146" s="205">
        <v>0</v>
      </c>
      <c r="BX146" s="205">
        <v>0</v>
      </c>
      <c r="BY146" s="205">
        <v>0</v>
      </c>
      <c r="BZ146" s="203">
        <v>0</v>
      </c>
      <c r="CA146" s="203">
        <v>0</v>
      </c>
      <c r="CB146" s="203">
        <v>0</v>
      </c>
      <c r="CC146" s="204">
        <v>0</v>
      </c>
      <c r="CD146" s="203">
        <v>0</v>
      </c>
      <c r="CE146" s="203">
        <v>0</v>
      </c>
      <c r="CF146" s="13">
        <v>0</v>
      </c>
      <c r="CG146" s="206">
        <v>0</v>
      </c>
      <c r="CH146" s="207">
        <v>0</v>
      </c>
      <c r="CI146" s="201"/>
      <c r="CJ146" s="208"/>
      <c r="CK146" s="209" t="s">
        <v>615</v>
      </c>
      <c r="CL146" s="210" t="s">
        <v>615</v>
      </c>
      <c r="CM146" s="207">
        <v>0</v>
      </c>
      <c r="CN146" s="207">
        <v>0</v>
      </c>
      <c r="CO146" s="204">
        <v>0</v>
      </c>
      <c r="CP146" s="204">
        <v>0</v>
      </c>
      <c r="CQ146" s="211"/>
      <c r="CR146" s="204">
        <v>1</v>
      </c>
      <c r="CS146" s="212">
        <v>42558</v>
      </c>
      <c r="CT146" s="212">
        <v>42780</v>
      </c>
      <c r="CU146" s="213">
        <v>42780</v>
      </c>
      <c r="CV146" s="214">
        <v>42829</v>
      </c>
      <c r="CW146" s="214" t="s">
        <v>615</v>
      </c>
      <c r="CX146" s="214" t="s">
        <v>615</v>
      </c>
      <c r="CY146" s="204">
        <v>1</v>
      </c>
      <c r="CZ146" s="204">
        <v>0.97959183673469385</v>
      </c>
      <c r="DA146" s="203">
        <v>0</v>
      </c>
      <c r="DB146" s="204">
        <v>0.97959183673469385</v>
      </c>
      <c r="DC146" s="204">
        <v>0</v>
      </c>
      <c r="DD146" s="204">
        <v>0</v>
      </c>
      <c r="DE146" s="204">
        <v>0</v>
      </c>
      <c r="DF146" s="215">
        <v>0</v>
      </c>
      <c r="DG146" s="13" t="s">
        <v>615</v>
      </c>
      <c r="DH146" s="86">
        <v>144</v>
      </c>
      <c r="DI146" s="86"/>
      <c r="DJ146" s="86">
        <v>69</v>
      </c>
      <c r="DK146" s="86" t="s">
        <v>1555</v>
      </c>
      <c r="DL146" s="86" t="e">
        <v>#N/A</v>
      </c>
      <c r="DM146" s="86" t="e">
        <v>#N/A</v>
      </c>
      <c r="DN146" s="86" t="e">
        <v>#N/A</v>
      </c>
      <c r="DO146" s="86">
        <v>71</v>
      </c>
      <c r="DP146" s="86">
        <v>5</v>
      </c>
      <c r="DQ146" s="86">
        <v>49</v>
      </c>
      <c r="DR146" s="152">
        <v>0</v>
      </c>
      <c r="DS146" s="152">
        <v>0</v>
      </c>
      <c r="DT146" s="152">
        <v>0</v>
      </c>
      <c r="DU146" s="152">
        <v>0</v>
      </c>
      <c r="DV146" s="152">
        <v>0</v>
      </c>
      <c r="DW146" s="152">
        <v>0</v>
      </c>
      <c r="DX146" s="152">
        <v>0</v>
      </c>
      <c r="DY146" s="152">
        <v>0</v>
      </c>
      <c r="DZ146" s="152">
        <v>0</v>
      </c>
      <c r="EA146" s="152">
        <v>0</v>
      </c>
      <c r="EB146" s="152">
        <v>0</v>
      </c>
      <c r="EC146" s="152">
        <v>0</v>
      </c>
      <c r="ED146" s="152">
        <v>0</v>
      </c>
      <c r="EE146" s="152">
        <v>0</v>
      </c>
      <c r="EF146" s="152">
        <v>0</v>
      </c>
      <c r="EG146" s="152">
        <v>0</v>
      </c>
      <c r="EH146" s="152">
        <v>0</v>
      </c>
      <c r="EI146" s="152">
        <v>0</v>
      </c>
      <c r="EJ146" s="152">
        <v>0</v>
      </c>
      <c r="EK146" s="152">
        <v>0</v>
      </c>
      <c r="EL146" s="152">
        <v>0</v>
      </c>
      <c r="EM146" s="152">
        <v>0</v>
      </c>
      <c r="EN146" s="152">
        <v>0</v>
      </c>
      <c r="EO146" s="152">
        <v>0</v>
      </c>
      <c r="EP146" s="152">
        <v>0</v>
      </c>
      <c r="EQ146" s="152">
        <v>0</v>
      </c>
      <c r="ER146" s="152">
        <v>0</v>
      </c>
      <c r="ES146" s="152">
        <v>0</v>
      </c>
      <c r="ET146" s="152">
        <v>0</v>
      </c>
      <c r="EU146" s="152">
        <v>0</v>
      </c>
      <c r="EV146" s="152">
        <v>0</v>
      </c>
      <c r="EW146" s="152">
        <v>0</v>
      </c>
      <c r="EX146" s="152">
        <v>0</v>
      </c>
      <c r="EY146" s="152">
        <v>0</v>
      </c>
      <c r="EZ146" s="152">
        <v>0</v>
      </c>
      <c r="FA146" s="152">
        <v>0</v>
      </c>
      <c r="FB146" s="152">
        <v>0</v>
      </c>
      <c r="FC146" s="152">
        <v>0</v>
      </c>
      <c r="FD146" s="152">
        <v>0</v>
      </c>
      <c r="FE146" s="152">
        <v>0</v>
      </c>
      <c r="FF146" s="152">
        <v>0</v>
      </c>
      <c r="FG146" s="152">
        <v>0</v>
      </c>
      <c r="FH146" s="152">
        <v>0</v>
      </c>
      <c r="FI146" s="152">
        <v>0</v>
      </c>
      <c r="FJ146" s="152">
        <v>0</v>
      </c>
      <c r="FK146" s="152">
        <v>0</v>
      </c>
      <c r="FL146" s="152">
        <v>0</v>
      </c>
      <c r="FM146" s="152">
        <v>0</v>
      </c>
      <c r="FN146" s="152">
        <v>0</v>
      </c>
      <c r="FO146" s="152">
        <v>0</v>
      </c>
      <c r="FP146" s="152">
        <v>0</v>
      </c>
      <c r="FQ146" s="152">
        <v>0</v>
      </c>
      <c r="FR146" s="152">
        <v>0</v>
      </c>
      <c r="FS146" s="152">
        <v>0</v>
      </c>
      <c r="FT146" s="152">
        <v>0</v>
      </c>
      <c r="FU146" s="152">
        <v>0</v>
      </c>
      <c r="FV146" s="152">
        <v>0</v>
      </c>
      <c r="FW146" s="152">
        <v>0</v>
      </c>
      <c r="FX146" s="152">
        <v>0</v>
      </c>
      <c r="FY146" s="152">
        <v>0</v>
      </c>
      <c r="FZ146" s="152">
        <v>0</v>
      </c>
      <c r="GA146" s="152">
        <v>0</v>
      </c>
      <c r="GB146" s="152">
        <v>0</v>
      </c>
      <c r="GC146" s="152">
        <v>0</v>
      </c>
      <c r="GD146" s="152">
        <v>0</v>
      </c>
      <c r="GE146" s="152">
        <v>0</v>
      </c>
      <c r="GF146" s="152">
        <v>0</v>
      </c>
      <c r="GG146" s="152">
        <v>0</v>
      </c>
      <c r="GH146" s="152">
        <v>0</v>
      </c>
      <c r="GI146" s="152">
        <v>0</v>
      </c>
      <c r="GJ146" s="152">
        <v>0</v>
      </c>
      <c r="GK146" s="152">
        <v>0</v>
      </c>
      <c r="GL146" s="152">
        <v>0</v>
      </c>
      <c r="GM146" s="152">
        <v>0</v>
      </c>
      <c r="GN146" s="152">
        <v>0</v>
      </c>
      <c r="GO146" s="152">
        <v>0</v>
      </c>
      <c r="GP146" s="152">
        <v>0</v>
      </c>
      <c r="GQ146" s="152">
        <v>0</v>
      </c>
      <c r="GR146" s="152">
        <v>0</v>
      </c>
      <c r="GS146" s="152">
        <v>0</v>
      </c>
      <c r="GT146" s="152">
        <v>0</v>
      </c>
      <c r="GU146" s="152">
        <v>0</v>
      </c>
      <c r="GV146" s="152">
        <v>0</v>
      </c>
      <c r="GW146" s="152">
        <v>0</v>
      </c>
      <c r="GX146" s="152">
        <v>0</v>
      </c>
      <c r="GY146" s="152">
        <v>0</v>
      </c>
      <c r="GZ146" s="152">
        <v>0</v>
      </c>
      <c r="HA146" s="152">
        <v>0</v>
      </c>
      <c r="HB146" s="152">
        <v>0</v>
      </c>
      <c r="HC146" s="152">
        <v>0</v>
      </c>
      <c r="HD146" s="152">
        <v>0</v>
      </c>
      <c r="HE146" s="152">
        <v>0</v>
      </c>
      <c r="HF146" s="152">
        <v>0</v>
      </c>
      <c r="HG146" s="152">
        <v>0</v>
      </c>
      <c r="HH146" s="152">
        <v>0</v>
      </c>
      <c r="HI146" s="152">
        <v>0</v>
      </c>
      <c r="HJ146" s="152">
        <v>0</v>
      </c>
      <c r="HK146" s="152">
        <v>0</v>
      </c>
      <c r="HL146" s="152">
        <v>0</v>
      </c>
      <c r="HM146" s="152">
        <v>0</v>
      </c>
      <c r="HN146" s="152">
        <v>0</v>
      </c>
      <c r="HO146" s="152">
        <v>0</v>
      </c>
      <c r="HP146" s="152">
        <v>0</v>
      </c>
      <c r="HQ146" s="152">
        <v>0</v>
      </c>
      <c r="HR146" s="152">
        <v>0</v>
      </c>
      <c r="HS146" s="152">
        <v>0</v>
      </c>
      <c r="HT146" s="152">
        <v>0</v>
      </c>
      <c r="HU146" s="216"/>
      <c r="HV146" s="152">
        <v>0</v>
      </c>
      <c r="HW146" s="216"/>
      <c r="HX146" s="216"/>
      <c r="HY146" s="216"/>
      <c r="HZ146" s="216"/>
      <c r="IA146" s="216"/>
      <c r="IB146" s="216"/>
      <c r="IC146" s="216"/>
      <c r="ID146" s="216"/>
      <c r="IE146" s="216"/>
      <c r="IF146" s="216"/>
      <c r="IG146" s="216"/>
      <c r="IH146" s="216"/>
      <c r="II146" s="216"/>
      <c r="IJ146" s="216"/>
      <c r="IK146" s="216"/>
      <c r="IL146" s="216"/>
      <c r="IM146" s="216"/>
      <c r="IN146" s="216"/>
      <c r="IO146" s="216"/>
      <c r="IP146" s="216"/>
      <c r="IQ146" s="216"/>
      <c r="IR146" s="216"/>
      <c r="IS146" s="216"/>
      <c r="IT146" s="216"/>
      <c r="IU146" s="216"/>
      <c r="IV146" s="216"/>
      <c r="IW146" s="216"/>
      <c r="IX146" s="216"/>
      <c r="IY146" s="216"/>
      <c r="IZ146" s="216"/>
      <c r="JA146" s="216"/>
      <c r="JB146" s="216"/>
      <c r="JC146" s="216"/>
      <c r="JD146" s="216"/>
      <c r="JE146" s="216"/>
      <c r="JF146" s="216"/>
      <c r="JG146" s="216"/>
      <c r="JH146" s="216"/>
      <c r="JI146" s="216"/>
      <c r="JJ146" s="216"/>
      <c r="JK146" s="216"/>
      <c r="JL146" s="216"/>
      <c r="JM146" s="216"/>
      <c r="JN146" s="216"/>
      <c r="JO146" s="216"/>
      <c r="JP146" s="216"/>
      <c r="JQ146" s="216"/>
      <c r="JR146" s="216"/>
      <c r="JS146" s="216"/>
      <c r="JT146" s="216"/>
      <c r="JU146" s="216"/>
      <c r="JV146" s="216"/>
      <c r="JW146" s="216"/>
      <c r="JX146" s="216"/>
      <c r="JY146" s="216"/>
      <c r="JZ146" s="216"/>
      <c r="KA146" s="216"/>
      <c r="KB146" s="216"/>
      <c r="KC146" s="216"/>
      <c r="KD146" s="216"/>
      <c r="KE146" s="216"/>
      <c r="KF146" s="216"/>
      <c r="KG146" s="216"/>
      <c r="KH146" s="216"/>
      <c r="KI146" s="216"/>
      <c r="KJ146" s="216"/>
      <c r="KK146" s="216"/>
      <c r="KL146" s="216"/>
      <c r="KM146" s="216"/>
      <c r="KN146" s="216"/>
      <c r="KO146" s="216"/>
      <c r="KP146" s="216"/>
      <c r="KQ146" s="216"/>
      <c r="KR146" s="216"/>
      <c r="KS146" s="216"/>
      <c r="KT146" s="216"/>
      <c r="KU146" s="216"/>
      <c r="KV146" s="216"/>
      <c r="KW146" s="216"/>
      <c r="KX146" s="216"/>
      <c r="KY146" s="216"/>
      <c r="KZ146" s="216"/>
      <c r="LA146" s="216"/>
      <c r="LB146" s="216"/>
      <c r="LC146" s="216"/>
      <c r="LD146" s="216"/>
      <c r="LE146" s="216"/>
    </row>
    <row r="147" spans="1:317" x14ac:dyDescent="0.2">
      <c r="A147" s="179" t="s">
        <v>849</v>
      </c>
      <c r="B147" s="180" t="s">
        <v>1046</v>
      </c>
      <c r="C147" s="181"/>
      <c r="D147" s="182">
        <v>0</v>
      </c>
      <c r="E147" s="182">
        <v>0</v>
      </c>
      <c r="F147" s="183" t="s">
        <v>1311</v>
      </c>
      <c r="G147" s="183">
        <v>0</v>
      </c>
      <c r="H147" s="183">
        <v>0</v>
      </c>
      <c r="I147" s="183">
        <v>0</v>
      </c>
      <c r="J147" s="183">
        <v>0</v>
      </c>
      <c r="K147" s="183" t="s">
        <v>1368</v>
      </c>
      <c r="L147" s="183">
        <v>0</v>
      </c>
      <c r="M147" s="183">
        <v>0</v>
      </c>
      <c r="N147" s="183" t="s">
        <v>881</v>
      </c>
      <c r="O147" s="183">
        <v>0</v>
      </c>
      <c r="P147" s="183">
        <v>0</v>
      </c>
      <c r="Q147" s="183"/>
      <c r="R147" s="183"/>
      <c r="S147" s="183"/>
      <c r="T147" s="183"/>
      <c r="U147" s="183"/>
      <c r="V147" s="183">
        <v>0</v>
      </c>
      <c r="W147" s="183">
        <v>0</v>
      </c>
      <c r="X147" s="183">
        <v>0</v>
      </c>
      <c r="Y147" s="184">
        <v>0</v>
      </c>
      <c r="Z147" s="184">
        <v>3.32</v>
      </c>
      <c r="AA147" s="184">
        <v>0</v>
      </c>
      <c r="AB147" s="185" t="s">
        <v>615</v>
      </c>
      <c r="AC147" s="185" t="s">
        <v>615</v>
      </c>
      <c r="AD147" s="186" t="s">
        <v>881</v>
      </c>
      <c r="AE147" s="186" t="s">
        <v>858</v>
      </c>
      <c r="AF147" s="187">
        <v>7</v>
      </c>
      <c r="AG147" s="187">
        <v>3</v>
      </c>
      <c r="AH147" s="187">
        <v>4</v>
      </c>
      <c r="AI147" s="188">
        <v>1</v>
      </c>
      <c r="AJ147" s="188" t="s">
        <v>615</v>
      </c>
      <c r="AK147" s="187" t="s">
        <v>1738</v>
      </c>
      <c r="AL147" s="87" t="s">
        <v>615</v>
      </c>
      <c r="AM147" s="189"/>
      <c r="AN147" s="187" t="s">
        <v>615</v>
      </c>
      <c r="AO147" s="13" t="s">
        <v>615</v>
      </c>
      <c r="AP147" s="187">
        <v>0</v>
      </c>
      <c r="AQ147" s="187">
        <v>0</v>
      </c>
      <c r="AR147" s="190">
        <v>0</v>
      </c>
      <c r="AS147" s="190">
        <v>0</v>
      </c>
      <c r="AT147" s="190">
        <v>0</v>
      </c>
      <c r="AU147" s="187">
        <v>0</v>
      </c>
      <c r="AV147" s="187">
        <v>0</v>
      </c>
      <c r="AW147" s="191"/>
      <c r="AX147" s="192"/>
      <c r="AY147" s="193">
        <v>42666</v>
      </c>
      <c r="AZ147" s="193"/>
      <c r="BA147" s="193"/>
      <c r="BB147" s="194"/>
      <c r="BC147" s="194"/>
      <c r="BD147" s="195"/>
      <c r="BE147" s="195" t="s">
        <v>532</v>
      </c>
      <c r="BF147" s="195"/>
      <c r="BG147" s="195">
        <v>240</v>
      </c>
      <c r="BH147" s="196" t="s">
        <v>547</v>
      </c>
      <c r="BI147" s="197">
        <v>1</v>
      </c>
      <c r="BJ147" s="198"/>
      <c r="BK147" s="199">
        <v>0</v>
      </c>
      <c r="BL147" s="13">
        <v>0</v>
      </c>
      <c r="BM147" s="13">
        <v>0</v>
      </c>
      <c r="BN147" s="13" t="s">
        <v>616</v>
      </c>
      <c r="BO147" s="13" t="s">
        <v>616</v>
      </c>
      <c r="BP147" s="200">
        <v>0</v>
      </c>
      <c r="BQ147" s="201"/>
      <c r="BR147" s="202"/>
      <c r="BS147" s="187">
        <v>1000000000</v>
      </c>
      <c r="BT147" s="203">
        <v>0</v>
      </c>
      <c r="BU147" s="204">
        <v>0</v>
      </c>
      <c r="BV147" s="203">
        <v>0</v>
      </c>
      <c r="BW147" s="205">
        <v>0</v>
      </c>
      <c r="BX147" s="205">
        <v>0</v>
      </c>
      <c r="BY147" s="205">
        <v>0</v>
      </c>
      <c r="BZ147" s="203">
        <v>0</v>
      </c>
      <c r="CA147" s="203">
        <v>0</v>
      </c>
      <c r="CB147" s="203">
        <v>0</v>
      </c>
      <c r="CC147" s="204">
        <v>0</v>
      </c>
      <c r="CD147" s="203">
        <v>0</v>
      </c>
      <c r="CE147" s="203">
        <v>0</v>
      </c>
      <c r="CF147" s="13">
        <v>0</v>
      </c>
      <c r="CG147" s="206">
        <v>0</v>
      </c>
      <c r="CH147" s="207">
        <v>0</v>
      </c>
      <c r="CI147" s="201"/>
      <c r="CJ147" s="208"/>
      <c r="CK147" s="209" t="s">
        <v>615</v>
      </c>
      <c r="CL147" s="210" t="s">
        <v>615</v>
      </c>
      <c r="CM147" s="207">
        <v>0</v>
      </c>
      <c r="CN147" s="207">
        <v>0</v>
      </c>
      <c r="CO147" s="204">
        <v>0</v>
      </c>
      <c r="CP147" s="204">
        <v>0</v>
      </c>
      <c r="CQ147" s="211"/>
      <c r="CR147" s="204">
        <v>1</v>
      </c>
      <c r="CS147" s="212">
        <v>42558</v>
      </c>
      <c r="CT147" s="212">
        <v>42780</v>
      </c>
      <c r="CU147" s="213">
        <v>42780</v>
      </c>
      <c r="CV147" s="214">
        <v>42829</v>
      </c>
      <c r="CW147" s="214" t="s">
        <v>615</v>
      </c>
      <c r="CX147" s="214" t="s">
        <v>615</v>
      </c>
      <c r="CY147" s="204">
        <v>1</v>
      </c>
      <c r="CZ147" s="204">
        <v>0.97959183673469385</v>
      </c>
      <c r="DA147" s="203">
        <v>0</v>
      </c>
      <c r="DB147" s="204">
        <v>0.97959183673469385</v>
      </c>
      <c r="DC147" s="204">
        <v>0</v>
      </c>
      <c r="DD147" s="204">
        <v>0</v>
      </c>
      <c r="DE147" s="204">
        <v>0</v>
      </c>
      <c r="DF147" s="215">
        <v>0</v>
      </c>
      <c r="DG147" s="13" t="s">
        <v>615</v>
      </c>
      <c r="DH147" s="86">
        <v>145</v>
      </c>
      <c r="DI147" s="86"/>
      <c r="DJ147" s="86">
        <v>70</v>
      </c>
      <c r="DK147" s="86" t="s">
        <v>1556</v>
      </c>
      <c r="DL147" s="86" t="e">
        <v>#N/A</v>
      </c>
      <c r="DM147" s="86" t="e">
        <v>#N/A</v>
      </c>
      <c r="DN147" s="86" t="e">
        <v>#N/A</v>
      </c>
      <c r="DO147" s="86">
        <v>72</v>
      </c>
      <c r="DP147" s="86">
        <v>5</v>
      </c>
      <c r="DQ147" s="86">
        <v>49</v>
      </c>
      <c r="DR147" s="146">
        <v>0</v>
      </c>
      <c r="DS147" s="146">
        <v>0</v>
      </c>
      <c r="DT147" s="146">
        <v>0</v>
      </c>
      <c r="DU147" s="146">
        <v>0</v>
      </c>
      <c r="DV147" s="146">
        <v>0</v>
      </c>
      <c r="DW147" s="146">
        <v>0</v>
      </c>
      <c r="DX147" s="146">
        <v>0</v>
      </c>
      <c r="DY147" s="146">
        <v>0</v>
      </c>
      <c r="DZ147" s="146">
        <v>0</v>
      </c>
      <c r="EA147" s="146">
        <v>0</v>
      </c>
      <c r="EB147" s="146">
        <v>0</v>
      </c>
      <c r="EC147" s="146">
        <v>0</v>
      </c>
      <c r="ED147" s="146">
        <v>0</v>
      </c>
      <c r="EE147" s="146">
        <v>0</v>
      </c>
      <c r="EF147" s="146">
        <v>0</v>
      </c>
      <c r="EG147" s="146">
        <v>0</v>
      </c>
      <c r="EH147" s="146">
        <v>0</v>
      </c>
      <c r="EI147" s="146">
        <v>0</v>
      </c>
      <c r="EJ147" s="146">
        <v>0</v>
      </c>
      <c r="EK147" s="146">
        <v>0</v>
      </c>
      <c r="EL147" s="146">
        <v>0</v>
      </c>
      <c r="EM147" s="146">
        <v>0</v>
      </c>
      <c r="EN147" s="146">
        <v>0</v>
      </c>
      <c r="EO147" s="146">
        <v>0</v>
      </c>
      <c r="EP147" s="146">
        <v>0</v>
      </c>
      <c r="EQ147" s="146">
        <v>0</v>
      </c>
      <c r="ER147" s="146">
        <v>0</v>
      </c>
      <c r="ES147" s="146">
        <v>0</v>
      </c>
      <c r="ET147" s="146">
        <v>0</v>
      </c>
      <c r="EU147" s="146">
        <v>0</v>
      </c>
      <c r="EV147" s="146">
        <v>0</v>
      </c>
      <c r="EW147" s="146">
        <v>0</v>
      </c>
      <c r="EX147" s="146">
        <v>0</v>
      </c>
      <c r="EY147" s="146">
        <v>0</v>
      </c>
      <c r="EZ147" s="146">
        <v>0</v>
      </c>
      <c r="FA147" s="146">
        <v>0</v>
      </c>
      <c r="FB147" s="146">
        <v>0</v>
      </c>
      <c r="FC147" s="146">
        <v>0</v>
      </c>
      <c r="FD147" s="146">
        <v>0</v>
      </c>
      <c r="FE147" s="146">
        <v>0</v>
      </c>
      <c r="FF147" s="146">
        <v>0</v>
      </c>
      <c r="FG147" s="146">
        <v>0</v>
      </c>
      <c r="FH147" s="146">
        <v>0</v>
      </c>
      <c r="FI147" s="146">
        <v>0</v>
      </c>
      <c r="FJ147" s="146">
        <v>0</v>
      </c>
      <c r="FK147" s="146">
        <v>0</v>
      </c>
      <c r="FL147" s="146">
        <v>0</v>
      </c>
      <c r="FM147" s="146">
        <v>0</v>
      </c>
      <c r="FN147" s="146">
        <v>0</v>
      </c>
      <c r="FO147" s="146">
        <v>0</v>
      </c>
      <c r="FP147" s="146">
        <v>0</v>
      </c>
      <c r="FQ147" s="146">
        <v>0</v>
      </c>
      <c r="FR147" s="146">
        <v>0</v>
      </c>
      <c r="FS147" s="146">
        <v>0</v>
      </c>
      <c r="FT147" s="146">
        <v>0</v>
      </c>
      <c r="FU147" s="146">
        <v>0</v>
      </c>
      <c r="FV147" s="146">
        <v>0</v>
      </c>
      <c r="FW147" s="146">
        <v>0</v>
      </c>
      <c r="FX147" s="146">
        <v>0</v>
      </c>
      <c r="FY147" s="146">
        <v>0</v>
      </c>
      <c r="FZ147" s="146">
        <v>0</v>
      </c>
      <c r="GA147" s="146">
        <v>0</v>
      </c>
      <c r="GB147" s="146">
        <v>0</v>
      </c>
      <c r="GC147" s="146">
        <v>0</v>
      </c>
      <c r="GD147" s="146">
        <v>0</v>
      </c>
      <c r="GE147" s="146">
        <v>0</v>
      </c>
      <c r="GF147" s="146">
        <v>0</v>
      </c>
      <c r="GG147" s="146">
        <v>0</v>
      </c>
      <c r="GH147" s="146">
        <v>0</v>
      </c>
      <c r="GI147" s="146">
        <v>0</v>
      </c>
      <c r="GJ147" s="146">
        <v>0</v>
      </c>
      <c r="GK147" s="146">
        <v>0</v>
      </c>
      <c r="GL147" s="146">
        <v>0</v>
      </c>
      <c r="GM147" s="146">
        <v>0</v>
      </c>
      <c r="GN147" s="146">
        <v>0</v>
      </c>
      <c r="GO147" s="146">
        <v>0</v>
      </c>
      <c r="GP147" s="146">
        <v>0</v>
      </c>
      <c r="GQ147" s="146">
        <v>0</v>
      </c>
      <c r="GR147" s="146">
        <v>0</v>
      </c>
      <c r="GS147" s="146">
        <v>0</v>
      </c>
      <c r="GT147" s="146">
        <v>0</v>
      </c>
      <c r="GU147" s="146">
        <v>0</v>
      </c>
      <c r="GV147" s="146">
        <v>0</v>
      </c>
      <c r="GW147" s="146">
        <v>0</v>
      </c>
      <c r="GX147" s="146">
        <v>0</v>
      </c>
      <c r="GY147" s="146">
        <v>0</v>
      </c>
      <c r="GZ147" s="146">
        <v>0</v>
      </c>
      <c r="HA147" s="146">
        <v>0</v>
      </c>
      <c r="HB147" s="146">
        <v>0</v>
      </c>
      <c r="HC147" s="146">
        <v>0</v>
      </c>
      <c r="HD147" s="146">
        <v>0</v>
      </c>
      <c r="HE147" s="146">
        <v>0</v>
      </c>
      <c r="HF147" s="146">
        <v>0</v>
      </c>
      <c r="HG147" s="146">
        <v>0</v>
      </c>
      <c r="HH147" s="146">
        <v>0</v>
      </c>
      <c r="HI147" s="146">
        <v>0</v>
      </c>
      <c r="HJ147" s="146">
        <v>0</v>
      </c>
      <c r="HK147" s="146">
        <v>0</v>
      </c>
      <c r="HL147" s="146">
        <v>0</v>
      </c>
      <c r="HM147" s="146">
        <v>0</v>
      </c>
      <c r="HN147" s="146">
        <v>0</v>
      </c>
      <c r="HO147" s="146">
        <v>0</v>
      </c>
      <c r="HP147" s="146">
        <v>0</v>
      </c>
      <c r="HQ147" s="146">
        <v>0</v>
      </c>
      <c r="HR147" s="146">
        <v>0</v>
      </c>
      <c r="HS147" s="146">
        <v>0</v>
      </c>
      <c r="HT147" s="146">
        <v>0</v>
      </c>
      <c r="HU147" s="151"/>
      <c r="HV147" s="146">
        <v>0</v>
      </c>
      <c r="HW147" s="151"/>
      <c r="HX147" s="151"/>
      <c r="HY147" s="151"/>
      <c r="HZ147" s="151"/>
      <c r="IA147" s="151"/>
      <c r="IB147" s="151"/>
      <c r="IC147" s="151"/>
      <c r="ID147" s="151"/>
      <c r="IE147" s="151"/>
      <c r="IF147" s="151"/>
      <c r="IG147" s="151"/>
      <c r="IH147" s="151"/>
      <c r="II147" s="151"/>
      <c r="IJ147" s="151"/>
      <c r="IK147" s="151"/>
      <c r="IL147" s="151"/>
      <c r="IM147" s="151"/>
      <c r="IN147" s="151"/>
      <c r="IO147" s="151"/>
      <c r="IP147" s="151"/>
      <c r="IQ147" s="151"/>
      <c r="IR147" s="151"/>
      <c r="IS147" s="151"/>
      <c r="IT147" s="151"/>
      <c r="IU147" s="151"/>
      <c r="IV147" s="151"/>
      <c r="IW147" s="151"/>
      <c r="IX147" s="151"/>
      <c r="IY147" s="151"/>
      <c r="IZ147" s="151"/>
      <c r="JA147" s="151"/>
      <c r="JB147" s="151"/>
      <c r="JC147" s="151"/>
      <c r="JD147" s="151"/>
      <c r="JE147" s="151"/>
      <c r="JF147" s="151"/>
      <c r="JG147" s="151"/>
      <c r="JH147" s="151"/>
      <c r="JI147" s="151"/>
      <c r="JJ147" s="151"/>
      <c r="JK147" s="151"/>
      <c r="JL147" s="151"/>
      <c r="JM147" s="151"/>
      <c r="JN147" s="151"/>
      <c r="JO147" s="151"/>
      <c r="JP147" s="151"/>
      <c r="JQ147" s="151"/>
      <c r="JR147" s="151"/>
      <c r="JS147" s="151"/>
      <c r="JT147" s="151"/>
      <c r="JU147" s="151"/>
      <c r="JV147" s="151"/>
      <c r="JW147" s="151"/>
      <c r="JX147" s="151"/>
      <c r="JY147" s="151"/>
      <c r="JZ147" s="151"/>
      <c r="KA147" s="151"/>
      <c r="KB147" s="151"/>
      <c r="KC147" s="151"/>
      <c r="KD147" s="151"/>
      <c r="KE147" s="151"/>
      <c r="KF147" s="151"/>
      <c r="KG147" s="151"/>
      <c r="KH147" s="151"/>
      <c r="KI147" s="151"/>
      <c r="KJ147" s="151"/>
      <c r="KK147" s="151"/>
      <c r="KL147" s="151"/>
      <c r="KM147" s="151"/>
      <c r="KN147" s="151"/>
      <c r="KO147" s="151"/>
      <c r="KP147" s="151"/>
      <c r="KQ147" s="151"/>
      <c r="KR147" s="151"/>
      <c r="KS147" s="151"/>
      <c r="KT147" s="151"/>
      <c r="KU147" s="151"/>
      <c r="KV147" s="151"/>
      <c r="KW147" s="151"/>
      <c r="KX147" s="151"/>
      <c r="KY147" s="151"/>
      <c r="KZ147" s="151"/>
      <c r="LA147" s="151"/>
      <c r="LB147" s="151"/>
      <c r="LC147" s="151"/>
      <c r="LD147" s="151"/>
      <c r="LE147" s="151"/>
    </row>
    <row r="148" spans="1:317" x14ac:dyDescent="0.2">
      <c r="A148" s="179" t="s">
        <v>849</v>
      </c>
      <c r="B148" s="180" t="s">
        <v>1047</v>
      </c>
      <c r="C148" s="181"/>
      <c r="D148" s="182">
        <v>0</v>
      </c>
      <c r="E148" s="182">
        <v>0</v>
      </c>
      <c r="F148" s="183" t="s">
        <v>1311</v>
      </c>
      <c r="G148" s="183">
        <v>0</v>
      </c>
      <c r="H148" s="183">
        <v>0</v>
      </c>
      <c r="I148" s="183">
        <v>0</v>
      </c>
      <c r="J148" s="183">
        <v>0</v>
      </c>
      <c r="K148" s="183" t="s">
        <v>1368</v>
      </c>
      <c r="L148" s="183">
        <v>0</v>
      </c>
      <c r="M148" s="183">
        <v>0</v>
      </c>
      <c r="N148" s="183" t="s">
        <v>881</v>
      </c>
      <c r="O148" s="183">
        <v>0</v>
      </c>
      <c r="P148" s="183">
        <v>0</v>
      </c>
      <c r="Q148" s="183"/>
      <c r="R148" s="183"/>
      <c r="S148" s="183"/>
      <c r="T148" s="183"/>
      <c r="U148" s="183"/>
      <c r="V148" s="183">
        <v>0</v>
      </c>
      <c r="W148" s="183">
        <v>0</v>
      </c>
      <c r="X148" s="183">
        <v>0</v>
      </c>
      <c r="Y148" s="184">
        <v>0</v>
      </c>
      <c r="Z148" s="184">
        <v>5.76</v>
      </c>
      <c r="AA148" s="184">
        <v>0</v>
      </c>
      <c r="AB148" s="185" t="s">
        <v>615</v>
      </c>
      <c r="AC148" s="185" t="s">
        <v>615</v>
      </c>
      <c r="AD148" s="186" t="s">
        <v>881</v>
      </c>
      <c r="AE148" s="186" t="s">
        <v>858</v>
      </c>
      <c r="AF148" s="187">
        <v>7</v>
      </c>
      <c r="AG148" s="187">
        <v>3</v>
      </c>
      <c r="AH148" s="187">
        <v>4</v>
      </c>
      <c r="AI148" s="188">
        <v>1</v>
      </c>
      <c r="AJ148" s="188" t="s">
        <v>615</v>
      </c>
      <c r="AK148" s="187" t="s">
        <v>1738</v>
      </c>
      <c r="AL148" s="87" t="s">
        <v>615</v>
      </c>
      <c r="AM148" s="189"/>
      <c r="AN148" s="187" t="s">
        <v>615</v>
      </c>
      <c r="AO148" s="13" t="s">
        <v>615</v>
      </c>
      <c r="AP148" s="187">
        <v>0</v>
      </c>
      <c r="AQ148" s="187">
        <v>0</v>
      </c>
      <c r="AR148" s="190">
        <v>0</v>
      </c>
      <c r="AS148" s="190">
        <v>0</v>
      </c>
      <c r="AT148" s="190">
        <v>0</v>
      </c>
      <c r="AU148" s="187">
        <v>0</v>
      </c>
      <c r="AV148" s="187">
        <v>0</v>
      </c>
      <c r="AW148" s="191"/>
      <c r="AX148" s="192"/>
      <c r="AY148" s="193">
        <v>42666</v>
      </c>
      <c r="AZ148" s="193"/>
      <c r="BA148" s="193"/>
      <c r="BB148" s="194"/>
      <c r="BC148" s="194"/>
      <c r="BD148" s="195"/>
      <c r="BE148" s="195" t="s">
        <v>532</v>
      </c>
      <c r="BF148" s="195"/>
      <c r="BG148" s="195">
        <v>144</v>
      </c>
      <c r="BH148" s="196" t="s">
        <v>547</v>
      </c>
      <c r="BI148" s="197">
        <v>1</v>
      </c>
      <c r="BJ148" s="198"/>
      <c r="BK148" s="199">
        <v>0</v>
      </c>
      <c r="BL148" s="13">
        <v>0</v>
      </c>
      <c r="BM148" s="13">
        <v>0</v>
      </c>
      <c r="BN148" s="13" t="s">
        <v>616</v>
      </c>
      <c r="BO148" s="13" t="s">
        <v>616</v>
      </c>
      <c r="BP148" s="200">
        <v>0</v>
      </c>
      <c r="BQ148" s="201"/>
      <c r="BR148" s="202"/>
      <c r="BS148" s="187">
        <v>1000000000</v>
      </c>
      <c r="BT148" s="203">
        <v>0</v>
      </c>
      <c r="BU148" s="204">
        <v>0</v>
      </c>
      <c r="BV148" s="203">
        <v>0</v>
      </c>
      <c r="BW148" s="205">
        <v>0</v>
      </c>
      <c r="BX148" s="205">
        <v>0</v>
      </c>
      <c r="BY148" s="205">
        <v>0</v>
      </c>
      <c r="BZ148" s="203">
        <v>0</v>
      </c>
      <c r="CA148" s="203">
        <v>0</v>
      </c>
      <c r="CB148" s="203">
        <v>0</v>
      </c>
      <c r="CC148" s="204">
        <v>0</v>
      </c>
      <c r="CD148" s="203">
        <v>0</v>
      </c>
      <c r="CE148" s="203">
        <v>0</v>
      </c>
      <c r="CF148" s="13">
        <v>0</v>
      </c>
      <c r="CG148" s="206">
        <v>0</v>
      </c>
      <c r="CH148" s="207">
        <v>0</v>
      </c>
      <c r="CI148" s="201"/>
      <c r="CJ148" s="208"/>
      <c r="CK148" s="209" t="s">
        <v>615</v>
      </c>
      <c r="CL148" s="210" t="s">
        <v>615</v>
      </c>
      <c r="CM148" s="207">
        <v>0</v>
      </c>
      <c r="CN148" s="207">
        <v>0</v>
      </c>
      <c r="CO148" s="204">
        <v>0</v>
      </c>
      <c r="CP148" s="204">
        <v>0</v>
      </c>
      <c r="CQ148" s="211"/>
      <c r="CR148" s="204">
        <v>1</v>
      </c>
      <c r="CS148" s="212">
        <v>42558</v>
      </c>
      <c r="CT148" s="212">
        <v>42780</v>
      </c>
      <c r="CU148" s="213">
        <v>42780</v>
      </c>
      <c r="CV148" s="214">
        <v>42829</v>
      </c>
      <c r="CW148" s="214" t="s">
        <v>615</v>
      </c>
      <c r="CX148" s="214" t="s">
        <v>615</v>
      </c>
      <c r="CY148" s="204">
        <v>1</v>
      </c>
      <c r="CZ148" s="204">
        <v>0.97959183673469385</v>
      </c>
      <c r="DA148" s="203">
        <v>0</v>
      </c>
      <c r="DB148" s="204">
        <v>0.97959183673469385</v>
      </c>
      <c r="DC148" s="204">
        <v>0</v>
      </c>
      <c r="DD148" s="204">
        <v>0</v>
      </c>
      <c r="DE148" s="204">
        <v>0</v>
      </c>
      <c r="DF148" s="215">
        <v>0</v>
      </c>
      <c r="DG148" s="13" t="s">
        <v>615</v>
      </c>
      <c r="DH148" s="86">
        <v>146</v>
      </c>
      <c r="DI148" s="86"/>
      <c r="DJ148" s="86">
        <v>71</v>
      </c>
      <c r="DK148" s="86" t="s">
        <v>1557</v>
      </c>
      <c r="DL148" s="86" t="e">
        <v>#N/A</v>
      </c>
      <c r="DM148" s="86" t="e">
        <v>#N/A</v>
      </c>
      <c r="DN148" s="86" t="e">
        <v>#N/A</v>
      </c>
      <c r="DO148" s="86">
        <v>73</v>
      </c>
      <c r="DP148" s="86">
        <v>5</v>
      </c>
      <c r="DQ148" s="86">
        <v>49</v>
      </c>
      <c r="DR148" s="152">
        <v>0</v>
      </c>
      <c r="DS148" s="152">
        <v>0</v>
      </c>
      <c r="DT148" s="152">
        <v>0</v>
      </c>
      <c r="DU148" s="152">
        <v>0</v>
      </c>
      <c r="DV148" s="152">
        <v>0</v>
      </c>
      <c r="DW148" s="152">
        <v>0</v>
      </c>
      <c r="DX148" s="152">
        <v>0</v>
      </c>
      <c r="DY148" s="152">
        <v>0</v>
      </c>
      <c r="DZ148" s="152">
        <v>0</v>
      </c>
      <c r="EA148" s="152">
        <v>0</v>
      </c>
      <c r="EB148" s="152">
        <v>0</v>
      </c>
      <c r="EC148" s="152">
        <v>0</v>
      </c>
      <c r="ED148" s="152">
        <v>0</v>
      </c>
      <c r="EE148" s="152">
        <v>0</v>
      </c>
      <c r="EF148" s="152">
        <v>0</v>
      </c>
      <c r="EG148" s="152">
        <v>0</v>
      </c>
      <c r="EH148" s="152">
        <v>0</v>
      </c>
      <c r="EI148" s="152">
        <v>0</v>
      </c>
      <c r="EJ148" s="152">
        <v>0</v>
      </c>
      <c r="EK148" s="152">
        <v>0</v>
      </c>
      <c r="EL148" s="152">
        <v>0</v>
      </c>
      <c r="EM148" s="152">
        <v>0</v>
      </c>
      <c r="EN148" s="152">
        <v>0</v>
      </c>
      <c r="EO148" s="152">
        <v>0</v>
      </c>
      <c r="EP148" s="152">
        <v>0</v>
      </c>
      <c r="EQ148" s="152">
        <v>0</v>
      </c>
      <c r="ER148" s="152">
        <v>0</v>
      </c>
      <c r="ES148" s="152">
        <v>0</v>
      </c>
      <c r="ET148" s="152">
        <v>0</v>
      </c>
      <c r="EU148" s="152">
        <v>0</v>
      </c>
      <c r="EV148" s="152">
        <v>0</v>
      </c>
      <c r="EW148" s="152">
        <v>0</v>
      </c>
      <c r="EX148" s="152">
        <v>0</v>
      </c>
      <c r="EY148" s="152">
        <v>0</v>
      </c>
      <c r="EZ148" s="152">
        <v>0</v>
      </c>
      <c r="FA148" s="152">
        <v>0</v>
      </c>
      <c r="FB148" s="152">
        <v>0</v>
      </c>
      <c r="FC148" s="152">
        <v>0</v>
      </c>
      <c r="FD148" s="152">
        <v>0</v>
      </c>
      <c r="FE148" s="152">
        <v>0</v>
      </c>
      <c r="FF148" s="152">
        <v>0</v>
      </c>
      <c r="FG148" s="152">
        <v>0</v>
      </c>
      <c r="FH148" s="152">
        <v>0</v>
      </c>
      <c r="FI148" s="152">
        <v>0</v>
      </c>
      <c r="FJ148" s="152">
        <v>0</v>
      </c>
      <c r="FK148" s="152">
        <v>0</v>
      </c>
      <c r="FL148" s="152">
        <v>0</v>
      </c>
      <c r="FM148" s="152">
        <v>0</v>
      </c>
      <c r="FN148" s="152">
        <v>0</v>
      </c>
      <c r="FO148" s="152">
        <v>0</v>
      </c>
      <c r="FP148" s="152">
        <v>0</v>
      </c>
      <c r="FQ148" s="152">
        <v>0</v>
      </c>
      <c r="FR148" s="152">
        <v>0</v>
      </c>
      <c r="FS148" s="152">
        <v>0</v>
      </c>
      <c r="FT148" s="152">
        <v>0</v>
      </c>
      <c r="FU148" s="152">
        <v>0</v>
      </c>
      <c r="FV148" s="152">
        <v>0</v>
      </c>
      <c r="FW148" s="152">
        <v>0</v>
      </c>
      <c r="FX148" s="152">
        <v>0</v>
      </c>
      <c r="FY148" s="152">
        <v>0</v>
      </c>
      <c r="FZ148" s="152">
        <v>0</v>
      </c>
      <c r="GA148" s="152">
        <v>0</v>
      </c>
      <c r="GB148" s="152">
        <v>0</v>
      </c>
      <c r="GC148" s="152">
        <v>0</v>
      </c>
      <c r="GD148" s="152">
        <v>0</v>
      </c>
      <c r="GE148" s="152">
        <v>0</v>
      </c>
      <c r="GF148" s="152">
        <v>0</v>
      </c>
      <c r="GG148" s="152">
        <v>0</v>
      </c>
      <c r="GH148" s="152">
        <v>0</v>
      </c>
      <c r="GI148" s="152">
        <v>0</v>
      </c>
      <c r="GJ148" s="152">
        <v>0</v>
      </c>
      <c r="GK148" s="152">
        <v>0</v>
      </c>
      <c r="GL148" s="152">
        <v>0</v>
      </c>
      <c r="GM148" s="152">
        <v>0</v>
      </c>
      <c r="GN148" s="152">
        <v>0</v>
      </c>
      <c r="GO148" s="152">
        <v>0</v>
      </c>
      <c r="GP148" s="152">
        <v>0</v>
      </c>
      <c r="GQ148" s="152">
        <v>0</v>
      </c>
      <c r="GR148" s="152">
        <v>0</v>
      </c>
      <c r="GS148" s="152">
        <v>0</v>
      </c>
      <c r="GT148" s="152">
        <v>0</v>
      </c>
      <c r="GU148" s="152">
        <v>0</v>
      </c>
      <c r="GV148" s="152">
        <v>0</v>
      </c>
      <c r="GW148" s="152">
        <v>0</v>
      </c>
      <c r="GX148" s="152">
        <v>0</v>
      </c>
      <c r="GY148" s="152">
        <v>0</v>
      </c>
      <c r="GZ148" s="152">
        <v>0</v>
      </c>
      <c r="HA148" s="152">
        <v>0</v>
      </c>
      <c r="HB148" s="152">
        <v>0</v>
      </c>
      <c r="HC148" s="152">
        <v>0</v>
      </c>
      <c r="HD148" s="152">
        <v>0</v>
      </c>
      <c r="HE148" s="152">
        <v>0</v>
      </c>
      <c r="HF148" s="152">
        <v>0</v>
      </c>
      <c r="HG148" s="152">
        <v>0</v>
      </c>
      <c r="HH148" s="152">
        <v>0</v>
      </c>
      <c r="HI148" s="152">
        <v>0</v>
      </c>
      <c r="HJ148" s="152">
        <v>0</v>
      </c>
      <c r="HK148" s="152">
        <v>0</v>
      </c>
      <c r="HL148" s="152">
        <v>0</v>
      </c>
      <c r="HM148" s="152">
        <v>0</v>
      </c>
      <c r="HN148" s="152">
        <v>0</v>
      </c>
      <c r="HO148" s="152">
        <v>0</v>
      </c>
      <c r="HP148" s="152">
        <v>0</v>
      </c>
      <c r="HQ148" s="152">
        <v>0</v>
      </c>
      <c r="HR148" s="152">
        <v>0</v>
      </c>
      <c r="HS148" s="152">
        <v>0</v>
      </c>
      <c r="HT148" s="152">
        <v>0</v>
      </c>
      <c r="HU148" s="216"/>
      <c r="HV148" s="152">
        <v>0</v>
      </c>
      <c r="HW148" s="216"/>
      <c r="HX148" s="216"/>
      <c r="HY148" s="216"/>
      <c r="HZ148" s="216"/>
      <c r="IA148" s="216"/>
      <c r="IB148" s="216"/>
      <c r="IC148" s="216"/>
      <c r="ID148" s="216"/>
      <c r="IE148" s="216"/>
      <c r="IF148" s="216"/>
      <c r="IG148" s="216"/>
      <c r="IH148" s="216"/>
      <c r="II148" s="216"/>
      <c r="IJ148" s="216"/>
      <c r="IK148" s="216"/>
      <c r="IL148" s="216"/>
      <c r="IM148" s="216"/>
      <c r="IN148" s="216"/>
      <c r="IO148" s="216"/>
      <c r="IP148" s="216"/>
      <c r="IQ148" s="216"/>
      <c r="IR148" s="216"/>
      <c r="IS148" s="216"/>
      <c r="IT148" s="216"/>
      <c r="IU148" s="216"/>
      <c r="IV148" s="216"/>
      <c r="IW148" s="216"/>
      <c r="IX148" s="216"/>
      <c r="IY148" s="216"/>
      <c r="IZ148" s="216"/>
      <c r="JA148" s="216"/>
      <c r="JB148" s="216"/>
      <c r="JC148" s="216"/>
      <c r="JD148" s="216"/>
      <c r="JE148" s="216"/>
      <c r="JF148" s="216"/>
      <c r="JG148" s="216"/>
      <c r="JH148" s="216"/>
      <c r="JI148" s="216"/>
      <c r="JJ148" s="216"/>
      <c r="JK148" s="216"/>
      <c r="JL148" s="216"/>
      <c r="JM148" s="216"/>
      <c r="JN148" s="216"/>
      <c r="JO148" s="216"/>
      <c r="JP148" s="216"/>
      <c r="JQ148" s="216"/>
      <c r="JR148" s="216"/>
      <c r="JS148" s="216"/>
      <c r="JT148" s="216"/>
      <c r="JU148" s="216"/>
      <c r="JV148" s="216"/>
      <c r="JW148" s="216"/>
      <c r="JX148" s="216"/>
      <c r="JY148" s="216"/>
      <c r="JZ148" s="216"/>
      <c r="KA148" s="216"/>
      <c r="KB148" s="216"/>
      <c r="KC148" s="216"/>
      <c r="KD148" s="216"/>
      <c r="KE148" s="216"/>
      <c r="KF148" s="216"/>
      <c r="KG148" s="216"/>
      <c r="KH148" s="216"/>
      <c r="KI148" s="216"/>
      <c r="KJ148" s="216"/>
      <c r="KK148" s="216"/>
      <c r="KL148" s="216"/>
      <c r="KM148" s="216"/>
      <c r="KN148" s="216"/>
      <c r="KO148" s="216"/>
      <c r="KP148" s="216"/>
      <c r="KQ148" s="216"/>
      <c r="KR148" s="216"/>
      <c r="KS148" s="216"/>
      <c r="KT148" s="216"/>
      <c r="KU148" s="216"/>
      <c r="KV148" s="216"/>
      <c r="KW148" s="216"/>
      <c r="KX148" s="216"/>
      <c r="KY148" s="216"/>
      <c r="KZ148" s="216"/>
      <c r="LA148" s="216"/>
      <c r="LB148" s="216"/>
      <c r="LC148" s="216"/>
      <c r="LD148" s="216"/>
      <c r="LE148" s="216"/>
    </row>
    <row r="149" spans="1:317" x14ac:dyDescent="0.2">
      <c r="A149" s="179" t="s">
        <v>849</v>
      </c>
      <c r="B149" s="180" t="s">
        <v>1048</v>
      </c>
      <c r="C149" s="181"/>
      <c r="D149" s="182">
        <v>0</v>
      </c>
      <c r="E149" s="182">
        <v>0</v>
      </c>
      <c r="F149" s="183" t="s">
        <v>1311</v>
      </c>
      <c r="G149" s="183">
        <v>0</v>
      </c>
      <c r="H149" s="183">
        <v>0</v>
      </c>
      <c r="I149" s="183">
        <v>0</v>
      </c>
      <c r="J149" s="183">
        <v>0</v>
      </c>
      <c r="K149" s="183" t="s">
        <v>1368</v>
      </c>
      <c r="L149" s="183">
        <v>0</v>
      </c>
      <c r="M149" s="183">
        <v>0</v>
      </c>
      <c r="N149" s="183" t="s">
        <v>881</v>
      </c>
      <c r="O149" s="183">
        <v>0</v>
      </c>
      <c r="P149" s="183">
        <v>0</v>
      </c>
      <c r="Q149" s="183"/>
      <c r="R149" s="183"/>
      <c r="S149" s="183"/>
      <c r="T149" s="183"/>
      <c r="U149" s="183"/>
      <c r="V149" s="183">
        <v>0</v>
      </c>
      <c r="W149" s="183">
        <v>0</v>
      </c>
      <c r="X149" s="183">
        <v>0</v>
      </c>
      <c r="Y149" s="184">
        <v>0</v>
      </c>
      <c r="Z149" s="184">
        <v>7.48</v>
      </c>
      <c r="AA149" s="184">
        <v>0</v>
      </c>
      <c r="AB149" s="185" t="s">
        <v>615</v>
      </c>
      <c r="AC149" s="185" t="s">
        <v>615</v>
      </c>
      <c r="AD149" s="186" t="s">
        <v>881</v>
      </c>
      <c r="AE149" s="186" t="s">
        <v>858</v>
      </c>
      <c r="AF149" s="187">
        <v>7</v>
      </c>
      <c r="AG149" s="187">
        <v>3</v>
      </c>
      <c r="AH149" s="187">
        <v>4</v>
      </c>
      <c r="AI149" s="188">
        <v>1</v>
      </c>
      <c r="AJ149" s="188" t="s">
        <v>615</v>
      </c>
      <c r="AK149" s="187" t="s">
        <v>1738</v>
      </c>
      <c r="AL149" s="87" t="s">
        <v>615</v>
      </c>
      <c r="AM149" s="189"/>
      <c r="AN149" s="187" t="s">
        <v>615</v>
      </c>
      <c r="AO149" s="13" t="s">
        <v>615</v>
      </c>
      <c r="AP149" s="187">
        <v>0</v>
      </c>
      <c r="AQ149" s="187">
        <v>0</v>
      </c>
      <c r="AR149" s="190">
        <v>0</v>
      </c>
      <c r="AS149" s="190">
        <v>0</v>
      </c>
      <c r="AT149" s="190">
        <v>0</v>
      </c>
      <c r="AU149" s="187">
        <v>0</v>
      </c>
      <c r="AV149" s="187">
        <v>0</v>
      </c>
      <c r="AW149" s="191"/>
      <c r="AX149" s="192"/>
      <c r="AY149" s="193">
        <v>42666</v>
      </c>
      <c r="AZ149" s="193"/>
      <c r="BA149" s="193"/>
      <c r="BB149" s="194"/>
      <c r="BC149" s="194"/>
      <c r="BD149" s="195"/>
      <c r="BE149" s="195" t="s">
        <v>532</v>
      </c>
      <c r="BF149" s="195"/>
      <c r="BG149" s="195">
        <v>96</v>
      </c>
      <c r="BH149" s="196" t="s">
        <v>547</v>
      </c>
      <c r="BI149" s="197">
        <v>1</v>
      </c>
      <c r="BJ149" s="198"/>
      <c r="BK149" s="199">
        <v>0</v>
      </c>
      <c r="BL149" s="13">
        <v>0</v>
      </c>
      <c r="BM149" s="13">
        <v>0</v>
      </c>
      <c r="BN149" s="13" t="s">
        <v>616</v>
      </c>
      <c r="BO149" s="13" t="s">
        <v>616</v>
      </c>
      <c r="BP149" s="200">
        <v>0</v>
      </c>
      <c r="BQ149" s="201"/>
      <c r="BR149" s="202"/>
      <c r="BS149" s="187">
        <v>1000000000</v>
      </c>
      <c r="BT149" s="203">
        <v>0</v>
      </c>
      <c r="BU149" s="204">
        <v>0</v>
      </c>
      <c r="BV149" s="203">
        <v>0</v>
      </c>
      <c r="BW149" s="205">
        <v>0</v>
      </c>
      <c r="BX149" s="205">
        <v>0</v>
      </c>
      <c r="BY149" s="205">
        <v>0</v>
      </c>
      <c r="BZ149" s="203">
        <v>0</v>
      </c>
      <c r="CA149" s="203">
        <v>0</v>
      </c>
      <c r="CB149" s="203">
        <v>0</v>
      </c>
      <c r="CC149" s="204">
        <v>0</v>
      </c>
      <c r="CD149" s="203">
        <v>0</v>
      </c>
      <c r="CE149" s="203">
        <v>0</v>
      </c>
      <c r="CF149" s="13">
        <v>0</v>
      </c>
      <c r="CG149" s="206">
        <v>0</v>
      </c>
      <c r="CH149" s="207">
        <v>0</v>
      </c>
      <c r="CI149" s="201"/>
      <c r="CJ149" s="208"/>
      <c r="CK149" s="209" t="s">
        <v>615</v>
      </c>
      <c r="CL149" s="210" t="s">
        <v>615</v>
      </c>
      <c r="CM149" s="207">
        <v>0</v>
      </c>
      <c r="CN149" s="207">
        <v>0</v>
      </c>
      <c r="CO149" s="204">
        <v>0</v>
      </c>
      <c r="CP149" s="204">
        <v>0</v>
      </c>
      <c r="CQ149" s="211"/>
      <c r="CR149" s="204">
        <v>1</v>
      </c>
      <c r="CS149" s="212">
        <v>42558</v>
      </c>
      <c r="CT149" s="212">
        <v>42780</v>
      </c>
      <c r="CU149" s="213">
        <v>42780</v>
      </c>
      <c r="CV149" s="214">
        <v>42829</v>
      </c>
      <c r="CW149" s="214" t="s">
        <v>615</v>
      </c>
      <c r="CX149" s="214" t="s">
        <v>615</v>
      </c>
      <c r="CY149" s="204">
        <v>1</v>
      </c>
      <c r="CZ149" s="204">
        <v>0.97959183673469385</v>
      </c>
      <c r="DA149" s="203">
        <v>0</v>
      </c>
      <c r="DB149" s="204">
        <v>0.97959183673469385</v>
      </c>
      <c r="DC149" s="204">
        <v>0</v>
      </c>
      <c r="DD149" s="204">
        <v>0</v>
      </c>
      <c r="DE149" s="204">
        <v>0</v>
      </c>
      <c r="DF149" s="215">
        <v>0</v>
      </c>
      <c r="DG149" s="13" t="s">
        <v>615</v>
      </c>
      <c r="DH149" s="86">
        <v>147</v>
      </c>
      <c r="DI149" s="86"/>
      <c r="DJ149" s="86">
        <v>72</v>
      </c>
      <c r="DK149" s="86" t="s">
        <v>1558</v>
      </c>
      <c r="DL149" s="86" t="e">
        <v>#N/A</v>
      </c>
      <c r="DM149" s="86" t="e">
        <v>#N/A</v>
      </c>
      <c r="DN149" s="86" t="e">
        <v>#N/A</v>
      </c>
      <c r="DO149" s="86">
        <v>74</v>
      </c>
      <c r="DP149" s="86">
        <v>5</v>
      </c>
      <c r="DQ149" s="86">
        <v>49</v>
      </c>
      <c r="DR149" s="146">
        <v>0</v>
      </c>
      <c r="DS149" s="146">
        <v>0</v>
      </c>
      <c r="DT149" s="146">
        <v>0</v>
      </c>
      <c r="DU149" s="146">
        <v>0</v>
      </c>
      <c r="DV149" s="146">
        <v>0</v>
      </c>
      <c r="DW149" s="146">
        <v>0</v>
      </c>
      <c r="DX149" s="146">
        <v>0</v>
      </c>
      <c r="DY149" s="146">
        <v>0</v>
      </c>
      <c r="DZ149" s="146">
        <v>0</v>
      </c>
      <c r="EA149" s="146">
        <v>0</v>
      </c>
      <c r="EB149" s="146">
        <v>0</v>
      </c>
      <c r="EC149" s="146">
        <v>0</v>
      </c>
      <c r="ED149" s="146">
        <v>0</v>
      </c>
      <c r="EE149" s="146">
        <v>0</v>
      </c>
      <c r="EF149" s="146">
        <v>0</v>
      </c>
      <c r="EG149" s="146">
        <v>0</v>
      </c>
      <c r="EH149" s="146">
        <v>0</v>
      </c>
      <c r="EI149" s="146">
        <v>0</v>
      </c>
      <c r="EJ149" s="146">
        <v>0</v>
      </c>
      <c r="EK149" s="146">
        <v>0</v>
      </c>
      <c r="EL149" s="146">
        <v>0</v>
      </c>
      <c r="EM149" s="146">
        <v>0</v>
      </c>
      <c r="EN149" s="146">
        <v>0</v>
      </c>
      <c r="EO149" s="146">
        <v>0</v>
      </c>
      <c r="EP149" s="146">
        <v>0</v>
      </c>
      <c r="EQ149" s="146">
        <v>0</v>
      </c>
      <c r="ER149" s="146">
        <v>0</v>
      </c>
      <c r="ES149" s="146">
        <v>0</v>
      </c>
      <c r="ET149" s="146">
        <v>0</v>
      </c>
      <c r="EU149" s="146">
        <v>0</v>
      </c>
      <c r="EV149" s="146">
        <v>0</v>
      </c>
      <c r="EW149" s="146">
        <v>0</v>
      </c>
      <c r="EX149" s="146">
        <v>0</v>
      </c>
      <c r="EY149" s="146">
        <v>0</v>
      </c>
      <c r="EZ149" s="146">
        <v>0</v>
      </c>
      <c r="FA149" s="146">
        <v>0</v>
      </c>
      <c r="FB149" s="146">
        <v>0</v>
      </c>
      <c r="FC149" s="146">
        <v>0</v>
      </c>
      <c r="FD149" s="146">
        <v>0</v>
      </c>
      <c r="FE149" s="146">
        <v>0</v>
      </c>
      <c r="FF149" s="146">
        <v>0</v>
      </c>
      <c r="FG149" s="146">
        <v>0</v>
      </c>
      <c r="FH149" s="146">
        <v>0</v>
      </c>
      <c r="FI149" s="146">
        <v>0</v>
      </c>
      <c r="FJ149" s="146">
        <v>0</v>
      </c>
      <c r="FK149" s="146">
        <v>0</v>
      </c>
      <c r="FL149" s="146">
        <v>0</v>
      </c>
      <c r="FM149" s="146">
        <v>0</v>
      </c>
      <c r="FN149" s="146">
        <v>0</v>
      </c>
      <c r="FO149" s="146">
        <v>0</v>
      </c>
      <c r="FP149" s="146">
        <v>0</v>
      </c>
      <c r="FQ149" s="146">
        <v>0</v>
      </c>
      <c r="FR149" s="146">
        <v>0</v>
      </c>
      <c r="FS149" s="146">
        <v>0</v>
      </c>
      <c r="FT149" s="146">
        <v>0</v>
      </c>
      <c r="FU149" s="146">
        <v>0</v>
      </c>
      <c r="FV149" s="146">
        <v>0</v>
      </c>
      <c r="FW149" s="146">
        <v>0</v>
      </c>
      <c r="FX149" s="146">
        <v>0</v>
      </c>
      <c r="FY149" s="146">
        <v>0</v>
      </c>
      <c r="FZ149" s="146">
        <v>0</v>
      </c>
      <c r="GA149" s="146">
        <v>0</v>
      </c>
      <c r="GB149" s="146">
        <v>0</v>
      </c>
      <c r="GC149" s="146">
        <v>0</v>
      </c>
      <c r="GD149" s="146">
        <v>0</v>
      </c>
      <c r="GE149" s="146">
        <v>0</v>
      </c>
      <c r="GF149" s="146">
        <v>0</v>
      </c>
      <c r="GG149" s="146">
        <v>0</v>
      </c>
      <c r="GH149" s="146">
        <v>0</v>
      </c>
      <c r="GI149" s="146">
        <v>0</v>
      </c>
      <c r="GJ149" s="146">
        <v>0</v>
      </c>
      <c r="GK149" s="146">
        <v>0</v>
      </c>
      <c r="GL149" s="146">
        <v>0</v>
      </c>
      <c r="GM149" s="146">
        <v>0</v>
      </c>
      <c r="GN149" s="146">
        <v>0</v>
      </c>
      <c r="GO149" s="146">
        <v>0</v>
      </c>
      <c r="GP149" s="146">
        <v>0</v>
      </c>
      <c r="GQ149" s="146">
        <v>0</v>
      </c>
      <c r="GR149" s="146">
        <v>0</v>
      </c>
      <c r="GS149" s="146">
        <v>0</v>
      </c>
      <c r="GT149" s="146">
        <v>0</v>
      </c>
      <c r="GU149" s="146">
        <v>0</v>
      </c>
      <c r="GV149" s="146">
        <v>0</v>
      </c>
      <c r="GW149" s="146">
        <v>0</v>
      </c>
      <c r="GX149" s="146">
        <v>0</v>
      </c>
      <c r="GY149" s="146">
        <v>0</v>
      </c>
      <c r="GZ149" s="146">
        <v>0</v>
      </c>
      <c r="HA149" s="146">
        <v>0</v>
      </c>
      <c r="HB149" s="146">
        <v>0</v>
      </c>
      <c r="HC149" s="146">
        <v>0</v>
      </c>
      <c r="HD149" s="146">
        <v>0</v>
      </c>
      <c r="HE149" s="146">
        <v>0</v>
      </c>
      <c r="HF149" s="146">
        <v>0</v>
      </c>
      <c r="HG149" s="146">
        <v>0</v>
      </c>
      <c r="HH149" s="146">
        <v>0</v>
      </c>
      <c r="HI149" s="146">
        <v>0</v>
      </c>
      <c r="HJ149" s="146">
        <v>0</v>
      </c>
      <c r="HK149" s="146">
        <v>0</v>
      </c>
      <c r="HL149" s="146">
        <v>0</v>
      </c>
      <c r="HM149" s="146">
        <v>0</v>
      </c>
      <c r="HN149" s="146">
        <v>0</v>
      </c>
      <c r="HO149" s="146">
        <v>0</v>
      </c>
      <c r="HP149" s="146">
        <v>0</v>
      </c>
      <c r="HQ149" s="146">
        <v>0</v>
      </c>
      <c r="HR149" s="146">
        <v>0</v>
      </c>
      <c r="HS149" s="146">
        <v>0</v>
      </c>
      <c r="HT149" s="146">
        <v>0</v>
      </c>
      <c r="HU149" s="151"/>
      <c r="HV149" s="146">
        <v>0</v>
      </c>
      <c r="HW149" s="151"/>
      <c r="HX149" s="151"/>
      <c r="HY149" s="151"/>
      <c r="HZ149" s="151"/>
      <c r="IA149" s="151"/>
      <c r="IB149" s="151"/>
      <c r="IC149" s="151"/>
      <c r="ID149" s="151"/>
      <c r="IE149" s="151"/>
      <c r="IF149" s="151"/>
      <c r="IG149" s="151"/>
      <c r="IH149" s="151"/>
      <c r="II149" s="151"/>
      <c r="IJ149" s="151"/>
      <c r="IK149" s="151"/>
      <c r="IL149" s="151"/>
      <c r="IM149" s="151"/>
      <c r="IN149" s="151"/>
      <c r="IO149" s="151"/>
      <c r="IP149" s="151"/>
      <c r="IQ149" s="151"/>
      <c r="IR149" s="151"/>
      <c r="IS149" s="151"/>
      <c r="IT149" s="151"/>
      <c r="IU149" s="151"/>
      <c r="IV149" s="151"/>
      <c r="IW149" s="151"/>
      <c r="IX149" s="151"/>
      <c r="IY149" s="151"/>
      <c r="IZ149" s="151"/>
      <c r="JA149" s="151"/>
      <c r="JB149" s="151"/>
      <c r="JC149" s="151"/>
      <c r="JD149" s="151"/>
      <c r="JE149" s="151"/>
      <c r="JF149" s="151"/>
      <c r="JG149" s="151"/>
      <c r="JH149" s="151"/>
      <c r="JI149" s="151"/>
      <c r="JJ149" s="151"/>
      <c r="JK149" s="151"/>
      <c r="JL149" s="151"/>
      <c r="JM149" s="151"/>
      <c r="JN149" s="151"/>
      <c r="JO149" s="151"/>
      <c r="JP149" s="151"/>
      <c r="JQ149" s="151"/>
      <c r="JR149" s="151"/>
      <c r="JS149" s="151"/>
      <c r="JT149" s="151"/>
      <c r="JU149" s="151"/>
      <c r="JV149" s="151"/>
      <c r="JW149" s="151"/>
      <c r="JX149" s="151"/>
      <c r="JY149" s="151"/>
      <c r="JZ149" s="151"/>
      <c r="KA149" s="151"/>
      <c r="KB149" s="151"/>
      <c r="KC149" s="151"/>
      <c r="KD149" s="151"/>
      <c r="KE149" s="151"/>
      <c r="KF149" s="151"/>
      <c r="KG149" s="151"/>
      <c r="KH149" s="151"/>
      <c r="KI149" s="151"/>
      <c r="KJ149" s="151"/>
      <c r="KK149" s="151"/>
      <c r="KL149" s="151"/>
      <c r="KM149" s="151"/>
      <c r="KN149" s="151"/>
      <c r="KO149" s="151"/>
      <c r="KP149" s="151"/>
      <c r="KQ149" s="151"/>
      <c r="KR149" s="151"/>
      <c r="KS149" s="151"/>
      <c r="KT149" s="151"/>
      <c r="KU149" s="151"/>
      <c r="KV149" s="151"/>
      <c r="KW149" s="151"/>
      <c r="KX149" s="151"/>
      <c r="KY149" s="151"/>
      <c r="KZ149" s="151"/>
      <c r="LA149" s="151"/>
      <c r="LB149" s="151"/>
      <c r="LC149" s="151"/>
      <c r="LD149" s="151"/>
      <c r="LE149" s="151"/>
    </row>
    <row r="150" spans="1:317" x14ac:dyDescent="0.2">
      <c r="A150" s="179" t="s">
        <v>849</v>
      </c>
      <c r="B150" s="180" t="s">
        <v>1049</v>
      </c>
      <c r="C150" s="181"/>
      <c r="D150" s="182">
        <v>0</v>
      </c>
      <c r="E150" s="182">
        <v>0</v>
      </c>
      <c r="F150" s="183" t="s">
        <v>1312</v>
      </c>
      <c r="G150" s="183">
        <v>0</v>
      </c>
      <c r="H150" s="183">
        <v>0</v>
      </c>
      <c r="I150" s="183">
        <v>0</v>
      </c>
      <c r="J150" s="183">
        <v>0</v>
      </c>
      <c r="K150" s="183" t="s">
        <v>1368</v>
      </c>
      <c r="L150" s="183">
        <v>0</v>
      </c>
      <c r="M150" s="183">
        <v>0</v>
      </c>
      <c r="N150" s="183" t="s">
        <v>881</v>
      </c>
      <c r="O150" s="183">
        <v>0</v>
      </c>
      <c r="P150" s="183">
        <v>0</v>
      </c>
      <c r="Q150" s="183"/>
      <c r="R150" s="183"/>
      <c r="S150" s="183"/>
      <c r="T150" s="183"/>
      <c r="U150" s="183"/>
      <c r="V150" s="183">
        <v>0</v>
      </c>
      <c r="W150" s="183">
        <v>0</v>
      </c>
      <c r="X150" s="183">
        <v>0</v>
      </c>
      <c r="Y150" s="184">
        <v>0</v>
      </c>
      <c r="Z150" s="184">
        <v>0</v>
      </c>
      <c r="AA150" s="184">
        <v>0</v>
      </c>
      <c r="AB150" s="185" t="s">
        <v>615</v>
      </c>
      <c r="AC150" s="185" t="s">
        <v>615</v>
      </c>
      <c r="AD150" s="186" t="s">
        <v>881</v>
      </c>
      <c r="AE150" s="186" t="s">
        <v>858</v>
      </c>
      <c r="AF150" s="187">
        <v>7</v>
      </c>
      <c r="AG150" s="187">
        <v>3</v>
      </c>
      <c r="AH150" s="187">
        <v>4</v>
      </c>
      <c r="AI150" s="188">
        <v>1</v>
      </c>
      <c r="AJ150" s="188" t="s">
        <v>615</v>
      </c>
      <c r="AK150" s="187" t="s">
        <v>1738</v>
      </c>
      <c r="AL150" s="87" t="s">
        <v>615</v>
      </c>
      <c r="AM150" s="189"/>
      <c r="AN150" s="187" t="s">
        <v>615</v>
      </c>
      <c r="AO150" s="13" t="s">
        <v>615</v>
      </c>
      <c r="AP150" s="187">
        <v>0</v>
      </c>
      <c r="AQ150" s="187">
        <v>0</v>
      </c>
      <c r="AR150" s="190">
        <v>0</v>
      </c>
      <c r="AS150" s="190">
        <v>0</v>
      </c>
      <c r="AT150" s="190">
        <v>0</v>
      </c>
      <c r="AU150" s="187">
        <v>0</v>
      </c>
      <c r="AV150" s="187">
        <v>0</v>
      </c>
      <c r="AW150" s="191"/>
      <c r="AX150" s="192"/>
      <c r="AY150" s="193">
        <v>42666</v>
      </c>
      <c r="AZ150" s="193"/>
      <c r="BA150" s="193"/>
      <c r="BB150" s="194"/>
      <c r="BC150" s="194"/>
      <c r="BD150" s="195"/>
      <c r="BE150" s="195" t="s">
        <v>532</v>
      </c>
      <c r="BF150" s="195"/>
      <c r="BG150" s="195">
        <v>240</v>
      </c>
      <c r="BH150" s="196" t="s">
        <v>547</v>
      </c>
      <c r="BI150" s="197">
        <v>1</v>
      </c>
      <c r="BJ150" s="198"/>
      <c r="BK150" s="199">
        <v>0</v>
      </c>
      <c r="BL150" s="13">
        <v>0</v>
      </c>
      <c r="BM150" s="13">
        <v>0</v>
      </c>
      <c r="BN150" s="13" t="s">
        <v>616</v>
      </c>
      <c r="BO150" s="13" t="s">
        <v>616</v>
      </c>
      <c r="BP150" s="200">
        <v>0</v>
      </c>
      <c r="BQ150" s="201"/>
      <c r="BR150" s="202"/>
      <c r="BS150" s="187">
        <v>1000000000</v>
      </c>
      <c r="BT150" s="203">
        <v>0</v>
      </c>
      <c r="BU150" s="204">
        <v>0</v>
      </c>
      <c r="BV150" s="203">
        <v>0</v>
      </c>
      <c r="BW150" s="205">
        <v>0</v>
      </c>
      <c r="BX150" s="205">
        <v>0</v>
      </c>
      <c r="BY150" s="205">
        <v>0</v>
      </c>
      <c r="BZ150" s="203">
        <v>0</v>
      </c>
      <c r="CA150" s="203">
        <v>0</v>
      </c>
      <c r="CB150" s="203">
        <v>0</v>
      </c>
      <c r="CC150" s="204">
        <v>0</v>
      </c>
      <c r="CD150" s="203">
        <v>0</v>
      </c>
      <c r="CE150" s="203">
        <v>0</v>
      </c>
      <c r="CF150" s="13">
        <v>0</v>
      </c>
      <c r="CG150" s="206">
        <v>0</v>
      </c>
      <c r="CH150" s="207">
        <v>0</v>
      </c>
      <c r="CI150" s="201"/>
      <c r="CJ150" s="208"/>
      <c r="CK150" s="209" t="s">
        <v>615</v>
      </c>
      <c r="CL150" s="210" t="s">
        <v>615</v>
      </c>
      <c r="CM150" s="207">
        <v>0</v>
      </c>
      <c r="CN150" s="207">
        <v>0</v>
      </c>
      <c r="CO150" s="204">
        <v>0</v>
      </c>
      <c r="CP150" s="204">
        <v>0</v>
      </c>
      <c r="CQ150" s="211"/>
      <c r="CR150" s="204">
        <v>1</v>
      </c>
      <c r="CS150" s="212">
        <v>42558</v>
      </c>
      <c r="CT150" s="212">
        <v>42780</v>
      </c>
      <c r="CU150" s="213">
        <v>42780</v>
      </c>
      <c r="CV150" s="214">
        <v>42829</v>
      </c>
      <c r="CW150" s="214" t="s">
        <v>615</v>
      </c>
      <c r="CX150" s="214" t="s">
        <v>615</v>
      </c>
      <c r="CY150" s="204">
        <v>1</v>
      </c>
      <c r="CZ150" s="204">
        <v>0.97959183673469385</v>
      </c>
      <c r="DA150" s="203">
        <v>0</v>
      </c>
      <c r="DB150" s="204">
        <v>0.97959183673469385</v>
      </c>
      <c r="DC150" s="204">
        <v>0</v>
      </c>
      <c r="DD150" s="204">
        <v>0</v>
      </c>
      <c r="DE150" s="204">
        <v>0</v>
      </c>
      <c r="DF150" s="215">
        <v>0</v>
      </c>
      <c r="DG150" s="13" t="s">
        <v>615</v>
      </c>
      <c r="DH150" s="86">
        <v>148</v>
      </c>
      <c r="DI150" s="86"/>
      <c r="DJ150" s="86">
        <v>73</v>
      </c>
      <c r="DK150" s="86" t="s">
        <v>1559</v>
      </c>
      <c r="DL150" s="86" t="e">
        <v>#N/A</v>
      </c>
      <c r="DM150" s="86" t="e">
        <v>#N/A</v>
      </c>
      <c r="DN150" s="86" t="e">
        <v>#N/A</v>
      </c>
      <c r="DO150" s="86">
        <v>75</v>
      </c>
      <c r="DP150" s="86">
        <v>5</v>
      </c>
      <c r="DQ150" s="86">
        <v>49</v>
      </c>
      <c r="DR150" s="152">
        <v>0</v>
      </c>
      <c r="DS150" s="152">
        <v>0</v>
      </c>
      <c r="DT150" s="152">
        <v>0</v>
      </c>
      <c r="DU150" s="152">
        <v>0</v>
      </c>
      <c r="DV150" s="152">
        <v>0</v>
      </c>
      <c r="DW150" s="152">
        <v>0</v>
      </c>
      <c r="DX150" s="152">
        <v>0</v>
      </c>
      <c r="DY150" s="152">
        <v>0</v>
      </c>
      <c r="DZ150" s="152">
        <v>0</v>
      </c>
      <c r="EA150" s="152">
        <v>0</v>
      </c>
      <c r="EB150" s="152">
        <v>0</v>
      </c>
      <c r="EC150" s="152">
        <v>0</v>
      </c>
      <c r="ED150" s="152">
        <v>0</v>
      </c>
      <c r="EE150" s="152">
        <v>0</v>
      </c>
      <c r="EF150" s="152">
        <v>0</v>
      </c>
      <c r="EG150" s="152">
        <v>0</v>
      </c>
      <c r="EH150" s="152">
        <v>0</v>
      </c>
      <c r="EI150" s="152">
        <v>0</v>
      </c>
      <c r="EJ150" s="152">
        <v>0</v>
      </c>
      <c r="EK150" s="152">
        <v>0</v>
      </c>
      <c r="EL150" s="152">
        <v>0</v>
      </c>
      <c r="EM150" s="152">
        <v>0</v>
      </c>
      <c r="EN150" s="152">
        <v>0</v>
      </c>
      <c r="EO150" s="152">
        <v>0</v>
      </c>
      <c r="EP150" s="152">
        <v>0</v>
      </c>
      <c r="EQ150" s="152">
        <v>0</v>
      </c>
      <c r="ER150" s="152">
        <v>0</v>
      </c>
      <c r="ES150" s="152">
        <v>0</v>
      </c>
      <c r="ET150" s="152">
        <v>0</v>
      </c>
      <c r="EU150" s="152">
        <v>0</v>
      </c>
      <c r="EV150" s="152">
        <v>0</v>
      </c>
      <c r="EW150" s="152">
        <v>0</v>
      </c>
      <c r="EX150" s="152">
        <v>0</v>
      </c>
      <c r="EY150" s="152">
        <v>0</v>
      </c>
      <c r="EZ150" s="152">
        <v>0</v>
      </c>
      <c r="FA150" s="152">
        <v>0</v>
      </c>
      <c r="FB150" s="152">
        <v>0</v>
      </c>
      <c r="FC150" s="152">
        <v>0</v>
      </c>
      <c r="FD150" s="152">
        <v>0</v>
      </c>
      <c r="FE150" s="152">
        <v>0</v>
      </c>
      <c r="FF150" s="152">
        <v>0</v>
      </c>
      <c r="FG150" s="152">
        <v>0</v>
      </c>
      <c r="FH150" s="152">
        <v>0</v>
      </c>
      <c r="FI150" s="152">
        <v>0</v>
      </c>
      <c r="FJ150" s="152">
        <v>0</v>
      </c>
      <c r="FK150" s="152">
        <v>0</v>
      </c>
      <c r="FL150" s="152">
        <v>0</v>
      </c>
      <c r="FM150" s="152">
        <v>0</v>
      </c>
      <c r="FN150" s="152">
        <v>0</v>
      </c>
      <c r="FO150" s="152">
        <v>0</v>
      </c>
      <c r="FP150" s="152">
        <v>0</v>
      </c>
      <c r="FQ150" s="152">
        <v>0</v>
      </c>
      <c r="FR150" s="152">
        <v>0</v>
      </c>
      <c r="FS150" s="152">
        <v>0</v>
      </c>
      <c r="FT150" s="152">
        <v>0</v>
      </c>
      <c r="FU150" s="152">
        <v>0</v>
      </c>
      <c r="FV150" s="152">
        <v>0</v>
      </c>
      <c r="FW150" s="152">
        <v>0</v>
      </c>
      <c r="FX150" s="152">
        <v>0</v>
      </c>
      <c r="FY150" s="152">
        <v>0</v>
      </c>
      <c r="FZ150" s="152">
        <v>0</v>
      </c>
      <c r="GA150" s="152">
        <v>0</v>
      </c>
      <c r="GB150" s="152">
        <v>0</v>
      </c>
      <c r="GC150" s="152">
        <v>0</v>
      </c>
      <c r="GD150" s="152">
        <v>0</v>
      </c>
      <c r="GE150" s="152">
        <v>0</v>
      </c>
      <c r="GF150" s="152">
        <v>0</v>
      </c>
      <c r="GG150" s="152">
        <v>0</v>
      </c>
      <c r="GH150" s="152">
        <v>0</v>
      </c>
      <c r="GI150" s="152">
        <v>0</v>
      </c>
      <c r="GJ150" s="152">
        <v>0</v>
      </c>
      <c r="GK150" s="152">
        <v>0</v>
      </c>
      <c r="GL150" s="152">
        <v>0</v>
      </c>
      <c r="GM150" s="152">
        <v>0</v>
      </c>
      <c r="GN150" s="152">
        <v>0</v>
      </c>
      <c r="GO150" s="152">
        <v>0</v>
      </c>
      <c r="GP150" s="152">
        <v>0</v>
      </c>
      <c r="GQ150" s="152">
        <v>0</v>
      </c>
      <c r="GR150" s="152">
        <v>0</v>
      </c>
      <c r="GS150" s="152">
        <v>0</v>
      </c>
      <c r="GT150" s="152">
        <v>0</v>
      </c>
      <c r="GU150" s="152">
        <v>0</v>
      </c>
      <c r="GV150" s="152">
        <v>0</v>
      </c>
      <c r="GW150" s="152">
        <v>0</v>
      </c>
      <c r="GX150" s="152">
        <v>0</v>
      </c>
      <c r="GY150" s="152">
        <v>0</v>
      </c>
      <c r="GZ150" s="152">
        <v>0</v>
      </c>
      <c r="HA150" s="152">
        <v>0</v>
      </c>
      <c r="HB150" s="152">
        <v>0</v>
      </c>
      <c r="HC150" s="152">
        <v>0</v>
      </c>
      <c r="HD150" s="152">
        <v>0</v>
      </c>
      <c r="HE150" s="152">
        <v>0</v>
      </c>
      <c r="HF150" s="152">
        <v>0</v>
      </c>
      <c r="HG150" s="152">
        <v>0</v>
      </c>
      <c r="HH150" s="152">
        <v>0</v>
      </c>
      <c r="HI150" s="152">
        <v>0</v>
      </c>
      <c r="HJ150" s="152">
        <v>0</v>
      </c>
      <c r="HK150" s="152">
        <v>0</v>
      </c>
      <c r="HL150" s="152">
        <v>0</v>
      </c>
      <c r="HM150" s="152">
        <v>0</v>
      </c>
      <c r="HN150" s="152">
        <v>0</v>
      </c>
      <c r="HO150" s="152">
        <v>0</v>
      </c>
      <c r="HP150" s="152">
        <v>0</v>
      </c>
      <c r="HQ150" s="152">
        <v>0</v>
      </c>
      <c r="HR150" s="152">
        <v>0</v>
      </c>
      <c r="HS150" s="152">
        <v>0</v>
      </c>
      <c r="HT150" s="152">
        <v>0</v>
      </c>
      <c r="HU150" s="216"/>
      <c r="HV150" s="152">
        <v>0</v>
      </c>
      <c r="HW150" s="216"/>
      <c r="HX150" s="216"/>
      <c r="HY150" s="216"/>
      <c r="HZ150" s="216"/>
      <c r="IA150" s="216"/>
      <c r="IB150" s="216"/>
      <c r="IC150" s="216"/>
      <c r="ID150" s="216"/>
      <c r="IE150" s="216"/>
      <c r="IF150" s="216"/>
      <c r="IG150" s="216"/>
      <c r="IH150" s="216"/>
      <c r="II150" s="216"/>
      <c r="IJ150" s="216"/>
      <c r="IK150" s="216"/>
      <c r="IL150" s="216"/>
      <c r="IM150" s="216"/>
      <c r="IN150" s="216"/>
      <c r="IO150" s="216"/>
      <c r="IP150" s="216"/>
      <c r="IQ150" s="216"/>
      <c r="IR150" s="216"/>
      <c r="IS150" s="216"/>
      <c r="IT150" s="216"/>
      <c r="IU150" s="216"/>
      <c r="IV150" s="216"/>
      <c r="IW150" s="216"/>
      <c r="IX150" s="216"/>
      <c r="IY150" s="216"/>
      <c r="IZ150" s="216"/>
      <c r="JA150" s="216"/>
      <c r="JB150" s="216"/>
      <c r="JC150" s="216"/>
      <c r="JD150" s="216"/>
      <c r="JE150" s="216"/>
      <c r="JF150" s="216"/>
      <c r="JG150" s="216"/>
      <c r="JH150" s="216"/>
      <c r="JI150" s="216"/>
      <c r="JJ150" s="216"/>
      <c r="JK150" s="216"/>
      <c r="JL150" s="216"/>
      <c r="JM150" s="216"/>
      <c r="JN150" s="216"/>
      <c r="JO150" s="216"/>
      <c r="JP150" s="216"/>
      <c r="JQ150" s="216"/>
      <c r="JR150" s="216"/>
      <c r="JS150" s="216"/>
      <c r="JT150" s="216"/>
      <c r="JU150" s="216"/>
      <c r="JV150" s="216"/>
      <c r="JW150" s="216"/>
      <c r="JX150" s="216"/>
      <c r="JY150" s="216"/>
      <c r="JZ150" s="216"/>
      <c r="KA150" s="216"/>
      <c r="KB150" s="216"/>
      <c r="KC150" s="216"/>
      <c r="KD150" s="216"/>
      <c r="KE150" s="216"/>
      <c r="KF150" s="216"/>
      <c r="KG150" s="216"/>
      <c r="KH150" s="216"/>
      <c r="KI150" s="216"/>
      <c r="KJ150" s="216"/>
      <c r="KK150" s="216"/>
      <c r="KL150" s="216"/>
      <c r="KM150" s="216"/>
      <c r="KN150" s="216"/>
      <c r="KO150" s="216"/>
      <c r="KP150" s="216"/>
      <c r="KQ150" s="216"/>
      <c r="KR150" s="216"/>
      <c r="KS150" s="216"/>
      <c r="KT150" s="216"/>
      <c r="KU150" s="216"/>
      <c r="KV150" s="216"/>
      <c r="KW150" s="216"/>
      <c r="KX150" s="216"/>
      <c r="KY150" s="216"/>
      <c r="KZ150" s="216"/>
      <c r="LA150" s="216"/>
      <c r="LB150" s="216"/>
      <c r="LC150" s="216"/>
      <c r="LD150" s="216"/>
      <c r="LE150" s="216"/>
    </row>
    <row r="151" spans="1:317" x14ac:dyDescent="0.2">
      <c r="A151" s="179" t="s">
        <v>849</v>
      </c>
      <c r="B151" s="180" t="s">
        <v>1050</v>
      </c>
      <c r="C151" s="181"/>
      <c r="D151" s="182">
        <v>0</v>
      </c>
      <c r="E151" s="182">
        <v>0</v>
      </c>
      <c r="F151" s="183" t="s">
        <v>1312</v>
      </c>
      <c r="G151" s="183">
        <v>0</v>
      </c>
      <c r="H151" s="183">
        <v>0</v>
      </c>
      <c r="I151" s="183">
        <v>0</v>
      </c>
      <c r="J151" s="183">
        <v>0</v>
      </c>
      <c r="K151" s="183" t="s">
        <v>1368</v>
      </c>
      <c r="L151" s="183">
        <v>0</v>
      </c>
      <c r="M151" s="183">
        <v>0</v>
      </c>
      <c r="N151" s="183" t="s">
        <v>881</v>
      </c>
      <c r="O151" s="183">
        <v>0</v>
      </c>
      <c r="P151" s="183">
        <v>0</v>
      </c>
      <c r="Q151" s="183"/>
      <c r="R151" s="183"/>
      <c r="S151" s="183"/>
      <c r="T151" s="183"/>
      <c r="U151" s="183"/>
      <c r="V151" s="183">
        <v>0</v>
      </c>
      <c r="W151" s="183">
        <v>0</v>
      </c>
      <c r="X151" s="183">
        <v>0</v>
      </c>
      <c r="Y151" s="184">
        <v>0</v>
      </c>
      <c r="Z151" s="184">
        <v>0</v>
      </c>
      <c r="AA151" s="184">
        <v>0</v>
      </c>
      <c r="AB151" s="185" t="s">
        <v>615</v>
      </c>
      <c r="AC151" s="185" t="s">
        <v>615</v>
      </c>
      <c r="AD151" s="186" t="s">
        <v>881</v>
      </c>
      <c r="AE151" s="186" t="s">
        <v>858</v>
      </c>
      <c r="AF151" s="187">
        <v>7</v>
      </c>
      <c r="AG151" s="187">
        <v>3</v>
      </c>
      <c r="AH151" s="187">
        <v>4</v>
      </c>
      <c r="AI151" s="188">
        <v>1</v>
      </c>
      <c r="AJ151" s="188" t="s">
        <v>615</v>
      </c>
      <c r="AK151" s="187" t="s">
        <v>1738</v>
      </c>
      <c r="AL151" s="87" t="s">
        <v>615</v>
      </c>
      <c r="AM151" s="189"/>
      <c r="AN151" s="187" t="s">
        <v>615</v>
      </c>
      <c r="AO151" s="13" t="s">
        <v>615</v>
      </c>
      <c r="AP151" s="187">
        <v>0</v>
      </c>
      <c r="AQ151" s="187">
        <v>0</v>
      </c>
      <c r="AR151" s="190">
        <v>0</v>
      </c>
      <c r="AS151" s="190">
        <v>0</v>
      </c>
      <c r="AT151" s="190">
        <v>0</v>
      </c>
      <c r="AU151" s="187">
        <v>0</v>
      </c>
      <c r="AV151" s="187">
        <v>0</v>
      </c>
      <c r="AW151" s="191"/>
      <c r="AX151" s="192"/>
      <c r="AY151" s="193">
        <v>42666</v>
      </c>
      <c r="AZ151" s="193"/>
      <c r="BA151" s="193"/>
      <c r="BB151" s="194"/>
      <c r="BC151" s="194"/>
      <c r="BD151" s="195"/>
      <c r="BE151" s="195" t="s">
        <v>532</v>
      </c>
      <c r="BF151" s="195"/>
      <c r="BG151" s="195">
        <v>144</v>
      </c>
      <c r="BH151" s="196" t="s">
        <v>547</v>
      </c>
      <c r="BI151" s="197">
        <v>1</v>
      </c>
      <c r="BJ151" s="198"/>
      <c r="BK151" s="199">
        <v>0</v>
      </c>
      <c r="BL151" s="13">
        <v>0</v>
      </c>
      <c r="BM151" s="13">
        <v>0</v>
      </c>
      <c r="BN151" s="13" t="s">
        <v>616</v>
      </c>
      <c r="BO151" s="13" t="s">
        <v>616</v>
      </c>
      <c r="BP151" s="200">
        <v>0</v>
      </c>
      <c r="BQ151" s="201"/>
      <c r="BR151" s="202"/>
      <c r="BS151" s="187">
        <v>1000000000</v>
      </c>
      <c r="BT151" s="203">
        <v>0</v>
      </c>
      <c r="BU151" s="204">
        <v>0</v>
      </c>
      <c r="BV151" s="203">
        <v>0</v>
      </c>
      <c r="BW151" s="205">
        <v>0</v>
      </c>
      <c r="BX151" s="205">
        <v>0</v>
      </c>
      <c r="BY151" s="205">
        <v>0</v>
      </c>
      <c r="BZ151" s="203">
        <v>0</v>
      </c>
      <c r="CA151" s="203">
        <v>0</v>
      </c>
      <c r="CB151" s="203">
        <v>0</v>
      </c>
      <c r="CC151" s="204">
        <v>0</v>
      </c>
      <c r="CD151" s="203">
        <v>0</v>
      </c>
      <c r="CE151" s="203">
        <v>0</v>
      </c>
      <c r="CF151" s="13">
        <v>0</v>
      </c>
      <c r="CG151" s="206">
        <v>0</v>
      </c>
      <c r="CH151" s="207">
        <v>0</v>
      </c>
      <c r="CI151" s="201"/>
      <c r="CJ151" s="208"/>
      <c r="CK151" s="209" t="s">
        <v>615</v>
      </c>
      <c r="CL151" s="210" t="s">
        <v>615</v>
      </c>
      <c r="CM151" s="207">
        <v>0</v>
      </c>
      <c r="CN151" s="207">
        <v>0</v>
      </c>
      <c r="CO151" s="204">
        <v>0</v>
      </c>
      <c r="CP151" s="204">
        <v>0</v>
      </c>
      <c r="CQ151" s="211"/>
      <c r="CR151" s="204">
        <v>1</v>
      </c>
      <c r="CS151" s="212">
        <v>42558</v>
      </c>
      <c r="CT151" s="212">
        <v>42780</v>
      </c>
      <c r="CU151" s="213">
        <v>42780</v>
      </c>
      <c r="CV151" s="214">
        <v>42829</v>
      </c>
      <c r="CW151" s="214" t="s">
        <v>615</v>
      </c>
      <c r="CX151" s="214" t="s">
        <v>615</v>
      </c>
      <c r="CY151" s="204">
        <v>1</v>
      </c>
      <c r="CZ151" s="204">
        <v>0.97959183673469385</v>
      </c>
      <c r="DA151" s="203">
        <v>0</v>
      </c>
      <c r="DB151" s="204">
        <v>0.97959183673469385</v>
      </c>
      <c r="DC151" s="204">
        <v>0</v>
      </c>
      <c r="DD151" s="204">
        <v>0</v>
      </c>
      <c r="DE151" s="204">
        <v>0</v>
      </c>
      <c r="DF151" s="215">
        <v>0</v>
      </c>
      <c r="DG151" s="13" t="s">
        <v>615</v>
      </c>
      <c r="DH151" s="86">
        <v>149</v>
      </c>
      <c r="DI151" s="86"/>
      <c r="DJ151" s="86">
        <v>74</v>
      </c>
      <c r="DK151" s="86" t="s">
        <v>1560</v>
      </c>
      <c r="DL151" s="86" t="e">
        <v>#N/A</v>
      </c>
      <c r="DM151" s="86" t="e">
        <v>#N/A</v>
      </c>
      <c r="DN151" s="86" t="e">
        <v>#N/A</v>
      </c>
      <c r="DO151" s="86">
        <v>76</v>
      </c>
      <c r="DP151" s="86">
        <v>5</v>
      </c>
      <c r="DQ151" s="86">
        <v>49</v>
      </c>
      <c r="DR151" s="146">
        <v>0</v>
      </c>
      <c r="DS151" s="146">
        <v>0</v>
      </c>
      <c r="DT151" s="146">
        <v>0</v>
      </c>
      <c r="DU151" s="146">
        <v>0</v>
      </c>
      <c r="DV151" s="146">
        <v>0</v>
      </c>
      <c r="DW151" s="146">
        <v>0</v>
      </c>
      <c r="DX151" s="146">
        <v>0</v>
      </c>
      <c r="DY151" s="146">
        <v>0</v>
      </c>
      <c r="DZ151" s="146">
        <v>0</v>
      </c>
      <c r="EA151" s="146">
        <v>0</v>
      </c>
      <c r="EB151" s="146">
        <v>0</v>
      </c>
      <c r="EC151" s="146">
        <v>0</v>
      </c>
      <c r="ED151" s="146">
        <v>0</v>
      </c>
      <c r="EE151" s="146">
        <v>0</v>
      </c>
      <c r="EF151" s="146">
        <v>0</v>
      </c>
      <c r="EG151" s="146">
        <v>0</v>
      </c>
      <c r="EH151" s="146">
        <v>0</v>
      </c>
      <c r="EI151" s="146">
        <v>0</v>
      </c>
      <c r="EJ151" s="146">
        <v>0</v>
      </c>
      <c r="EK151" s="146">
        <v>0</v>
      </c>
      <c r="EL151" s="146">
        <v>0</v>
      </c>
      <c r="EM151" s="146">
        <v>0</v>
      </c>
      <c r="EN151" s="146">
        <v>0</v>
      </c>
      <c r="EO151" s="146">
        <v>0</v>
      </c>
      <c r="EP151" s="146">
        <v>0</v>
      </c>
      <c r="EQ151" s="146">
        <v>0</v>
      </c>
      <c r="ER151" s="146">
        <v>0</v>
      </c>
      <c r="ES151" s="146">
        <v>0</v>
      </c>
      <c r="ET151" s="146">
        <v>0</v>
      </c>
      <c r="EU151" s="146">
        <v>0</v>
      </c>
      <c r="EV151" s="146">
        <v>0</v>
      </c>
      <c r="EW151" s="146">
        <v>0</v>
      </c>
      <c r="EX151" s="146">
        <v>0</v>
      </c>
      <c r="EY151" s="146">
        <v>0</v>
      </c>
      <c r="EZ151" s="146">
        <v>0</v>
      </c>
      <c r="FA151" s="146">
        <v>0</v>
      </c>
      <c r="FB151" s="146">
        <v>0</v>
      </c>
      <c r="FC151" s="146">
        <v>0</v>
      </c>
      <c r="FD151" s="146">
        <v>0</v>
      </c>
      <c r="FE151" s="146">
        <v>0</v>
      </c>
      <c r="FF151" s="146">
        <v>0</v>
      </c>
      <c r="FG151" s="146">
        <v>0</v>
      </c>
      <c r="FH151" s="146">
        <v>0</v>
      </c>
      <c r="FI151" s="146">
        <v>0</v>
      </c>
      <c r="FJ151" s="146">
        <v>0</v>
      </c>
      <c r="FK151" s="146">
        <v>0</v>
      </c>
      <c r="FL151" s="146">
        <v>0</v>
      </c>
      <c r="FM151" s="146">
        <v>0</v>
      </c>
      <c r="FN151" s="146">
        <v>0</v>
      </c>
      <c r="FO151" s="146">
        <v>0</v>
      </c>
      <c r="FP151" s="146">
        <v>0</v>
      </c>
      <c r="FQ151" s="146">
        <v>0</v>
      </c>
      <c r="FR151" s="146">
        <v>0</v>
      </c>
      <c r="FS151" s="146">
        <v>0</v>
      </c>
      <c r="FT151" s="146">
        <v>0</v>
      </c>
      <c r="FU151" s="146">
        <v>0</v>
      </c>
      <c r="FV151" s="146">
        <v>0</v>
      </c>
      <c r="FW151" s="146">
        <v>0</v>
      </c>
      <c r="FX151" s="146">
        <v>0</v>
      </c>
      <c r="FY151" s="146">
        <v>0</v>
      </c>
      <c r="FZ151" s="146">
        <v>0</v>
      </c>
      <c r="GA151" s="146">
        <v>0</v>
      </c>
      <c r="GB151" s="146">
        <v>0</v>
      </c>
      <c r="GC151" s="146">
        <v>0</v>
      </c>
      <c r="GD151" s="146">
        <v>0</v>
      </c>
      <c r="GE151" s="146">
        <v>0</v>
      </c>
      <c r="GF151" s="146">
        <v>0</v>
      </c>
      <c r="GG151" s="146">
        <v>0</v>
      </c>
      <c r="GH151" s="146">
        <v>0</v>
      </c>
      <c r="GI151" s="146">
        <v>0</v>
      </c>
      <c r="GJ151" s="146">
        <v>0</v>
      </c>
      <c r="GK151" s="146">
        <v>0</v>
      </c>
      <c r="GL151" s="146">
        <v>0</v>
      </c>
      <c r="GM151" s="146">
        <v>0</v>
      </c>
      <c r="GN151" s="146">
        <v>0</v>
      </c>
      <c r="GO151" s="146">
        <v>0</v>
      </c>
      <c r="GP151" s="146">
        <v>0</v>
      </c>
      <c r="GQ151" s="146">
        <v>0</v>
      </c>
      <c r="GR151" s="146">
        <v>0</v>
      </c>
      <c r="GS151" s="146">
        <v>0</v>
      </c>
      <c r="GT151" s="146">
        <v>0</v>
      </c>
      <c r="GU151" s="146">
        <v>0</v>
      </c>
      <c r="GV151" s="146">
        <v>0</v>
      </c>
      <c r="GW151" s="146">
        <v>0</v>
      </c>
      <c r="GX151" s="146">
        <v>0</v>
      </c>
      <c r="GY151" s="146">
        <v>0</v>
      </c>
      <c r="GZ151" s="146">
        <v>0</v>
      </c>
      <c r="HA151" s="146">
        <v>0</v>
      </c>
      <c r="HB151" s="146">
        <v>0</v>
      </c>
      <c r="HC151" s="146">
        <v>0</v>
      </c>
      <c r="HD151" s="146">
        <v>0</v>
      </c>
      <c r="HE151" s="146">
        <v>0</v>
      </c>
      <c r="HF151" s="146">
        <v>0</v>
      </c>
      <c r="HG151" s="146">
        <v>0</v>
      </c>
      <c r="HH151" s="146">
        <v>0</v>
      </c>
      <c r="HI151" s="146">
        <v>0</v>
      </c>
      <c r="HJ151" s="146">
        <v>0</v>
      </c>
      <c r="HK151" s="146">
        <v>0</v>
      </c>
      <c r="HL151" s="146">
        <v>0</v>
      </c>
      <c r="HM151" s="146">
        <v>0</v>
      </c>
      <c r="HN151" s="146">
        <v>0</v>
      </c>
      <c r="HO151" s="146">
        <v>0</v>
      </c>
      <c r="HP151" s="146">
        <v>0</v>
      </c>
      <c r="HQ151" s="146">
        <v>0</v>
      </c>
      <c r="HR151" s="146">
        <v>0</v>
      </c>
      <c r="HS151" s="146">
        <v>0</v>
      </c>
      <c r="HT151" s="146">
        <v>0</v>
      </c>
      <c r="HU151" s="151"/>
      <c r="HV151" s="146">
        <v>0</v>
      </c>
      <c r="HW151" s="151"/>
      <c r="HX151" s="151"/>
      <c r="HY151" s="151"/>
      <c r="HZ151" s="151"/>
      <c r="IA151" s="151"/>
      <c r="IB151" s="151"/>
      <c r="IC151" s="151"/>
      <c r="ID151" s="151"/>
      <c r="IE151" s="151"/>
      <c r="IF151" s="151"/>
      <c r="IG151" s="151"/>
      <c r="IH151" s="151"/>
      <c r="II151" s="151"/>
      <c r="IJ151" s="151"/>
      <c r="IK151" s="151"/>
      <c r="IL151" s="151"/>
      <c r="IM151" s="151"/>
      <c r="IN151" s="151"/>
      <c r="IO151" s="151"/>
      <c r="IP151" s="151"/>
      <c r="IQ151" s="151"/>
      <c r="IR151" s="151"/>
      <c r="IS151" s="151"/>
      <c r="IT151" s="151"/>
      <c r="IU151" s="151"/>
      <c r="IV151" s="151"/>
      <c r="IW151" s="151"/>
      <c r="IX151" s="151"/>
      <c r="IY151" s="151"/>
      <c r="IZ151" s="151"/>
      <c r="JA151" s="151"/>
      <c r="JB151" s="151"/>
      <c r="JC151" s="151"/>
      <c r="JD151" s="151"/>
      <c r="JE151" s="151"/>
      <c r="JF151" s="151"/>
      <c r="JG151" s="151"/>
      <c r="JH151" s="151"/>
      <c r="JI151" s="151"/>
      <c r="JJ151" s="151"/>
      <c r="JK151" s="151"/>
      <c r="JL151" s="151"/>
      <c r="JM151" s="151"/>
      <c r="JN151" s="151"/>
      <c r="JO151" s="151"/>
      <c r="JP151" s="151"/>
      <c r="JQ151" s="151"/>
      <c r="JR151" s="151"/>
      <c r="JS151" s="151"/>
      <c r="JT151" s="151"/>
      <c r="JU151" s="151"/>
      <c r="JV151" s="151"/>
      <c r="JW151" s="151"/>
      <c r="JX151" s="151"/>
      <c r="JY151" s="151"/>
      <c r="JZ151" s="151"/>
      <c r="KA151" s="151"/>
      <c r="KB151" s="151"/>
      <c r="KC151" s="151"/>
      <c r="KD151" s="151"/>
      <c r="KE151" s="151"/>
      <c r="KF151" s="151"/>
      <c r="KG151" s="151"/>
      <c r="KH151" s="151"/>
      <c r="KI151" s="151"/>
      <c r="KJ151" s="151"/>
      <c r="KK151" s="151"/>
      <c r="KL151" s="151"/>
      <c r="KM151" s="151"/>
      <c r="KN151" s="151"/>
      <c r="KO151" s="151"/>
      <c r="KP151" s="151"/>
      <c r="KQ151" s="151"/>
      <c r="KR151" s="151"/>
      <c r="KS151" s="151"/>
      <c r="KT151" s="151"/>
      <c r="KU151" s="151"/>
      <c r="KV151" s="151"/>
      <c r="KW151" s="151"/>
      <c r="KX151" s="151"/>
      <c r="KY151" s="151"/>
      <c r="KZ151" s="151"/>
      <c r="LA151" s="151"/>
      <c r="LB151" s="151"/>
      <c r="LC151" s="151"/>
      <c r="LD151" s="151"/>
      <c r="LE151" s="151"/>
    </row>
    <row r="152" spans="1:317" x14ac:dyDescent="0.2">
      <c r="A152" s="179" t="s">
        <v>849</v>
      </c>
      <c r="B152" s="180" t="s">
        <v>1051</v>
      </c>
      <c r="C152" s="181"/>
      <c r="D152" s="182">
        <v>0</v>
      </c>
      <c r="E152" s="182">
        <v>0</v>
      </c>
      <c r="F152" s="183" t="s">
        <v>1312</v>
      </c>
      <c r="G152" s="183">
        <v>0</v>
      </c>
      <c r="H152" s="183">
        <v>0</v>
      </c>
      <c r="I152" s="183">
        <v>0</v>
      </c>
      <c r="J152" s="183">
        <v>0</v>
      </c>
      <c r="K152" s="183" t="s">
        <v>1368</v>
      </c>
      <c r="L152" s="183">
        <v>0</v>
      </c>
      <c r="M152" s="183">
        <v>0</v>
      </c>
      <c r="N152" s="183" t="s">
        <v>881</v>
      </c>
      <c r="O152" s="183">
        <v>0</v>
      </c>
      <c r="P152" s="183">
        <v>0</v>
      </c>
      <c r="Q152" s="183"/>
      <c r="R152" s="183"/>
      <c r="S152" s="183"/>
      <c r="T152" s="183"/>
      <c r="U152" s="183"/>
      <c r="V152" s="183">
        <v>0</v>
      </c>
      <c r="W152" s="183">
        <v>0</v>
      </c>
      <c r="X152" s="183">
        <v>0</v>
      </c>
      <c r="Y152" s="184">
        <v>0</v>
      </c>
      <c r="Z152" s="184">
        <v>0</v>
      </c>
      <c r="AA152" s="184">
        <v>0</v>
      </c>
      <c r="AB152" s="185" t="s">
        <v>615</v>
      </c>
      <c r="AC152" s="185" t="s">
        <v>615</v>
      </c>
      <c r="AD152" s="186" t="s">
        <v>881</v>
      </c>
      <c r="AE152" s="186" t="s">
        <v>858</v>
      </c>
      <c r="AF152" s="187">
        <v>7</v>
      </c>
      <c r="AG152" s="187">
        <v>3</v>
      </c>
      <c r="AH152" s="187">
        <v>4</v>
      </c>
      <c r="AI152" s="188">
        <v>1</v>
      </c>
      <c r="AJ152" s="188" t="s">
        <v>615</v>
      </c>
      <c r="AK152" s="187" t="s">
        <v>1738</v>
      </c>
      <c r="AL152" s="87" t="s">
        <v>615</v>
      </c>
      <c r="AM152" s="189"/>
      <c r="AN152" s="187" t="s">
        <v>615</v>
      </c>
      <c r="AO152" s="13" t="s">
        <v>615</v>
      </c>
      <c r="AP152" s="187">
        <v>0</v>
      </c>
      <c r="AQ152" s="187">
        <v>0</v>
      </c>
      <c r="AR152" s="190">
        <v>0</v>
      </c>
      <c r="AS152" s="190">
        <v>0</v>
      </c>
      <c r="AT152" s="190">
        <v>0</v>
      </c>
      <c r="AU152" s="187">
        <v>0</v>
      </c>
      <c r="AV152" s="187">
        <v>0</v>
      </c>
      <c r="AW152" s="191"/>
      <c r="AX152" s="192"/>
      <c r="AY152" s="193">
        <v>42666</v>
      </c>
      <c r="AZ152" s="193"/>
      <c r="BA152" s="193"/>
      <c r="BB152" s="194"/>
      <c r="BC152" s="194"/>
      <c r="BD152" s="195"/>
      <c r="BE152" s="195" t="s">
        <v>532</v>
      </c>
      <c r="BF152" s="195"/>
      <c r="BG152" s="195">
        <v>144</v>
      </c>
      <c r="BH152" s="196" t="s">
        <v>547</v>
      </c>
      <c r="BI152" s="197">
        <v>1</v>
      </c>
      <c r="BJ152" s="198"/>
      <c r="BK152" s="199">
        <v>0</v>
      </c>
      <c r="BL152" s="13">
        <v>0</v>
      </c>
      <c r="BM152" s="13">
        <v>0</v>
      </c>
      <c r="BN152" s="13" t="s">
        <v>616</v>
      </c>
      <c r="BO152" s="13" t="s">
        <v>616</v>
      </c>
      <c r="BP152" s="200">
        <v>0</v>
      </c>
      <c r="BQ152" s="201"/>
      <c r="BR152" s="202"/>
      <c r="BS152" s="187">
        <v>1000000000</v>
      </c>
      <c r="BT152" s="203">
        <v>0</v>
      </c>
      <c r="BU152" s="204">
        <v>0</v>
      </c>
      <c r="BV152" s="203">
        <v>0</v>
      </c>
      <c r="BW152" s="205">
        <v>0</v>
      </c>
      <c r="BX152" s="205">
        <v>0</v>
      </c>
      <c r="BY152" s="205">
        <v>0</v>
      </c>
      <c r="BZ152" s="203">
        <v>0</v>
      </c>
      <c r="CA152" s="203">
        <v>0</v>
      </c>
      <c r="CB152" s="203">
        <v>0</v>
      </c>
      <c r="CC152" s="204">
        <v>0</v>
      </c>
      <c r="CD152" s="203">
        <v>0</v>
      </c>
      <c r="CE152" s="203">
        <v>0</v>
      </c>
      <c r="CF152" s="13">
        <v>0</v>
      </c>
      <c r="CG152" s="206">
        <v>0</v>
      </c>
      <c r="CH152" s="207">
        <v>0</v>
      </c>
      <c r="CI152" s="201"/>
      <c r="CJ152" s="208"/>
      <c r="CK152" s="209" t="s">
        <v>615</v>
      </c>
      <c r="CL152" s="210" t="s">
        <v>615</v>
      </c>
      <c r="CM152" s="207">
        <v>0</v>
      </c>
      <c r="CN152" s="207">
        <v>0</v>
      </c>
      <c r="CO152" s="204">
        <v>0</v>
      </c>
      <c r="CP152" s="204">
        <v>0</v>
      </c>
      <c r="CQ152" s="211"/>
      <c r="CR152" s="204">
        <v>1</v>
      </c>
      <c r="CS152" s="212">
        <v>42558</v>
      </c>
      <c r="CT152" s="212">
        <v>42780</v>
      </c>
      <c r="CU152" s="213">
        <v>42780</v>
      </c>
      <c r="CV152" s="214">
        <v>42829</v>
      </c>
      <c r="CW152" s="214" t="s">
        <v>615</v>
      </c>
      <c r="CX152" s="214" t="s">
        <v>615</v>
      </c>
      <c r="CY152" s="204">
        <v>1</v>
      </c>
      <c r="CZ152" s="204">
        <v>0.97959183673469385</v>
      </c>
      <c r="DA152" s="203">
        <v>0</v>
      </c>
      <c r="DB152" s="204">
        <v>0.97959183673469385</v>
      </c>
      <c r="DC152" s="204">
        <v>0</v>
      </c>
      <c r="DD152" s="204">
        <v>0</v>
      </c>
      <c r="DE152" s="204">
        <v>0</v>
      </c>
      <c r="DF152" s="215">
        <v>0</v>
      </c>
      <c r="DG152" s="13" t="s">
        <v>615</v>
      </c>
      <c r="DH152" s="86">
        <v>150</v>
      </c>
      <c r="DI152" s="86"/>
      <c r="DJ152" s="86">
        <v>75</v>
      </c>
      <c r="DK152" s="86" t="s">
        <v>1561</v>
      </c>
      <c r="DL152" s="86" t="e">
        <v>#N/A</v>
      </c>
      <c r="DM152" s="86" t="e">
        <v>#N/A</v>
      </c>
      <c r="DN152" s="86" t="e">
        <v>#N/A</v>
      </c>
      <c r="DO152" s="86">
        <v>77</v>
      </c>
      <c r="DP152" s="86">
        <v>5</v>
      </c>
      <c r="DQ152" s="86">
        <v>49</v>
      </c>
      <c r="DR152" s="152">
        <v>0</v>
      </c>
      <c r="DS152" s="152">
        <v>0</v>
      </c>
      <c r="DT152" s="152">
        <v>0</v>
      </c>
      <c r="DU152" s="152">
        <v>0</v>
      </c>
      <c r="DV152" s="152">
        <v>0</v>
      </c>
      <c r="DW152" s="152">
        <v>0</v>
      </c>
      <c r="DX152" s="152">
        <v>0</v>
      </c>
      <c r="DY152" s="152">
        <v>0</v>
      </c>
      <c r="DZ152" s="152">
        <v>0</v>
      </c>
      <c r="EA152" s="152">
        <v>0</v>
      </c>
      <c r="EB152" s="152">
        <v>0</v>
      </c>
      <c r="EC152" s="152">
        <v>0</v>
      </c>
      <c r="ED152" s="152">
        <v>0</v>
      </c>
      <c r="EE152" s="152">
        <v>0</v>
      </c>
      <c r="EF152" s="152">
        <v>0</v>
      </c>
      <c r="EG152" s="152">
        <v>0</v>
      </c>
      <c r="EH152" s="152">
        <v>0</v>
      </c>
      <c r="EI152" s="152">
        <v>0</v>
      </c>
      <c r="EJ152" s="152">
        <v>0</v>
      </c>
      <c r="EK152" s="152">
        <v>0</v>
      </c>
      <c r="EL152" s="152">
        <v>0</v>
      </c>
      <c r="EM152" s="152">
        <v>0</v>
      </c>
      <c r="EN152" s="152">
        <v>0</v>
      </c>
      <c r="EO152" s="152">
        <v>0</v>
      </c>
      <c r="EP152" s="152">
        <v>0</v>
      </c>
      <c r="EQ152" s="152">
        <v>0</v>
      </c>
      <c r="ER152" s="152">
        <v>0</v>
      </c>
      <c r="ES152" s="152">
        <v>0</v>
      </c>
      <c r="ET152" s="152">
        <v>0</v>
      </c>
      <c r="EU152" s="152">
        <v>0</v>
      </c>
      <c r="EV152" s="152">
        <v>0</v>
      </c>
      <c r="EW152" s="152">
        <v>0</v>
      </c>
      <c r="EX152" s="152">
        <v>0</v>
      </c>
      <c r="EY152" s="152">
        <v>0</v>
      </c>
      <c r="EZ152" s="152">
        <v>0</v>
      </c>
      <c r="FA152" s="152">
        <v>0</v>
      </c>
      <c r="FB152" s="152">
        <v>0</v>
      </c>
      <c r="FC152" s="152">
        <v>0</v>
      </c>
      <c r="FD152" s="152">
        <v>0</v>
      </c>
      <c r="FE152" s="152">
        <v>0</v>
      </c>
      <c r="FF152" s="152">
        <v>0</v>
      </c>
      <c r="FG152" s="152">
        <v>0</v>
      </c>
      <c r="FH152" s="152">
        <v>0</v>
      </c>
      <c r="FI152" s="152">
        <v>0</v>
      </c>
      <c r="FJ152" s="152">
        <v>0</v>
      </c>
      <c r="FK152" s="152">
        <v>0</v>
      </c>
      <c r="FL152" s="152">
        <v>0</v>
      </c>
      <c r="FM152" s="152">
        <v>0</v>
      </c>
      <c r="FN152" s="152">
        <v>0</v>
      </c>
      <c r="FO152" s="152">
        <v>0</v>
      </c>
      <c r="FP152" s="152">
        <v>0</v>
      </c>
      <c r="FQ152" s="152">
        <v>0</v>
      </c>
      <c r="FR152" s="152">
        <v>0</v>
      </c>
      <c r="FS152" s="152">
        <v>0</v>
      </c>
      <c r="FT152" s="152">
        <v>0</v>
      </c>
      <c r="FU152" s="152">
        <v>0</v>
      </c>
      <c r="FV152" s="152">
        <v>0</v>
      </c>
      <c r="FW152" s="152">
        <v>0</v>
      </c>
      <c r="FX152" s="152">
        <v>0</v>
      </c>
      <c r="FY152" s="152">
        <v>0</v>
      </c>
      <c r="FZ152" s="152">
        <v>0</v>
      </c>
      <c r="GA152" s="152">
        <v>0</v>
      </c>
      <c r="GB152" s="152">
        <v>0</v>
      </c>
      <c r="GC152" s="152">
        <v>0</v>
      </c>
      <c r="GD152" s="152">
        <v>0</v>
      </c>
      <c r="GE152" s="152">
        <v>0</v>
      </c>
      <c r="GF152" s="152">
        <v>0</v>
      </c>
      <c r="GG152" s="152">
        <v>0</v>
      </c>
      <c r="GH152" s="152">
        <v>0</v>
      </c>
      <c r="GI152" s="152">
        <v>0</v>
      </c>
      <c r="GJ152" s="152">
        <v>0</v>
      </c>
      <c r="GK152" s="152">
        <v>0</v>
      </c>
      <c r="GL152" s="152">
        <v>0</v>
      </c>
      <c r="GM152" s="152">
        <v>0</v>
      </c>
      <c r="GN152" s="152">
        <v>0</v>
      </c>
      <c r="GO152" s="152">
        <v>0</v>
      </c>
      <c r="GP152" s="152">
        <v>0</v>
      </c>
      <c r="GQ152" s="152">
        <v>0</v>
      </c>
      <c r="GR152" s="152">
        <v>0</v>
      </c>
      <c r="GS152" s="152">
        <v>0</v>
      </c>
      <c r="GT152" s="152">
        <v>0</v>
      </c>
      <c r="GU152" s="152">
        <v>0</v>
      </c>
      <c r="GV152" s="152">
        <v>0</v>
      </c>
      <c r="GW152" s="152">
        <v>0</v>
      </c>
      <c r="GX152" s="152">
        <v>0</v>
      </c>
      <c r="GY152" s="152">
        <v>0</v>
      </c>
      <c r="GZ152" s="152">
        <v>0</v>
      </c>
      <c r="HA152" s="152">
        <v>0</v>
      </c>
      <c r="HB152" s="152">
        <v>0</v>
      </c>
      <c r="HC152" s="152">
        <v>0</v>
      </c>
      <c r="HD152" s="152">
        <v>0</v>
      </c>
      <c r="HE152" s="152">
        <v>0</v>
      </c>
      <c r="HF152" s="152">
        <v>0</v>
      </c>
      <c r="HG152" s="152">
        <v>0</v>
      </c>
      <c r="HH152" s="152">
        <v>0</v>
      </c>
      <c r="HI152" s="152">
        <v>0</v>
      </c>
      <c r="HJ152" s="152">
        <v>0</v>
      </c>
      <c r="HK152" s="152">
        <v>0</v>
      </c>
      <c r="HL152" s="152">
        <v>0</v>
      </c>
      <c r="HM152" s="152">
        <v>0</v>
      </c>
      <c r="HN152" s="152">
        <v>0</v>
      </c>
      <c r="HO152" s="152">
        <v>0</v>
      </c>
      <c r="HP152" s="152">
        <v>0</v>
      </c>
      <c r="HQ152" s="152">
        <v>0</v>
      </c>
      <c r="HR152" s="152">
        <v>0</v>
      </c>
      <c r="HS152" s="152">
        <v>0</v>
      </c>
      <c r="HT152" s="152">
        <v>0</v>
      </c>
      <c r="HU152" s="216"/>
      <c r="HV152" s="152">
        <v>0</v>
      </c>
      <c r="HW152" s="216"/>
      <c r="HX152" s="216"/>
      <c r="HY152" s="216"/>
      <c r="HZ152" s="216"/>
      <c r="IA152" s="216"/>
      <c r="IB152" s="216"/>
      <c r="IC152" s="216"/>
      <c r="ID152" s="216"/>
      <c r="IE152" s="216"/>
      <c r="IF152" s="216"/>
      <c r="IG152" s="216"/>
      <c r="IH152" s="216"/>
      <c r="II152" s="216"/>
      <c r="IJ152" s="216"/>
      <c r="IK152" s="216"/>
      <c r="IL152" s="216"/>
      <c r="IM152" s="216"/>
      <c r="IN152" s="216"/>
      <c r="IO152" s="216"/>
      <c r="IP152" s="216"/>
      <c r="IQ152" s="216"/>
      <c r="IR152" s="216"/>
      <c r="IS152" s="216"/>
      <c r="IT152" s="216"/>
      <c r="IU152" s="216"/>
      <c r="IV152" s="216"/>
      <c r="IW152" s="216"/>
      <c r="IX152" s="216"/>
      <c r="IY152" s="216"/>
      <c r="IZ152" s="216"/>
      <c r="JA152" s="216"/>
      <c r="JB152" s="216"/>
      <c r="JC152" s="216"/>
      <c r="JD152" s="216"/>
      <c r="JE152" s="216"/>
      <c r="JF152" s="216"/>
      <c r="JG152" s="216"/>
      <c r="JH152" s="216"/>
      <c r="JI152" s="216"/>
      <c r="JJ152" s="216"/>
      <c r="JK152" s="216"/>
      <c r="JL152" s="216"/>
      <c r="JM152" s="216"/>
      <c r="JN152" s="216"/>
      <c r="JO152" s="216"/>
      <c r="JP152" s="216"/>
      <c r="JQ152" s="216"/>
      <c r="JR152" s="216"/>
      <c r="JS152" s="216"/>
      <c r="JT152" s="216"/>
      <c r="JU152" s="216"/>
      <c r="JV152" s="216"/>
      <c r="JW152" s="216"/>
      <c r="JX152" s="216"/>
      <c r="JY152" s="216"/>
      <c r="JZ152" s="216"/>
      <c r="KA152" s="216"/>
      <c r="KB152" s="216"/>
      <c r="KC152" s="216"/>
      <c r="KD152" s="216"/>
      <c r="KE152" s="216"/>
      <c r="KF152" s="216"/>
      <c r="KG152" s="216"/>
      <c r="KH152" s="216"/>
      <c r="KI152" s="216"/>
      <c r="KJ152" s="216"/>
      <c r="KK152" s="216"/>
      <c r="KL152" s="216"/>
      <c r="KM152" s="216"/>
      <c r="KN152" s="216"/>
      <c r="KO152" s="216"/>
      <c r="KP152" s="216"/>
      <c r="KQ152" s="216"/>
      <c r="KR152" s="216"/>
      <c r="KS152" s="216"/>
      <c r="KT152" s="216"/>
      <c r="KU152" s="216"/>
      <c r="KV152" s="216"/>
      <c r="KW152" s="216"/>
      <c r="KX152" s="216"/>
      <c r="KY152" s="216"/>
      <c r="KZ152" s="216"/>
      <c r="LA152" s="216"/>
      <c r="LB152" s="216"/>
      <c r="LC152" s="216"/>
      <c r="LD152" s="216"/>
      <c r="LE152" s="216"/>
    </row>
    <row r="153" spans="1:317" x14ac:dyDescent="0.2">
      <c r="A153" s="179" t="s">
        <v>849</v>
      </c>
      <c r="B153" s="180" t="s">
        <v>1052</v>
      </c>
      <c r="C153" s="181"/>
      <c r="D153" s="182">
        <v>0</v>
      </c>
      <c r="E153" s="182">
        <v>0</v>
      </c>
      <c r="F153" s="183" t="s">
        <v>1312</v>
      </c>
      <c r="G153" s="183">
        <v>0</v>
      </c>
      <c r="H153" s="183">
        <v>0</v>
      </c>
      <c r="I153" s="183">
        <v>0</v>
      </c>
      <c r="J153" s="183">
        <v>0</v>
      </c>
      <c r="K153" s="183" t="s">
        <v>1368</v>
      </c>
      <c r="L153" s="183">
        <v>0</v>
      </c>
      <c r="M153" s="183">
        <v>0</v>
      </c>
      <c r="N153" s="183" t="s">
        <v>881</v>
      </c>
      <c r="O153" s="183">
        <v>0</v>
      </c>
      <c r="P153" s="183">
        <v>0</v>
      </c>
      <c r="Q153" s="183"/>
      <c r="R153" s="183"/>
      <c r="S153" s="183"/>
      <c r="T153" s="183"/>
      <c r="U153" s="183"/>
      <c r="V153" s="183">
        <v>0</v>
      </c>
      <c r="W153" s="183">
        <v>0</v>
      </c>
      <c r="X153" s="183">
        <v>0</v>
      </c>
      <c r="Y153" s="184">
        <v>0</v>
      </c>
      <c r="Z153" s="184">
        <v>0</v>
      </c>
      <c r="AA153" s="184">
        <v>0</v>
      </c>
      <c r="AB153" s="185" t="s">
        <v>615</v>
      </c>
      <c r="AC153" s="185" t="s">
        <v>615</v>
      </c>
      <c r="AD153" s="186" t="s">
        <v>881</v>
      </c>
      <c r="AE153" s="186" t="s">
        <v>858</v>
      </c>
      <c r="AF153" s="187">
        <v>7</v>
      </c>
      <c r="AG153" s="187">
        <v>3</v>
      </c>
      <c r="AH153" s="187">
        <v>4</v>
      </c>
      <c r="AI153" s="188">
        <v>1</v>
      </c>
      <c r="AJ153" s="188" t="s">
        <v>615</v>
      </c>
      <c r="AK153" s="187" t="s">
        <v>1738</v>
      </c>
      <c r="AL153" s="87" t="s">
        <v>615</v>
      </c>
      <c r="AM153" s="189"/>
      <c r="AN153" s="187" t="s">
        <v>615</v>
      </c>
      <c r="AO153" s="13" t="s">
        <v>615</v>
      </c>
      <c r="AP153" s="187">
        <v>0</v>
      </c>
      <c r="AQ153" s="187">
        <v>0</v>
      </c>
      <c r="AR153" s="190">
        <v>0</v>
      </c>
      <c r="AS153" s="190">
        <v>0</v>
      </c>
      <c r="AT153" s="190">
        <v>0</v>
      </c>
      <c r="AU153" s="187">
        <v>0</v>
      </c>
      <c r="AV153" s="187">
        <v>0</v>
      </c>
      <c r="AW153" s="191"/>
      <c r="AX153" s="192"/>
      <c r="AY153" s="193">
        <v>42666</v>
      </c>
      <c r="AZ153" s="193"/>
      <c r="BA153" s="193"/>
      <c r="BB153" s="194"/>
      <c r="BC153" s="194"/>
      <c r="BD153" s="195"/>
      <c r="BE153" s="195" t="s">
        <v>532</v>
      </c>
      <c r="BF153" s="195"/>
      <c r="BG153" s="195">
        <v>96</v>
      </c>
      <c r="BH153" s="196" t="s">
        <v>547</v>
      </c>
      <c r="BI153" s="197">
        <v>1</v>
      </c>
      <c r="BJ153" s="198"/>
      <c r="BK153" s="199">
        <v>0</v>
      </c>
      <c r="BL153" s="13">
        <v>0</v>
      </c>
      <c r="BM153" s="13">
        <v>0</v>
      </c>
      <c r="BN153" s="13" t="s">
        <v>616</v>
      </c>
      <c r="BO153" s="13" t="s">
        <v>616</v>
      </c>
      <c r="BP153" s="200">
        <v>0</v>
      </c>
      <c r="BQ153" s="201"/>
      <c r="BR153" s="202"/>
      <c r="BS153" s="187">
        <v>1000000000</v>
      </c>
      <c r="BT153" s="203">
        <v>0</v>
      </c>
      <c r="BU153" s="204">
        <v>0</v>
      </c>
      <c r="BV153" s="203">
        <v>0</v>
      </c>
      <c r="BW153" s="205">
        <v>0</v>
      </c>
      <c r="BX153" s="205">
        <v>0</v>
      </c>
      <c r="BY153" s="205">
        <v>0</v>
      </c>
      <c r="BZ153" s="203">
        <v>0</v>
      </c>
      <c r="CA153" s="203">
        <v>0</v>
      </c>
      <c r="CB153" s="203">
        <v>0</v>
      </c>
      <c r="CC153" s="204">
        <v>0</v>
      </c>
      <c r="CD153" s="203">
        <v>0</v>
      </c>
      <c r="CE153" s="203">
        <v>0</v>
      </c>
      <c r="CF153" s="13">
        <v>0</v>
      </c>
      <c r="CG153" s="206">
        <v>0</v>
      </c>
      <c r="CH153" s="207">
        <v>0</v>
      </c>
      <c r="CI153" s="201"/>
      <c r="CJ153" s="208"/>
      <c r="CK153" s="209" t="s">
        <v>615</v>
      </c>
      <c r="CL153" s="210" t="s">
        <v>615</v>
      </c>
      <c r="CM153" s="207">
        <v>0</v>
      </c>
      <c r="CN153" s="207">
        <v>0</v>
      </c>
      <c r="CO153" s="204">
        <v>0</v>
      </c>
      <c r="CP153" s="204">
        <v>0</v>
      </c>
      <c r="CQ153" s="211"/>
      <c r="CR153" s="204">
        <v>1</v>
      </c>
      <c r="CS153" s="212">
        <v>42558</v>
      </c>
      <c r="CT153" s="212">
        <v>42780</v>
      </c>
      <c r="CU153" s="213">
        <v>42780</v>
      </c>
      <c r="CV153" s="214">
        <v>42829</v>
      </c>
      <c r="CW153" s="214" t="s">
        <v>615</v>
      </c>
      <c r="CX153" s="214" t="s">
        <v>615</v>
      </c>
      <c r="CY153" s="204">
        <v>1</v>
      </c>
      <c r="CZ153" s="204">
        <v>0.97959183673469385</v>
      </c>
      <c r="DA153" s="203">
        <v>0</v>
      </c>
      <c r="DB153" s="204">
        <v>0.97959183673469385</v>
      </c>
      <c r="DC153" s="204">
        <v>0</v>
      </c>
      <c r="DD153" s="204">
        <v>0</v>
      </c>
      <c r="DE153" s="204">
        <v>0</v>
      </c>
      <c r="DF153" s="215">
        <v>0</v>
      </c>
      <c r="DG153" s="13" t="s">
        <v>615</v>
      </c>
      <c r="DH153" s="86">
        <v>151</v>
      </c>
      <c r="DI153" s="86"/>
      <c r="DJ153" s="86">
        <v>76</v>
      </c>
      <c r="DK153" s="86" t="s">
        <v>1562</v>
      </c>
      <c r="DL153" s="86" t="e">
        <v>#N/A</v>
      </c>
      <c r="DM153" s="86" t="e">
        <v>#N/A</v>
      </c>
      <c r="DN153" s="86" t="e">
        <v>#N/A</v>
      </c>
      <c r="DO153" s="86">
        <v>78</v>
      </c>
      <c r="DP153" s="86">
        <v>5</v>
      </c>
      <c r="DQ153" s="86">
        <v>49</v>
      </c>
      <c r="DR153" s="146">
        <v>0</v>
      </c>
      <c r="DS153" s="146">
        <v>0</v>
      </c>
      <c r="DT153" s="146">
        <v>0</v>
      </c>
      <c r="DU153" s="146">
        <v>0</v>
      </c>
      <c r="DV153" s="146">
        <v>0</v>
      </c>
      <c r="DW153" s="146">
        <v>0</v>
      </c>
      <c r="DX153" s="146">
        <v>0</v>
      </c>
      <c r="DY153" s="146">
        <v>0</v>
      </c>
      <c r="DZ153" s="146">
        <v>0</v>
      </c>
      <c r="EA153" s="146">
        <v>0</v>
      </c>
      <c r="EB153" s="146">
        <v>0</v>
      </c>
      <c r="EC153" s="146">
        <v>0</v>
      </c>
      <c r="ED153" s="146">
        <v>0</v>
      </c>
      <c r="EE153" s="146">
        <v>0</v>
      </c>
      <c r="EF153" s="146">
        <v>0</v>
      </c>
      <c r="EG153" s="146">
        <v>0</v>
      </c>
      <c r="EH153" s="146">
        <v>0</v>
      </c>
      <c r="EI153" s="146">
        <v>0</v>
      </c>
      <c r="EJ153" s="146">
        <v>0</v>
      </c>
      <c r="EK153" s="146">
        <v>0</v>
      </c>
      <c r="EL153" s="146">
        <v>0</v>
      </c>
      <c r="EM153" s="146">
        <v>0</v>
      </c>
      <c r="EN153" s="146">
        <v>0</v>
      </c>
      <c r="EO153" s="146">
        <v>0</v>
      </c>
      <c r="EP153" s="146">
        <v>0</v>
      </c>
      <c r="EQ153" s="146">
        <v>0</v>
      </c>
      <c r="ER153" s="146">
        <v>0</v>
      </c>
      <c r="ES153" s="146">
        <v>0</v>
      </c>
      <c r="ET153" s="146">
        <v>0</v>
      </c>
      <c r="EU153" s="146">
        <v>0</v>
      </c>
      <c r="EV153" s="146">
        <v>0</v>
      </c>
      <c r="EW153" s="146">
        <v>0</v>
      </c>
      <c r="EX153" s="146">
        <v>0</v>
      </c>
      <c r="EY153" s="146">
        <v>0</v>
      </c>
      <c r="EZ153" s="146">
        <v>0</v>
      </c>
      <c r="FA153" s="146">
        <v>0</v>
      </c>
      <c r="FB153" s="146">
        <v>0</v>
      </c>
      <c r="FC153" s="146">
        <v>0</v>
      </c>
      <c r="FD153" s="146">
        <v>0</v>
      </c>
      <c r="FE153" s="146">
        <v>0</v>
      </c>
      <c r="FF153" s="146">
        <v>0</v>
      </c>
      <c r="FG153" s="146">
        <v>0</v>
      </c>
      <c r="FH153" s="146">
        <v>0</v>
      </c>
      <c r="FI153" s="146">
        <v>0</v>
      </c>
      <c r="FJ153" s="146">
        <v>0</v>
      </c>
      <c r="FK153" s="146">
        <v>0</v>
      </c>
      <c r="FL153" s="146">
        <v>0</v>
      </c>
      <c r="FM153" s="146">
        <v>0</v>
      </c>
      <c r="FN153" s="146">
        <v>0</v>
      </c>
      <c r="FO153" s="146">
        <v>0</v>
      </c>
      <c r="FP153" s="146">
        <v>0</v>
      </c>
      <c r="FQ153" s="146">
        <v>0</v>
      </c>
      <c r="FR153" s="146">
        <v>0</v>
      </c>
      <c r="FS153" s="146">
        <v>0</v>
      </c>
      <c r="FT153" s="146">
        <v>0</v>
      </c>
      <c r="FU153" s="146">
        <v>0</v>
      </c>
      <c r="FV153" s="146">
        <v>0</v>
      </c>
      <c r="FW153" s="146">
        <v>0</v>
      </c>
      <c r="FX153" s="146">
        <v>0</v>
      </c>
      <c r="FY153" s="146">
        <v>0</v>
      </c>
      <c r="FZ153" s="146">
        <v>0</v>
      </c>
      <c r="GA153" s="146">
        <v>0</v>
      </c>
      <c r="GB153" s="146">
        <v>0</v>
      </c>
      <c r="GC153" s="146">
        <v>0</v>
      </c>
      <c r="GD153" s="146">
        <v>0</v>
      </c>
      <c r="GE153" s="146">
        <v>0</v>
      </c>
      <c r="GF153" s="146">
        <v>0</v>
      </c>
      <c r="GG153" s="146">
        <v>0</v>
      </c>
      <c r="GH153" s="146">
        <v>0</v>
      </c>
      <c r="GI153" s="146">
        <v>0</v>
      </c>
      <c r="GJ153" s="146">
        <v>0</v>
      </c>
      <c r="GK153" s="146">
        <v>0</v>
      </c>
      <c r="GL153" s="146">
        <v>0</v>
      </c>
      <c r="GM153" s="146">
        <v>0</v>
      </c>
      <c r="GN153" s="146">
        <v>0</v>
      </c>
      <c r="GO153" s="146">
        <v>0</v>
      </c>
      <c r="GP153" s="146">
        <v>0</v>
      </c>
      <c r="GQ153" s="146">
        <v>0</v>
      </c>
      <c r="GR153" s="146">
        <v>0</v>
      </c>
      <c r="GS153" s="146">
        <v>0</v>
      </c>
      <c r="GT153" s="146">
        <v>0</v>
      </c>
      <c r="GU153" s="146">
        <v>0</v>
      </c>
      <c r="GV153" s="146">
        <v>0</v>
      </c>
      <c r="GW153" s="146">
        <v>0</v>
      </c>
      <c r="GX153" s="146">
        <v>0</v>
      </c>
      <c r="GY153" s="146">
        <v>0</v>
      </c>
      <c r="GZ153" s="146">
        <v>0</v>
      </c>
      <c r="HA153" s="146">
        <v>0</v>
      </c>
      <c r="HB153" s="146">
        <v>0</v>
      </c>
      <c r="HC153" s="146">
        <v>0</v>
      </c>
      <c r="HD153" s="146">
        <v>0</v>
      </c>
      <c r="HE153" s="146">
        <v>0</v>
      </c>
      <c r="HF153" s="146">
        <v>0</v>
      </c>
      <c r="HG153" s="146">
        <v>0</v>
      </c>
      <c r="HH153" s="146">
        <v>0</v>
      </c>
      <c r="HI153" s="146">
        <v>0</v>
      </c>
      <c r="HJ153" s="146">
        <v>0</v>
      </c>
      <c r="HK153" s="146">
        <v>0</v>
      </c>
      <c r="HL153" s="146">
        <v>0</v>
      </c>
      <c r="HM153" s="146">
        <v>0</v>
      </c>
      <c r="HN153" s="146">
        <v>0</v>
      </c>
      <c r="HO153" s="146">
        <v>0</v>
      </c>
      <c r="HP153" s="146">
        <v>0</v>
      </c>
      <c r="HQ153" s="146">
        <v>0</v>
      </c>
      <c r="HR153" s="146">
        <v>0</v>
      </c>
      <c r="HS153" s="146">
        <v>0</v>
      </c>
      <c r="HT153" s="146">
        <v>0</v>
      </c>
      <c r="HU153" s="151"/>
      <c r="HV153" s="146">
        <v>0</v>
      </c>
      <c r="HW153" s="151"/>
      <c r="HX153" s="151"/>
      <c r="HY153" s="151"/>
      <c r="HZ153" s="151"/>
      <c r="IA153" s="151"/>
      <c r="IB153" s="151"/>
      <c r="IC153" s="151"/>
      <c r="ID153" s="151"/>
      <c r="IE153" s="151"/>
      <c r="IF153" s="151"/>
      <c r="IG153" s="151"/>
      <c r="IH153" s="151"/>
      <c r="II153" s="151"/>
      <c r="IJ153" s="151"/>
      <c r="IK153" s="151"/>
      <c r="IL153" s="151"/>
      <c r="IM153" s="151"/>
      <c r="IN153" s="151"/>
      <c r="IO153" s="151"/>
      <c r="IP153" s="151"/>
      <c r="IQ153" s="151"/>
      <c r="IR153" s="151"/>
      <c r="IS153" s="151"/>
      <c r="IT153" s="151"/>
      <c r="IU153" s="151"/>
      <c r="IV153" s="151"/>
      <c r="IW153" s="151"/>
      <c r="IX153" s="151"/>
      <c r="IY153" s="151"/>
      <c r="IZ153" s="151"/>
      <c r="JA153" s="151"/>
      <c r="JB153" s="151"/>
      <c r="JC153" s="151"/>
      <c r="JD153" s="151"/>
      <c r="JE153" s="151"/>
      <c r="JF153" s="151"/>
      <c r="JG153" s="151"/>
      <c r="JH153" s="151"/>
      <c r="JI153" s="151"/>
      <c r="JJ153" s="151"/>
      <c r="JK153" s="151"/>
      <c r="JL153" s="151"/>
      <c r="JM153" s="151"/>
      <c r="JN153" s="151"/>
      <c r="JO153" s="151"/>
      <c r="JP153" s="151"/>
      <c r="JQ153" s="151"/>
      <c r="JR153" s="151"/>
      <c r="JS153" s="151"/>
      <c r="JT153" s="151"/>
      <c r="JU153" s="151"/>
      <c r="JV153" s="151"/>
      <c r="JW153" s="151"/>
      <c r="JX153" s="151"/>
      <c r="JY153" s="151"/>
      <c r="JZ153" s="151"/>
      <c r="KA153" s="151"/>
      <c r="KB153" s="151"/>
      <c r="KC153" s="151"/>
      <c r="KD153" s="151"/>
      <c r="KE153" s="151"/>
      <c r="KF153" s="151"/>
      <c r="KG153" s="151"/>
      <c r="KH153" s="151"/>
      <c r="KI153" s="151"/>
      <c r="KJ153" s="151"/>
      <c r="KK153" s="151"/>
      <c r="KL153" s="151"/>
      <c r="KM153" s="151"/>
      <c r="KN153" s="151"/>
      <c r="KO153" s="151"/>
      <c r="KP153" s="151"/>
      <c r="KQ153" s="151"/>
      <c r="KR153" s="151"/>
      <c r="KS153" s="151"/>
      <c r="KT153" s="151"/>
      <c r="KU153" s="151"/>
      <c r="KV153" s="151"/>
      <c r="KW153" s="151"/>
      <c r="KX153" s="151"/>
      <c r="KY153" s="151"/>
      <c r="KZ153" s="151"/>
      <c r="LA153" s="151"/>
      <c r="LB153" s="151"/>
      <c r="LC153" s="151"/>
      <c r="LD153" s="151"/>
      <c r="LE153" s="151"/>
    </row>
    <row r="154" spans="1:317" x14ac:dyDescent="0.2">
      <c r="A154" s="179" t="s">
        <v>849</v>
      </c>
      <c r="B154" s="180" t="s">
        <v>1053</v>
      </c>
      <c r="C154" s="181"/>
      <c r="D154" s="182">
        <v>0</v>
      </c>
      <c r="E154" s="182">
        <v>0</v>
      </c>
      <c r="F154" s="183" t="s">
        <v>1312</v>
      </c>
      <c r="G154" s="183">
        <v>0</v>
      </c>
      <c r="H154" s="183">
        <v>0</v>
      </c>
      <c r="I154" s="183">
        <v>0</v>
      </c>
      <c r="J154" s="183">
        <v>0</v>
      </c>
      <c r="K154" s="183" t="s">
        <v>1368</v>
      </c>
      <c r="L154" s="183">
        <v>0</v>
      </c>
      <c r="M154" s="183">
        <v>0</v>
      </c>
      <c r="N154" s="183" t="s">
        <v>881</v>
      </c>
      <c r="O154" s="183">
        <v>0</v>
      </c>
      <c r="P154" s="183">
        <v>0</v>
      </c>
      <c r="Q154" s="183"/>
      <c r="R154" s="183"/>
      <c r="S154" s="183"/>
      <c r="T154" s="183"/>
      <c r="U154" s="183"/>
      <c r="V154" s="183">
        <v>0</v>
      </c>
      <c r="W154" s="183">
        <v>0</v>
      </c>
      <c r="X154" s="183">
        <v>0</v>
      </c>
      <c r="Y154" s="184">
        <v>0</v>
      </c>
      <c r="Z154" s="184">
        <v>0</v>
      </c>
      <c r="AA154" s="184">
        <v>0</v>
      </c>
      <c r="AB154" s="185" t="s">
        <v>615</v>
      </c>
      <c r="AC154" s="185" t="s">
        <v>615</v>
      </c>
      <c r="AD154" s="186" t="s">
        <v>881</v>
      </c>
      <c r="AE154" s="186" t="s">
        <v>858</v>
      </c>
      <c r="AF154" s="187">
        <v>7</v>
      </c>
      <c r="AG154" s="187">
        <v>3</v>
      </c>
      <c r="AH154" s="187">
        <v>4</v>
      </c>
      <c r="AI154" s="188">
        <v>1</v>
      </c>
      <c r="AJ154" s="188" t="s">
        <v>615</v>
      </c>
      <c r="AK154" s="187" t="s">
        <v>1738</v>
      </c>
      <c r="AL154" s="87" t="s">
        <v>615</v>
      </c>
      <c r="AM154" s="189"/>
      <c r="AN154" s="187" t="s">
        <v>615</v>
      </c>
      <c r="AO154" s="13" t="s">
        <v>615</v>
      </c>
      <c r="AP154" s="187">
        <v>0</v>
      </c>
      <c r="AQ154" s="187">
        <v>0</v>
      </c>
      <c r="AR154" s="190">
        <v>0</v>
      </c>
      <c r="AS154" s="190">
        <v>0</v>
      </c>
      <c r="AT154" s="190">
        <v>0</v>
      </c>
      <c r="AU154" s="187">
        <v>0</v>
      </c>
      <c r="AV154" s="187">
        <v>0</v>
      </c>
      <c r="AW154" s="191"/>
      <c r="AX154" s="192"/>
      <c r="AY154" s="193">
        <v>42666</v>
      </c>
      <c r="AZ154" s="193"/>
      <c r="BA154" s="193"/>
      <c r="BB154" s="194"/>
      <c r="BC154" s="194"/>
      <c r="BD154" s="195"/>
      <c r="BE154" s="195" t="s">
        <v>532</v>
      </c>
      <c r="BF154" s="195"/>
      <c r="BG154" s="195">
        <v>48</v>
      </c>
      <c r="BH154" s="196" t="s">
        <v>547</v>
      </c>
      <c r="BI154" s="197">
        <v>1</v>
      </c>
      <c r="BJ154" s="198"/>
      <c r="BK154" s="199">
        <v>0</v>
      </c>
      <c r="BL154" s="13">
        <v>0</v>
      </c>
      <c r="BM154" s="13">
        <v>0</v>
      </c>
      <c r="BN154" s="13" t="s">
        <v>616</v>
      </c>
      <c r="BO154" s="13" t="s">
        <v>616</v>
      </c>
      <c r="BP154" s="200">
        <v>0</v>
      </c>
      <c r="BQ154" s="201"/>
      <c r="BR154" s="202"/>
      <c r="BS154" s="187">
        <v>1000000000</v>
      </c>
      <c r="BT154" s="203">
        <v>0</v>
      </c>
      <c r="BU154" s="204">
        <v>0</v>
      </c>
      <c r="BV154" s="203">
        <v>0</v>
      </c>
      <c r="BW154" s="205">
        <v>0</v>
      </c>
      <c r="BX154" s="205">
        <v>0</v>
      </c>
      <c r="BY154" s="205">
        <v>0</v>
      </c>
      <c r="BZ154" s="203">
        <v>0</v>
      </c>
      <c r="CA154" s="203">
        <v>0</v>
      </c>
      <c r="CB154" s="203">
        <v>0</v>
      </c>
      <c r="CC154" s="204">
        <v>0</v>
      </c>
      <c r="CD154" s="203">
        <v>0</v>
      </c>
      <c r="CE154" s="203">
        <v>0</v>
      </c>
      <c r="CF154" s="13">
        <v>0</v>
      </c>
      <c r="CG154" s="206">
        <v>0</v>
      </c>
      <c r="CH154" s="207">
        <v>0</v>
      </c>
      <c r="CI154" s="201"/>
      <c r="CJ154" s="208"/>
      <c r="CK154" s="209" t="s">
        <v>615</v>
      </c>
      <c r="CL154" s="210" t="s">
        <v>615</v>
      </c>
      <c r="CM154" s="207">
        <v>0</v>
      </c>
      <c r="CN154" s="207">
        <v>0</v>
      </c>
      <c r="CO154" s="204">
        <v>0</v>
      </c>
      <c r="CP154" s="204">
        <v>0</v>
      </c>
      <c r="CQ154" s="211"/>
      <c r="CR154" s="204">
        <v>1</v>
      </c>
      <c r="CS154" s="212">
        <v>42558</v>
      </c>
      <c r="CT154" s="212">
        <v>42780</v>
      </c>
      <c r="CU154" s="213">
        <v>42780</v>
      </c>
      <c r="CV154" s="214">
        <v>42829</v>
      </c>
      <c r="CW154" s="214" t="s">
        <v>615</v>
      </c>
      <c r="CX154" s="214" t="s">
        <v>615</v>
      </c>
      <c r="CY154" s="204">
        <v>1</v>
      </c>
      <c r="CZ154" s="204">
        <v>0.97959183673469385</v>
      </c>
      <c r="DA154" s="203">
        <v>0</v>
      </c>
      <c r="DB154" s="204">
        <v>0.97959183673469385</v>
      </c>
      <c r="DC154" s="204">
        <v>0</v>
      </c>
      <c r="DD154" s="204">
        <v>0</v>
      </c>
      <c r="DE154" s="204">
        <v>0</v>
      </c>
      <c r="DF154" s="215">
        <v>0</v>
      </c>
      <c r="DG154" s="13" t="s">
        <v>615</v>
      </c>
      <c r="DH154" s="86">
        <v>152</v>
      </c>
      <c r="DI154" s="86"/>
      <c r="DJ154" s="86">
        <v>77</v>
      </c>
      <c r="DK154" s="86" t="s">
        <v>1563</v>
      </c>
      <c r="DL154" s="86" t="e">
        <v>#N/A</v>
      </c>
      <c r="DM154" s="86" t="e">
        <v>#N/A</v>
      </c>
      <c r="DN154" s="86" t="e">
        <v>#N/A</v>
      </c>
      <c r="DO154" s="86">
        <v>79</v>
      </c>
      <c r="DP154" s="86">
        <v>5</v>
      </c>
      <c r="DQ154" s="86">
        <v>49</v>
      </c>
      <c r="DR154" s="152">
        <v>0</v>
      </c>
      <c r="DS154" s="152">
        <v>0</v>
      </c>
      <c r="DT154" s="152">
        <v>0</v>
      </c>
      <c r="DU154" s="152">
        <v>0</v>
      </c>
      <c r="DV154" s="152">
        <v>0</v>
      </c>
      <c r="DW154" s="152">
        <v>0</v>
      </c>
      <c r="DX154" s="152">
        <v>0</v>
      </c>
      <c r="DY154" s="152">
        <v>0</v>
      </c>
      <c r="DZ154" s="152">
        <v>0</v>
      </c>
      <c r="EA154" s="152">
        <v>0</v>
      </c>
      <c r="EB154" s="152">
        <v>0</v>
      </c>
      <c r="EC154" s="152">
        <v>0</v>
      </c>
      <c r="ED154" s="152">
        <v>0</v>
      </c>
      <c r="EE154" s="152">
        <v>0</v>
      </c>
      <c r="EF154" s="152">
        <v>0</v>
      </c>
      <c r="EG154" s="152">
        <v>0</v>
      </c>
      <c r="EH154" s="152">
        <v>0</v>
      </c>
      <c r="EI154" s="152">
        <v>0</v>
      </c>
      <c r="EJ154" s="152">
        <v>0</v>
      </c>
      <c r="EK154" s="152">
        <v>0</v>
      </c>
      <c r="EL154" s="152">
        <v>0</v>
      </c>
      <c r="EM154" s="152">
        <v>0</v>
      </c>
      <c r="EN154" s="152">
        <v>0</v>
      </c>
      <c r="EO154" s="152">
        <v>0</v>
      </c>
      <c r="EP154" s="152">
        <v>0</v>
      </c>
      <c r="EQ154" s="152">
        <v>0</v>
      </c>
      <c r="ER154" s="152">
        <v>0</v>
      </c>
      <c r="ES154" s="152">
        <v>0</v>
      </c>
      <c r="ET154" s="152">
        <v>0</v>
      </c>
      <c r="EU154" s="152">
        <v>0</v>
      </c>
      <c r="EV154" s="152">
        <v>0</v>
      </c>
      <c r="EW154" s="152">
        <v>0</v>
      </c>
      <c r="EX154" s="152">
        <v>0</v>
      </c>
      <c r="EY154" s="152">
        <v>0</v>
      </c>
      <c r="EZ154" s="152">
        <v>0</v>
      </c>
      <c r="FA154" s="152">
        <v>0</v>
      </c>
      <c r="FB154" s="152">
        <v>0</v>
      </c>
      <c r="FC154" s="152">
        <v>0</v>
      </c>
      <c r="FD154" s="152">
        <v>0</v>
      </c>
      <c r="FE154" s="152">
        <v>0</v>
      </c>
      <c r="FF154" s="152">
        <v>0</v>
      </c>
      <c r="FG154" s="152">
        <v>0</v>
      </c>
      <c r="FH154" s="152">
        <v>0</v>
      </c>
      <c r="FI154" s="152">
        <v>0</v>
      </c>
      <c r="FJ154" s="152">
        <v>0</v>
      </c>
      <c r="FK154" s="152">
        <v>0</v>
      </c>
      <c r="FL154" s="152">
        <v>0</v>
      </c>
      <c r="FM154" s="152">
        <v>0</v>
      </c>
      <c r="FN154" s="152">
        <v>0</v>
      </c>
      <c r="FO154" s="152">
        <v>0</v>
      </c>
      <c r="FP154" s="152">
        <v>0</v>
      </c>
      <c r="FQ154" s="152">
        <v>0</v>
      </c>
      <c r="FR154" s="152">
        <v>0</v>
      </c>
      <c r="FS154" s="152">
        <v>0</v>
      </c>
      <c r="FT154" s="152">
        <v>0</v>
      </c>
      <c r="FU154" s="152">
        <v>0</v>
      </c>
      <c r="FV154" s="152">
        <v>0</v>
      </c>
      <c r="FW154" s="152">
        <v>0</v>
      </c>
      <c r="FX154" s="152">
        <v>0</v>
      </c>
      <c r="FY154" s="152">
        <v>0</v>
      </c>
      <c r="FZ154" s="152">
        <v>0</v>
      </c>
      <c r="GA154" s="152">
        <v>0</v>
      </c>
      <c r="GB154" s="152">
        <v>0</v>
      </c>
      <c r="GC154" s="152">
        <v>0</v>
      </c>
      <c r="GD154" s="152">
        <v>0</v>
      </c>
      <c r="GE154" s="152">
        <v>0</v>
      </c>
      <c r="GF154" s="152">
        <v>0</v>
      </c>
      <c r="GG154" s="152">
        <v>0</v>
      </c>
      <c r="GH154" s="152">
        <v>0</v>
      </c>
      <c r="GI154" s="152">
        <v>0</v>
      </c>
      <c r="GJ154" s="152">
        <v>0</v>
      </c>
      <c r="GK154" s="152">
        <v>0</v>
      </c>
      <c r="GL154" s="152">
        <v>0</v>
      </c>
      <c r="GM154" s="152">
        <v>0</v>
      </c>
      <c r="GN154" s="152">
        <v>0</v>
      </c>
      <c r="GO154" s="152">
        <v>0</v>
      </c>
      <c r="GP154" s="152">
        <v>0</v>
      </c>
      <c r="GQ154" s="152">
        <v>0</v>
      </c>
      <c r="GR154" s="152">
        <v>0</v>
      </c>
      <c r="GS154" s="152">
        <v>0</v>
      </c>
      <c r="GT154" s="152">
        <v>0</v>
      </c>
      <c r="GU154" s="152">
        <v>0</v>
      </c>
      <c r="GV154" s="152">
        <v>0</v>
      </c>
      <c r="GW154" s="152">
        <v>0</v>
      </c>
      <c r="GX154" s="152">
        <v>0</v>
      </c>
      <c r="GY154" s="152">
        <v>0</v>
      </c>
      <c r="GZ154" s="152">
        <v>0</v>
      </c>
      <c r="HA154" s="152">
        <v>0</v>
      </c>
      <c r="HB154" s="152">
        <v>0</v>
      </c>
      <c r="HC154" s="152">
        <v>0</v>
      </c>
      <c r="HD154" s="152">
        <v>0</v>
      </c>
      <c r="HE154" s="152">
        <v>0</v>
      </c>
      <c r="HF154" s="152">
        <v>0</v>
      </c>
      <c r="HG154" s="152">
        <v>0</v>
      </c>
      <c r="HH154" s="152">
        <v>0</v>
      </c>
      <c r="HI154" s="152">
        <v>0</v>
      </c>
      <c r="HJ154" s="152">
        <v>0</v>
      </c>
      <c r="HK154" s="152">
        <v>0</v>
      </c>
      <c r="HL154" s="152">
        <v>0</v>
      </c>
      <c r="HM154" s="152">
        <v>0</v>
      </c>
      <c r="HN154" s="152">
        <v>0</v>
      </c>
      <c r="HO154" s="152">
        <v>0</v>
      </c>
      <c r="HP154" s="152">
        <v>0</v>
      </c>
      <c r="HQ154" s="152">
        <v>0</v>
      </c>
      <c r="HR154" s="152">
        <v>0</v>
      </c>
      <c r="HS154" s="152">
        <v>0</v>
      </c>
      <c r="HT154" s="152">
        <v>0</v>
      </c>
      <c r="HU154" s="216"/>
      <c r="HV154" s="152">
        <v>0</v>
      </c>
      <c r="HW154" s="216"/>
      <c r="HX154" s="216"/>
      <c r="HY154" s="216"/>
      <c r="HZ154" s="216"/>
      <c r="IA154" s="216"/>
      <c r="IB154" s="216"/>
      <c r="IC154" s="216"/>
      <c r="ID154" s="216"/>
      <c r="IE154" s="216"/>
      <c r="IF154" s="216"/>
      <c r="IG154" s="216"/>
      <c r="IH154" s="216"/>
      <c r="II154" s="216"/>
      <c r="IJ154" s="216"/>
      <c r="IK154" s="216"/>
      <c r="IL154" s="216"/>
      <c r="IM154" s="216"/>
      <c r="IN154" s="216"/>
      <c r="IO154" s="216"/>
      <c r="IP154" s="216"/>
      <c r="IQ154" s="216"/>
      <c r="IR154" s="216"/>
      <c r="IS154" s="216"/>
      <c r="IT154" s="216"/>
      <c r="IU154" s="216"/>
      <c r="IV154" s="216"/>
      <c r="IW154" s="216"/>
      <c r="IX154" s="216"/>
      <c r="IY154" s="216"/>
      <c r="IZ154" s="216"/>
      <c r="JA154" s="216"/>
      <c r="JB154" s="216"/>
      <c r="JC154" s="216"/>
      <c r="JD154" s="216"/>
      <c r="JE154" s="216"/>
      <c r="JF154" s="216"/>
      <c r="JG154" s="216"/>
      <c r="JH154" s="216"/>
      <c r="JI154" s="216"/>
      <c r="JJ154" s="216"/>
      <c r="JK154" s="216"/>
      <c r="JL154" s="216"/>
      <c r="JM154" s="216"/>
      <c r="JN154" s="216"/>
      <c r="JO154" s="216"/>
      <c r="JP154" s="216"/>
      <c r="JQ154" s="216"/>
      <c r="JR154" s="216"/>
      <c r="JS154" s="216"/>
      <c r="JT154" s="216"/>
      <c r="JU154" s="216"/>
      <c r="JV154" s="216"/>
      <c r="JW154" s="216"/>
      <c r="JX154" s="216"/>
      <c r="JY154" s="216"/>
      <c r="JZ154" s="216"/>
      <c r="KA154" s="216"/>
      <c r="KB154" s="216"/>
      <c r="KC154" s="216"/>
      <c r="KD154" s="216"/>
      <c r="KE154" s="216"/>
      <c r="KF154" s="216"/>
      <c r="KG154" s="216"/>
      <c r="KH154" s="216"/>
      <c r="KI154" s="216"/>
      <c r="KJ154" s="216"/>
      <c r="KK154" s="216"/>
      <c r="KL154" s="216"/>
      <c r="KM154" s="216"/>
      <c r="KN154" s="216"/>
      <c r="KO154" s="216"/>
      <c r="KP154" s="216"/>
      <c r="KQ154" s="216"/>
      <c r="KR154" s="216"/>
      <c r="KS154" s="216"/>
      <c r="KT154" s="216"/>
      <c r="KU154" s="216"/>
      <c r="KV154" s="216"/>
      <c r="KW154" s="216"/>
      <c r="KX154" s="216"/>
      <c r="KY154" s="216"/>
      <c r="KZ154" s="216"/>
      <c r="LA154" s="216"/>
      <c r="LB154" s="216"/>
      <c r="LC154" s="216"/>
      <c r="LD154" s="216"/>
      <c r="LE154" s="216"/>
    </row>
    <row r="155" spans="1:317" x14ac:dyDescent="0.2">
      <c r="A155" s="179" t="s">
        <v>849</v>
      </c>
      <c r="B155" s="180" t="s">
        <v>1054</v>
      </c>
      <c r="C155" s="181"/>
      <c r="D155" s="182">
        <v>0</v>
      </c>
      <c r="E155" s="182">
        <v>0</v>
      </c>
      <c r="F155" s="183" t="s">
        <v>1312</v>
      </c>
      <c r="G155" s="183">
        <v>0</v>
      </c>
      <c r="H155" s="183">
        <v>0</v>
      </c>
      <c r="I155" s="183">
        <v>0</v>
      </c>
      <c r="J155" s="183">
        <v>0</v>
      </c>
      <c r="K155" s="183" t="s">
        <v>1368</v>
      </c>
      <c r="L155" s="183">
        <v>0</v>
      </c>
      <c r="M155" s="183">
        <v>0</v>
      </c>
      <c r="N155" s="183" t="s">
        <v>881</v>
      </c>
      <c r="O155" s="183">
        <v>0</v>
      </c>
      <c r="P155" s="183">
        <v>0</v>
      </c>
      <c r="Q155" s="183"/>
      <c r="R155" s="183"/>
      <c r="S155" s="183"/>
      <c r="T155" s="183"/>
      <c r="U155" s="183"/>
      <c r="V155" s="183">
        <v>0</v>
      </c>
      <c r="W155" s="183">
        <v>0</v>
      </c>
      <c r="X155" s="183">
        <v>0</v>
      </c>
      <c r="Y155" s="184">
        <v>0</v>
      </c>
      <c r="Z155" s="184">
        <v>0</v>
      </c>
      <c r="AA155" s="184">
        <v>0</v>
      </c>
      <c r="AB155" s="185" t="s">
        <v>615</v>
      </c>
      <c r="AC155" s="185" t="s">
        <v>615</v>
      </c>
      <c r="AD155" s="186" t="s">
        <v>881</v>
      </c>
      <c r="AE155" s="186" t="s">
        <v>858</v>
      </c>
      <c r="AF155" s="187">
        <v>7</v>
      </c>
      <c r="AG155" s="187">
        <v>3</v>
      </c>
      <c r="AH155" s="187">
        <v>4</v>
      </c>
      <c r="AI155" s="188">
        <v>1</v>
      </c>
      <c r="AJ155" s="188" t="s">
        <v>615</v>
      </c>
      <c r="AK155" s="187" t="s">
        <v>1738</v>
      </c>
      <c r="AL155" s="87" t="s">
        <v>615</v>
      </c>
      <c r="AM155" s="189"/>
      <c r="AN155" s="187" t="s">
        <v>615</v>
      </c>
      <c r="AO155" s="13" t="s">
        <v>615</v>
      </c>
      <c r="AP155" s="187">
        <v>0</v>
      </c>
      <c r="AQ155" s="187">
        <v>0</v>
      </c>
      <c r="AR155" s="190">
        <v>0</v>
      </c>
      <c r="AS155" s="190">
        <v>0</v>
      </c>
      <c r="AT155" s="190">
        <v>0</v>
      </c>
      <c r="AU155" s="187">
        <v>0</v>
      </c>
      <c r="AV155" s="187">
        <v>0</v>
      </c>
      <c r="AW155" s="191"/>
      <c r="AX155" s="192"/>
      <c r="AY155" s="193">
        <v>42666</v>
      </c>
      <c r="AZ155" s="193"/>
      <c r="BA155" s="193"/>
      <c r="BB155" s="194"/>
      <c r="BC155" s="194"/>
      <c r="BD155" s="195"/>
      <c r="BE155" s="195" t="s">
        <v>532</v>
      </c>
      <c r="BF155" s="195"/>
      <c r="BG155" s="195">
        <v>96</v>
      </c>
      <c r="BH155" s="196" t="s">
        <v>547</v>
      </c>
      <c r="BI155" s="197">
        <v>1</v>
      </c>
      <c r="BJ155" s="198"/>
      <c r="BK155" s="199">
        <v>0</v>
      </c>
      <c r="BL155" s="13">
        <v>0</v>
      </c>
      <c r="BM155" s="13">
        <v>0</v>
      </c>
      <c r="BN155" s="13" t="s">
        <v>616</v>
      </c>
      <c r="BO155" s="13" t="s">
        <v>616</v>
      </c>
      <c r="BP155" s="200">
        <v>0</v>
      </c>
      <c r="BQ155" s="201"/>
      <c r="BR155" s="202"/>
      <c r="BS155" s="187">
        <v>1000000000</v>
      </c>
      <c r="BT155" s="203">
        <v>0</v>
      </c>
      <c r="BU155" s="204">
        <v>0</v>
      </c>
      <c r="BV155" s="203">
        <v>0</v>
      </c>
      <c r="BW155" s="205">
        <v>0</v>
      </c>
      <c r="BX155" s="205">
        <v>0</v>
      </c>
      <c r="BY155" s="205">
        <v>0</v>
      </c>
      <c r="BZ155" s="203">
        <v>0</v>
      </c>
      <c r="CA155" s="203">
        <v>0</v>
      </c>
      <c r="CB155" s="203">
        <v>0</v>
      </c>
      <c r="CC155" s="204">
        <v>0</v>
      </c>
      <c r="CD155" s="203">
        <v>0</v>
      </c>
      <c r="CE155" s="203">
        <v>0</v>
      </c>
      <c r="CF155" s="13">
        <v>0</v>
      </c>
      <c r="CG155" s="206">
        <v>0</v>
      </c>
      <c r="CH155" s="207">
        <v>0</v>
      </c>
      <c r="CI155" s="201"/>
      <c r="CJ155" s="208"/>
      <c r="CK155" s="209" t="s">
        <v>615</v>
      </c>
      <c r="CL155" s="210" t="s">
        <v>615</v>
      </c>
      <c r="CM155" s="207">
        <v>0</v>
      </c>
      <c r="CN155" s="207">
        <v>0</v>
      </c>
      <c r="CO155" s="204">
        <v>0</v>
      </c>
      <c r="CP155" s="204">
        <v>0</v>
      </c>
      <c r="CQ155" s="211"/>
      <c r="CR155" s="204">
        <v>1</v>
      </c>
      <c r="CS155" s="212">
        <v>42558</v>
      </c>
      <c r="CT155" s="212">
        <v>42780</v>
      </c>
      <c r="CU155" s="213">
        <v>42780</v>
      </c>
      <c r="CV155" s="214">
        <v>42829</v>
      </c>
      <c r="CW155" s="214" t="s">
        <v>615</v>
      </c>
      <c r="CX155" s="214" t="s">
        <v>615</v>
      </c>
      <c r="CY155" s="204">
        <v>1</v>
      </c>
      <c r="CZ155" s="204">
        <v>0.97959183673469385</v>
      </c>
      <c r="DA155" s="203">
        <v>0</v>
      </c>
      <c r="DB155" s="204">
        <v>0.97959183673469385</v>
      </c>
      <c r="DC155" s="204">
        <v>0</v>
      </c>
      <c r="DD155" s="204">
        <v>0</v>
      </c>
      <c r="DE155" s="204">
        <v>0</v>
      </c>
      <c r="DF155" s="215">
        <v>0</v>
      </c>
      <c r="DG155" s="13" t="s">
        <v>615</v>
      </c>
      <c r="DH155" s="86">
        <v>153</v>
      </c>
      <c r="DI155" s="86"/>
      <c r="DJ155" s="86">
        <v>78</v>
      </c>
      <c r="DK155" s="86" t="s">
        <v>1564</v>
      </c>
      <c r="DL155" s="86" t="e">
        <v>#N/A</v>
      </c>
      <c r="DM155" s="86" t="e">
        <v>#N/A</v>
      </c>
      <c r="DN155" s="86" t="e">
        <v>#N/A</v>
      </c>
      <c r="DO155" s="86">
        <v>80</v>
      </c>
      <c r="DP155" s="86">
        <v>5</v>
      </c>
      <c r="DQ155" s="86">
        <v>49</v>
      </c>
      <c r="DR155" s="146">
        <v>0</v>
      </c>
      <c r="DS155" s="146">
        <v>0</v>
      </c>
      <c r="DT155" s="146">
        <v>0</v>
      </c>
      <c r="DU155" s="146">
        <v>0</v>
      </c>
      <c r="DV155" s="146">
        <v>0</v>
      </c>
      <c r="DW155" s="146">
        <v>0</v>
      </c>
      <c r="DX155" s="146">
        <v>0</v>
      </c>
      <c r="DY155" s="146">
        <v>0</v>
      </c>
      <c r="DZ155" s="146">
        <v>0</v>
      </c>
      <c r="EA155" s="146">
        <v>0</v>
      </c>
      <c r="EB155" s="146">
        <v>0</v>
      </c>
      <c r="EC155" s="146">
        <v>0</v>
      </c>
      <c r="ED155" s="146">
        <v>0</v>
      </c>
      <c r="EE155" s="146">
        <v>0</v>
      </c>
      <c r="EF155" s="146">
        <v>0</v>
      </c>
      <c r="EG155" s="146">
        <v>0</v>
      </c>
      <c r="EH155" s="146">
        <v>0</v>
      </c>
      <c r="EI155" s="146">
        <v>0</v>
      </c>
      <c r="EJ155" s="146">
        <v>0</v>
      </c>
      <c r="EK155" s="146">
        <v>0</v>
      </c>
      <c r="EL155" s="146">
        <v>0</v>
      </c>
      <c r="EM155" s="146">
        <v>0</v>
      </c>
      <c r="EN155" s="146">
        <v>0</v>
      </c>
      <c r="EO155" s="146">
        <v>0</v>
      </c>
      <c r="EP155" s="146">
        <v>0</v>
      </c>
      <c r="EQ155" s="146">
        <v>0</v>
      </c>
      <c r="ER155" s="146">
        <v>0</v>
      </c>
      <c r="ES155" s="146">
        <v>0</v>
      </c>
      <c r="ET155" s="146">
        <v>0</v>
      </c>
      <c r="EU155" s="146">
        <v>0</v>
      </c>
      <c r="EV155" s="146">
        <v>0</v>
      </c>
      <c r="EW155" s="146">
        <v>0</v>
      </c>
      <c r="EX155" s="146">
        <v>0</v>
      </c>
      <c r="EY155" s="146">
        <v>0</v>
      </c>
      <c r="EZ155" s="146">
        <v>0</v>
      </c>
      <c r="FA155" s="146">
        <v>0</v>
      </c>
      <c r="FB155" s="146">
        <v>0</v>
      </c>
      <c r="FC155" s="146">
        <v>0</v>
      </c>
      <c r="FD155" s="146">
        <v>0</v>
      </c>
      <c r="FE155" s="146">
        <v>0</v>
      </c>
      <c r="FF155" s="146">
        <v>0</v>
      </c>
      <c r="FG155" s="146">
        <v>0</v>
      </c>
      <c r="FH155" s="146">
        <v>0</v>
      </c>
      <c r="FI155" s="146">
        <v>0</v>
      </c>
      <c r="FJ155" s="146">
        <v>0</v>
      </c>
      <c r="FK155" s="146">
        <v>0</v>
      </c>
      <c r="FL155" s="146">
        <v>0</v>
      </c>
      <c r="FM155" s="146">
        <v>0</v>
      </c>
      <c r="FN155" s="146">
        <v>0</v>
      </c>
      <c r="FO155" s="146">
        <v>0</v>
      </c>
      <c r="FP155" s="146">
        <v>0</v>
      </c>
      <c r="FQ155" s="146">
        <v>0</v>
      </c>
      <c r="FR155" s="146">
        <v>0</v>
      </c>
      <c r="FS155" s="146">
        <v>0</v>
      </c>
      <c r="FT155" s="146">
        <v>0</v>
      </c>
      <c r="FU155" s="146">
        <v>0</v>
      </c>
      <c r="FV155" s="146">
        <v>0</v>
      </c>
      <c r="FW155" s="146">
        <v>0</v>
      </c>
      <c r="FX155" s="146">
        <v>0</v>
      </c>
      <c r="FY155" s="146">
        <v>0</v>
      </c>
      <c r="FZ155" s="146">
        <v>0</v>
      </c>
      <c r="GA155" s="146">
        <v>0</v>
      </c>
      <c r="GB155" s="146">
        <v>0</v>
      </c>
      <c r="GC155" s="146">
        <v>0</v>
      </c>
      <c r="GD155" s="146">
        <v>0</v>
      </c>
      <c r="GE155" s="146">
        <v>0</v>
      </c>
      <c r="GF155" s="146">
        <v>0</v>
      </c>
      <c r="GG155" s="146">
        <v>0</v>
      </c>
      <c r="GH155" s="146">
        <v>0</v>
      </c>
      <c r="GI155" s="146">
        <v>0</v>
      </c>
      <c r="GJ155" s="146">
        <v>0</v>
      </c>
      <c r="GK155" s="146">
        <v>0</v>
      </c>
      <c r="GL155" s="146">
        <v>0</v>
      </c>
      <c r="GM155" s="146">
        <v>0</v>
      </c>
      <c r="GN155" s="146">
        <v>0</v>
      </c>
      <c r="GO155" s="146">
        <v>0</v>
      </c>
      <c r="GP155" s="146">
        <v>0</v>
      </c>
      <c r="GQ155" s="146">
        <v>0</v>
      </c>
      <c r="GR155" s="146">
        <v>0</v>
      </c>
      <c r="GS155" s="146">
        <v>0</v>
      </c>
      <c r="GT155" s="146">
        <v>0</v>
      </c>
      <c r="GU155" s="146">
        <v>0</v>
      </c>
      <c r="GV155" s="146">
        <v>0</v>
      </c>
      <c r="GW155" s="146">
        <v>0</v>
      </c>
      <c r="GX155" s="146">
        <v>0</v>
      </c>
      <c r="GY155" s="146">
        <v>0</v>
      </c>
      <c r="GZ155" s="146">
        <v>0</v>
      </c>
      <c r="HA155" s="146">
        <v>0</v>
      </c>
      <c r="HB155" s="146">
        <v>0</v>
      </c>
      <c r="HC155" s="146">
        <v>0</v>
      </c>
      <c r="HD155" s="146">
        <v>0</v>
      </c>
      <c r="HE155" s="146">
        <v>0</v>
      </c>
      <c r="HF155" s="146">
        <v>0</v>
      </c>
      <c r="HG155" s="146">
        <v>0</v>
      </c>
      <c r="HH155" s="146">
        <v>0</v>
      </c>
      <c r="HI155" s="146">
        <v>0</v>
      </c>
      <c r="HJ155" s="146">
        <v>0</v>
      </c>
      <c r="HK155" s="146">
        <v>0</v>
      </c>
      <c r="HL155" s="146">
        <v>0</v>
      </c>
      <c r="HM155" s="146">
        <v>0</v>
      </c>
      <c r="HN155" s="146">
        <v>0</v>
      </c>
      <c r="HO155" s="146">
        <v>0</v>
      </c>
      <c r="HP155" s="146">
        <v>0</v>
      </c>
      <c r="HQ155" s="146">
        <v>0</v>
      </c>
      <c r="HR155" s="146">
        <v>0</v>
      </c>
      <c r="HS155" s="146">
        <v>0</v>
      </c>
      <c r="HT155" s="146">
        <v>0</v>
      </c>
      <c r="HU155" s="151"/>
      <c r="HV155" s="146">
        <v>0</v>
      </c>
      <c r="HW155" s="151"/>
      <c r="HX155" s="151"/>
      <c r="HY155" s="151"/>
      <c r="HZ155" s="151"/>
      <c r="IA155" s="151"/>
      <c r="IB155" s="151"/>
      <c r="IC155" s="151"/>
      <c r="ID155" s="151"/>
      <c r="IE155" s="151"/>
      <c r="IF155" s="151"/>
      <c r="IG155" s="151"/>
      <c r="IH155" s="151"/>
      <c r="II155" s="151"/>
      <c r="IJ155" s="151"/>
      <c r="IK155" s="151"/>
      <c r="IL155" s="151"/>
      <c r="IM155" s="151"/>
      <c r="IN155" s="151"/>
      <c r="IO155" s="151"/>
      <c r="IP155" s="151"/>
      <c r="IQ155" s="151"/>
      <c r="IR155" s="151"/>
      <c r="IS155" s="151"/>
      <c r="IT155" s="151"/>
      <c r="IU155" s="151"/>
      <c r="IV155" s="151"/>
      <c r="IW155" s="151"/>
      <c r="IX155" s="151"/>
      <c r="IY155" s="151"/>
      <c r="IZ155" s="151"/>
      <c r="JA155" s="151"/>
      <c r="JB155" s="151"/>
      <c r="JC155" s="151"/>
      <c r="JD155" s="151"/>
      <c r="JE155" s="151"/>
      <c r="JF155" s="151"/>
      <c r="JG155" s="151"/>
      <c r="JH155" s="151"/>
      <c r="JI155" s="151"/>
      <c r="JJ155" s="151"/>
      <c r="JK155" s="151"/>
      <c r="JL155" s="151"/>
      <c r="JM155" s="151"/>
      <c r="JN155" s="151"/>
      <c r="JO155" s="151"/>
      <c r="JP155" s="151"/>
      <c r="JQ155" s="151"/>
      <c r="JR155" s="151"/>
      <c r="JS155" s="151"/>
      <c r="JT155" s="151"/>
      <c r="JU155" s="151"/>
      <c r="JV155" s="151"/>
      <c r="JW155" s="151"/>
      <c r="JX155" s="151"/>
      <c r="JY155" s="151"/>
      <c r="JZ155" s="151"/>
      <c r="KA155" s="151"/>
      <c r="KB155" s="151"/>
      <c r="KC155" s="151"/>
      <c r="KD155" s="151"/>
      <c r="KE155" s="151"/>
      <c r="KF155" s="151"/>
      <c r="KG155" s="151"/>
      <c r="KH155" s="151"/>
      <c r="KI155" s="151"/>
      <c r="KJ155" s="151"/>
      <c r="KK155" s="151"/>
      <c r="KL155" s="151"/>
      <c r="KM155" s="151"/>
      <c r="KN155" s="151"/>
      <c r="KO155" s="151"/>
      <c r="KP155" s="151"/>
      <c r="KQ155" s="151"/>
      <c r="KR155" s="151"/>
      <c r="KS155" s="151"/>
      <c r="KT155" s="151"/>
      <c r="KU155" s="151"/>
      <c r="KV155" s="151"/>
      <c r="KW155" s="151"/>
      <c r="KX155" s="151"/>
      <c r="KY155" s="151"/>
      <c r="KZ155" s="151"/>
      <c r="LA155" s="151"/>
      <c r="LB155" s="151"/>
      <c r="LC155" s="151"/>
      <c r="LD155" s="151"/>
      <c r="LE155" s="151"/>
    </row>
    <row r="156" spans="1:317" x14ac:dyDescent="0.2">
      <c r="A156" s="179" t="s">
        <v>849</v>
      </c>
      <c r="B156" s="180" t="s">
        <v>1055</v>
      </c>
      <c r="C156" s="181"/>
      <c r="D156" s="182">
        <v>0</v>
      </c>
      <c r="E156" s="182">
        <v>0</v>
      </c>
      <c r="F156" s="183" t="s">
        <v>1312</v>
      </c>
      <c r="G156" s="183">
        <v>0</v>
      </c>
      <c r="H156" s="183">
        <v>0</v>
      </c>
      <c r="I156" s="183">
        <v>0</v>
      </c>
      <c r="J156" s="183">
        <v>0</v>
      </c>
      <c r="K156" s="183" t="s">
        <v>1368</v>
      </c>
      <c r="L156" s="183">
        <v>0</v>
      </c>
      <c r="M156" s="183">
        <v>0</v>
      </c>
      <c r="N156" s="183" t="s">
        <v>881</v>
      </c>
      <c r="O156" s="183">
        <v>0</v>
      </c>
      <c r="P156" s="183">
        <v>0</v>
      </c>
      <c r="Q156" s="183"/>
      <c r="R156" s="183"/>
      <c r="S156" s="183"/>
      <c r="T156" s="183"/>
      <c r="U156" s="183"/>
      <c r="V156" s="183">
        <v>0</v>
      </c>
      <c r="W156" s="183">
        <v>0</v>
      </c>
      <c r="X156" s="183">
        <v>0</v>
      </c>
      <c r="Y156" s="184">
        <v>0</v>
      </c>
      <c r="Z156" s="184">
        <v>0</v>
      </c>
      <c r="AA156" s="184">
        <v>0</v>
      </c>
      <c r="AB156" s="185" t="s">
        <v>615</v>
      </c>
      <c r="AC156" s="185" t="s">
        <v>615</v>
      </c>
      <c r="AD156" s="186" t="s">
        <v>881</v>
      </c>
      <c r="AE156" s="186" t="s">
        <v>858</v>
      </c>
      <c r="AF156" s="187">
        <v>7</v>
      </c>
      <c r="AG156" s="187">
        <v>3</v>
      </c>
      <c r="AH156" s="187">
        <v>4</v>
      </c>
      <c r="AI156" s="188">
        <v>1</v>
      </c>
      <c r="AJ156" s="188" t="s">
        <v>615</v>
      </c>
      <c r="AK156" s="187" t="s">
        <v>1738</v>
      </c>
      <c r="AL156" s="87" t="s">
        <v>615</v>
      </c>
      <c r="AM156" s="189"/>
      <c r="AN156" s="187" t="s">
        <v>615</v>
      </c>
      <c r="AO156" s="13" t="s">
        <v>615</v>
      </c>
      <c r="AP156" s="187">
        <v>0</v>
      </c>
      <c r="AQ156" s="187">
        <v>0</v>
      </c>
      <c r="AR156" s="190">
        <v>0</v>
      </c>
      <c r="AS156" s="190">
        <v>0</v>
      </c>
      <c r="AT156" s="190">
        <v>0</v>
      </c>
      <c r="AU156" s="187">
        <v>0</v>
      </c>
      <c r="AV156" s="187">
        <v>0</v>
      </c>
      <c r="AW156" s="191"/>
      <c r="AX156" s="192"/>
      <c r="AY156" s="193">
        <v>42666</v>
      </c>
      <c r="AZ156" s="193"/>
      <c r="BA156" s="193"/>
      <c r="BB156" s="194"/>
      <c r="BC156" s="194"/>
      <c r="BD156" s="195"/>
      <c r="BE156" s="195" t="s">
        <v>532</v>
      </c>
      <c r="BF156" s="195"/>
      <c r="BG156" s="195">
        <v>48</v>
      </c>
      <c r="BH156" s="196" t="s">
        <v>547</v>
      </c>
      <c r="BI156" s="197">
        <v>1</v>
      </c>
      <c r="BJ156" s="198"/>
      <c r="BK156" s="199">
        <v>0</v>
      </c>
      <c r="BL156" s="13">
        <v>0</v>
      </c>
      <c r="BM156" s="13">
        <v>0</v>
      </c>
      <c r="BN156" s="13" t="s">
        <v>616</v>
      </c>
      <c r="BO156" s="13" t="s">
        <v>616</v>
      </c>
      <c r="BP156" s="200">
        <v>0</v>
      </c>
      <c r="BQ156" s="201"/>
      <c r="BR156" s="202"/>
      <c r="BS156" s="187">
        <v>1000000000</v>
      </c>
      <c r="BT156" s="203">
        <v>0</v>
      </c>
      <c r="BU156" s="204">
        <v>0</v>
      </c>
      <c r="BV156" s="203">
        <v>0</v>
      </c>
      <c r="BW156" s="205">
        <v>0</v>
      </c>
      <c r="BX156" s="205">
        <v>0</v>
      </c>
      <c r="BY156" s="205">
        <v>0</v>
      </c>
      <c r="BZ156" s="203">
        <v>0</v>
      </c>
      <c r="CA156" s="203">
        <v>0</v>
      </c>
      <c r="CB156" s="203">
        <v>0</v>
      </c>
      <c r="CC156" s="204">
        <v>0</v>
      </c>
      <c r="CD156" s="203">
        <v>0</v>
      </c>
      <c r="CE156" s="203">
        <v>0</v>
      </c>
      <c r="CF156" s="13">
        <v>0</v>
      </c>
      <c r="CG156" s="206">
        <v>0</v>
      </c>
      <c r="CH156" s="207">
        <v>0</v>
      </c>
      <c r="CI156" s="201"/>
      <c r="CJ156" s="208"/>
      <c r="CK156" s="209" t="s">
        <v>615</v>
      </c>
      <c r="CL156" s="210" t="s">
        <v>615</v>
      </c>
      <c r="CM156" s="207">
        <v>0</v>
      </c>
      <c r="CN156" s="207">
        <v>0</v>
      </c>
      <c r="CO156" s="204">
        <v>0</v>
      </c>
      <c r="CP156" s="204">
        <v>0</v>
      </c>
      <c r="CQ156" s="211"/>
      <c r="CR156" s="204">
        <v>1</v>
      </c>
      <c r="CS156" s="212">
        <v>42558</v>
      </c>
      <c r="CT156" s="212">
        <v>42780</v>
      </c>
      <c r="CU156" s="213">
        <v>42780</v>
      </c>
      <c r="CV156" s="214">
        <v>42829</v>
      </c>
      <c r="CW156" s="214" t="s">
        <v>615</v>
      </c>
      <c r="CX156" s="214" t="s">
        <v>615</v>
      </c>
      <c r="CY156" s="204">
        <v>1</v>
      </c>
      <c r="CZ156" s="204">
        <v>0.97959183673469385</v>
      </c>
      <c r="DA156" s="203">
        <v>0</v>
      </c>
      <c r="DB156" s="204">
        <v>0.97959183673469385</v>
      </c>
      <c r="DC156" s="204">
        <v>0</v>
      </c>
      <c r="DD156" s="204">
        <v>0</v>
      </c>
      <c r="DE156" s="204">
        <v>0</v>
      </c>
      <c r="DF156" s="215">
        <v>0</v>
      </c>
      <c r="DG156" s="13" t="s">
        <v>615</v>
      </c>
      <c r="DH156" s="86">
        <v>154</v>
      </c>
      <c r="DI156" s="86"/>
      <c r="DJ156" s="86">
        <v>79</v>
      </c>
      <c r="DK156" s="86" t="s">
        <v>1565</v>
      </c>
      <c r="DL156" s="86" t="e">
        <v>#N/A</v>
      </c>
      <c r="DM156" s="86" t="e">
        <v>#N/A</v>
      </c>
      <c r="DN156" s="86" t="e">
        <v>#N/A</v>
      </c>
      <c r="DO156" s="86">
        <v>81</v>
      </c>
      <c r="DP156" s="86">
        <v>5</v>
      </c>
      <c r="DQ156" s="86">
        <v>49</v>
      </c>
      <c r="DR156" s="152">
        <v>0</v>
      </c>
      <c r="DS156" s="152">
        <v>0</v>
      </c>
      <c r="DT156" s="152">
        <v>0</v>
      </c>
      <c r="DU156" s="152">
        <v>0</v>
      </c>
      <c r="DV156" s="152">
        <v>0</v>
      </c>
      <c r="DW156" s="152">
        <v>0</v>
      </c>
      <c r="DX156" s="152">
        <v>0</v>
      </c>
      <c r="DY156" s="152">
        <v>0</v>
      </c>
      <c r="DZ156" s="152">
        <v>0</v>
      </c>
      <c r="EA156" s="152">
        <v>0</v>
      </c>
      <c r="EB156" s="152">
        <v>0</v>
      </c>
      <c r="EC156" s="152">
        <v>0</v>
      </c>
      <c r="ED156" s="152">
        <v>0</v>
      </c>
      <c r="EE156" s="152">
        <v>0</v>
      </c>
      <c r="EF156" s="152">
        <v>0</v>
      </c>
      <c r="EG156" s="152">
        <v>0</v>
      </c>
      <c r="EH156" s="152">
        <v>0</v>
      </c>
      <c r="EI156" s="152">
        <v>0</v>
      </c>
      <c r="EJ156" s="152">
        <v>0</v>
      </c>
      <c r="EK156" s="152">
        <v>0</v>
      </c>
      <c r="EL156" s="152">
        <v>0</v>
      </c>
      <c r="EM156" s="152">
        <v>0</v>
      </c>
      <c r="EN156" s="152">
        <v>0</v>
      </c>
      <c r="EO156" s="152">
        <v>0</v>
      </c>
      <c r="EP156" s="152">
        <v>0</v>
      </c>
      <c r="EQ156" s="152">
        <v>0</v>
      </c>
      <c r="ER156" s="152">
        <v>0</v>
      </c>
      <c r="ES156" s="152">
        <v>0</v>
      </c>
      <c r="ET156" s="152">
        <v>0</v>
      </c>
      <c r="EU156" s="152">
        <v>0</v>
      </c>
      <c r="EV156" s="152">
        <v>0</v>
      </c>
      <c r="EW156" s="152">
        <v>0</v>
      </c>
      <c r="EX156" s="152">
        <v>0</v>
      </c>
      <c r="EY156" s="152">
        <v>0</v>
      </c>
      <c r="EZ156" s="152">
        <v>0</v>
      </c>
      <c r="FA156" s="152">
        <v>0</v>
      </c>
      <c r="FB156" s="152">
        <v>0</v>
      </c>
      <c r="FC156" s="152">
        <v>0</v>
      </c>
      <c r="FD156" s="152">
        <v>0</v>
      </c>
      <c r="FE156" s="152">
        <v>0</v>
      </c>
      <c r="FF156" s="152">
        <v>0</v>
      </c>
      <c r="FG156" s="152">
        <v>0</v>
      </c>
      <c r="FH156" s="152">
        <v>0</v>
      </c>
      <c r="FI156" s="152">
        <v>0</v>
      </c>
      <c r="FJ156" s="152">
        <v>0</v>
      </c>
      <c r="FK156" s="152">
        <v>0</v>
      </c>
      <c r="FL156" s="152">
        <v>0</v>
      </c>
      <c r="FM156" s="152">
        <v>0</v>
      </c>
      <c r="FN156" s="152">
        <v>0</v>
      </c>
      <c r="FO156" s="152">
        <v>0</v>
      </c>
      <c r="FP156" s="152">
        <v>0</v>
      </c>
      <c r="FQ156" s="152">
        <v>0</v>
      </c>
      <c r="FR156" s="152">
        <v>0</v>
      </c>
      <c r="FS156" s="152">
        <v>0</v>
      </c>
      <c r="FT156" s="152">
        <v>0</v>
      </c>
      <c r="FU156" s="152">
        <v>0</v>
      </c>
      <c r="FV156" s="152">
        <v>0</v>
      </c>
      <c r="FW156" s="152">
        <v>0</v>
      </c>
      <c r="FX156" s="152">
        <v>0</v>
      </c>
      <c r="FY156" s="152">
        <v>0</v>
      </c>
      <c r="FZ156" s="152">
        <v>0</v>
      </c>
      <c r="GA156" s="152">
        <v>0</v>
      </c>
      <c r="GB156" s="152">
        <v>0</v>
      </c>
      <c r="GC156" s="152">
        <v>0</v>
      </c>
      <c r="GD156" s="152">
        <v>0</v>
      </c>
      <c r="GE156" s="152">
        <v>0</v>
      </c>
      <c r="GF156" s="152">
        <v>0</v>
      </c>
      <c r="GG156" s="152">
        <v>0</v>
      </c>
      <c r="GH156" s="152">
        <v>0</v>
      </c>
      <c r="GI156" s="152">
        <v>0</v>
      </c>
      <c r="GJ156" s="152">
        <v>0</v>
      </c>
      <c r="GK156" s="152">
        <v>0</v>
      </c>
      <c r="GL156" s="152">
        <v>0</v>
      </c>
      <c r="GM156" s="152">
        <v>0</v>
      </c>
      <c r="GN156" s="152">
        <v>0</v>
      </c>
      <c r="GO156" s="152">
        <v>0</v>
      </c>
      <c r="GP156" s="152">
        <v>0</v>
      </c>
      <c r="GQ156" s="152">
        <v>0</v>
      </c>
      <c r="GR156" s="152">
        <v>0</v>
      </c>
      <c r="GS156" s="152">
        <v>0</v>
      </c>
      <c r="GT156" s="152">
        <v>0</v>
      </c>
      <c r="GU156" s="152">
        <v>0</v>
      </c>
      <c r="GV156" s="152">
        <v>0</v>
      </c>
      <c r="GW156" s="152">
        <v>0</v>
      </c>
      <c r="GX156" s="152">
        <v>0</v>
      </c>
      <c r="GY156" s="152">
        <v>0</v>
      </c>
      <c r="GZ156" s="152">
        <v>0</v>
      </c>
      <c r="HA156" s="152">
        <v>0</v>
      </c>
      <c r="HB156" s="152">
        <v>0</v>
      </c>
      <c r="HC156" s="152">
        <v>0</v>
      </c>
      <c r="HD156" s="152">
        <v>0</v>
      </c>
      <c r="HE156" s="152">
        <v>0</v>
      </c>
      <c r="HF156" s="152">
        <v>0</v>
      </c>
      <c r="HG156" s="152">
        <v>0</v>
      </c>
      <c r="HH156" s="152">
        <v>0</v>
      </c>
      <c r="HI156" s="152">
        <v>0</v>
      </c>
      <c r="HJ156" s="152">
        <v>0</v>
      </c>
      <c r="HK156" s="152">
        <v>0</v>
      </c>
      <c r="HL156" s="152">
        <v>0</v>
      </c>
      <c r="HM156" s="152">
        <v>0</v>
      </c>
      <c r="HN156" s="152">
        <v>0</v>
      </c>
      <c r="HO156" s="152">
        <v>0</v>
      </c>
      <c r="HP156" s="152">
        <v>0</v>
      </c>
      <c r="HQ156" s="152">
        <v>0</v>
      </c>
      <c r="HR156" s="152">
        <v>0</v>
      </c>
      <c r="HS156" s="152">
        <v>0</v>
      </c>
      <c r="HT156" s="152">
        <v>0</v>
      </c>
      <c r="HU156" s="216"/>
      <c r="HV156" s="152">
        <v>0</v>
      </c>
      <c r="HW156" s="216"/>
      <c r="HX156" s="216"/>
      <c r="HY156" s="216"/>
      <c r="HZ156" s="216"/>
      <c r="IA156" s="216"/>
      <c r="IB156" s="216"/>
      <c r="IC156" s="216"/>
      <c r="ID156" s="216"/>
      <c r="IE156" s="216"/>
      <c r="IF156" s="216"/>
      <c r="IG156" s="216"/>
      <c r="IH156" s="216"/>
      <c r="II156" s="216"/>
      <c r="IJ156" s="216"/>
      <c r="IK156" s="216"/>
      <c r="IL156" s="216"/>
      <c r="IM156" s="216"/>
      <c r="IN156" s="216"/>
      <c r="IO156" s="216"/>
      <c r="IP156" s="216"/>
      <c r="IQ156" s="216"/>
      <c r="IR156" s="216"/>
      <c r="IS156" s="216"/>
      <c r="IT156" s="216"/>
      <c r="IU156" s="216"/>
      <c r="IV156" s="216"/>
      <c r="IW156" s="216"/>
      <c r="IX156" s="216"/>
      <c r="IY156" s="216"/>
      <c r="IZ156" s="216"/>
      <c r="JA156" s="216"/>
      <c r="JB156" s="216"/>
      <c r="JC156" s="216"/>
      <c r="JD156" s="216"/>
      <c r="JE156" s="216"/>
      <c r="JF156" s="216"/>
      <c r="JG156" s="216"/>
      <c r="JH156" s="216"/>
      <c r="JI156" s="216"/>
      <c r="JJ156" s="216"/>
      <c r="JK156" s="216"/>
      <c r="JL156" s="216"/>
      <c r="JM156" s="216"/>
      <c r="JN156" s="216"/>
      <c r="JO156" s="216"/>
      <c r="JP156" s="216"/>
      <c r="JQ156" s="216"/>
      <c r="JR156" s="216"/>
      <c r="JS156" s="216"/>
      <c r="JT156" s="216"/>
      <c r="JU156" s="216"/>
      <c r="JV156" s="216"/>
      <c r="JW156" s="216"/>
      <c r="JX156" s="216"/>
      <c r="JY156" s="216"/>
      <c r="JZ156" s="216"/>
      <c r="KA156" s="216"/>
      <c r="KB156" s="216"/>
      <c r="KC156" s="216"/>
      <c r="KD156" s="216"/>
      <c r="KE156" s="216"/>
      <c r="KF156" s="216"/>
      <c r="KG156" s="216"/>
      <c r="KH156" s="216"/>
      <c r="KI156" s="216"/>
      <c r="KJ156" s="216"/>
      <c r="KK156" s="216"/>
      <c r="KL156" s="216"/>
      <c r="KM156" s="216"/>
      <c r="KN156" s="216"/>
      <c r="KO156" s="216"/>
      <c r="KP156" s="216"/>
      <c r="KQ156" s="216"/>
      <c r="KR156" s="216"/>
      <c r="KS156" s="216"/>
      <c r="KT156" s="216"/>
      <c r="KU156" s="216"/>
      <c r="KV156" s="216"/>
      <c r="KW156" s="216"/>
      <c r="KX156" s="216"/>
      <c r="KY156" s="216"/>
      <c r="KZ156" s="216"/>
      <c r="LA156" s="216"/>
      <c r="LB156" s="216"/>
      <c r="LC156" s="216"/>
      <c r="LD156" s="216"/>
      <c r="LE156" s="216"/>
    </row>
    <row r="157" spans="1:317" x14ac:dyDescent="0.2">
      <c r="A157" s="179" t="s">
        <v>849</v>
      </c>
      <c r="B157" s="180" t="s">
        <v>1056</v>
      </c>
      <c r="C157" s="181"/>
      <c r="D157" s="182">
        <v>0</v>
      </c>
      <c r="E157" s="182">
        <v>0</v>
      </c>
      <c r="F157" s="183" t="s">
        <v>1312</v>
      </c>
      <c r="G157" s="183">
        <v>0</v>
      </c>
      <c r="H157" s="183">
        <v>0</v>
      </c>
      <c r="I157" s="183">
        <v>0</v>
      </c>
      <c r="J157" s="183">
        <v>0</v>
      </c>
      <c r="K157" s="183" t="s">
        <v>1368</v>
      </c>
      <c r="L157" s="183">
        <v>0</v>
      </c>
      <c r="M157" s="183">
        <v>0</v>
      </c>
      <c r="N157" s="183" t="s">
        <v>881</v>
      </c>
      <c r="O157" s="183">
        <v>0</v>
      </c>
      <c r="P157" s="183">
        <v>0</v>
      </c>
      <c r="Q157" s="183"/>
      <c r="R157" s="183"/>
      <c r="S157" s="183"/>
      <c r="T157" s="183"/>
      <c r="U157" s="183"/>
      <c r="V157" s="183">
        <v>0</v>
      </c>
      <c r="W157" s="183">
        <v>0</v>
      </c>
      <c r="X157" s="183">
        <v>0</v>
      </c>
      <c r="Y157" s="184">
        <v>0</v>
      </c>
      <c r="Z157" s="184">
        <v>0</v>
      </c>
      <c r="AA157" s="184">
        <v>0</v>
      </c>
      <c r="AB157" s="185" t="s">
        <v>615</v>
      </c>
      <c r="AC157" s="185" t="s">
        <v>615</v>
      </c>
      <c r="AD157" s="186" t="s">
        <v>881</v>
      </c>
      <c r="AE157" s="186" t="s">
        <v>858</v>
      </c>
      <c r="AF157" s="187">
        <v>7</v>
      </c>
      <c r="AG157" s="187">
        <v>3</v>
      </c>
      <c r="AH157" s="187">
        <v>4</v>
      </c>
      <c r="AI157" s="188">
        <v>1</v>
      </c>
      <c r="AJ157" s="188" t="s">
        <v>615</v>
      </c>
      <c r="AK157" s="187" t="s">
        <v>1738</v>
      </c>
      <c r="AL157" s="87" t="s">
        <v>615</v>
      </c>
      <c r="AM157" s="189"/>
      <c r="AN157" s="187" t="s">
        <v>615</v>
      </c>
      <c r="AO157" s="13" t="s">
        <v>615</v>
      </c>
      <c r="AP157" s="187">
        <v>0</v>
      </c>
      <c r="AQ157" s="187">
        <v>0</v>
      </c>
      <c r="AR157" s="190">
        <v>0</v>
      </c>
      <c r="AS157" s="190">
        <v>0</v>
      </c>
      <c r="AT157" s="190">
        <v>0</v>
      </c>
      <c r="AU157" s="187">
        <v>0</v>
      </c>
      <c r="AV157" s="187">
        <v>0</v>
      </c>
      <c r="AW157" s="191"/>
      <c r="AX157" s="192"/>
      <c r="AY157" s="193">
        <v>42666</v>
      </c>
      <c r="AZ157" s="193"/>
      <c r="BA157" s="193"/>
      <c r="BB157" s="194"/>
      <c r="BC157" s="194"/>
      <c r="BD157" s="195"/>
      <c r="BE157" s="195" t="s">
        <v>532</v>
      </c>
      <c r="BF157" s="195"/>
      <c r="BG157" s="195">
        <v>48</v>
      </c>
      <c r="BH157" s="196" t="s">
        <v>547</v>
      </c>
      <c r="BI157" s="197">
        <v>1</v>
      </c>
      <c r="BJ157" s="198"/>
      <c r="BK157" s="199">
        <v>0</v>
      </c>
      <c r="BL157" s="13">
        <v>0</v>
      </c>
      <c r="BM157" s="13">
        <v>0</v>
      </c>
      <c r="BN157" s="13" t="s">
        <v>616</v>
      </c>
      <c r="BO157" s="13" t="s">
        <v>616</v>
      </c>
      <c r="BP157" s="200">
        <v>0</v>
      </c>
      <c r="BQ157" s="201"/>
      <c r="BR157" s="202"/>
      <c r="BS157" s="187">
        <v>1000000000</v>
      </c>
      <c r="BT157" s="203">
        <v>0</v>
      </c>
      <c r="BU157" s="204">
        <v>0</v>
      </c>
      <c r="BV157" s="203">
        <v>0</v>
      </c>
      <c r="BW157" s="205">
        <v>0</v>
      </c>
      <c r="BX157" s="205">
        <v>0</v>
      </c>
      <c r="BY157" s="205">
        <v>0</v>
      </c>
      <c r="BZ157" s="203">
        <v>0</v>
      </c>
      <c r="CA157" s="203">
        <v>0</v>
      </c>
      <c r="CB157" s="203">
        <v>0</v>
      </c>
      <c r="CC157" s="204">
        <v>0</v>
      </c>
      <c r="CD157" s="203">
        <v>0</v>
      </c>
      <c r="CE157" s="203">
        <v>0</v>
      </c>
      <c r="CF157" s="13">
        <v>0</v>
      </c>
      <c r="CG157" s="206">
        <v>0</v>
      </c>
      <c r="CH157" s="207">
        <v>0</v>
      </c>
      <c r="CI157" s="201"/>
      <c r="CJ157" s="208"/>
      <c r="CK157" s="209" t="s">
        <v>615</v>
      </c>
      <c r="CL157" s="210" t="s">
        <v>615</v>
      </c>
      <c r="CM157" s="207">
        <v>0</v>
      </c>
      <c r="CN157" s="207">
        <v>0</v>
      </c>
      <c r="CO157" s="204">
        <v>0</v>
      </c>
      <c r="CP157" s="204">
        <v>0</v>
      </c>
      <c r="CQ157" s="211"/>
      <c r="CR157" s="204">
        <v>1</v>
      </c>
      <c r="CS157" s="212">
        <v>42558</v>
      </c>
      <c r="CT157" s="212">
        <v>42780</v>
      </c>
      <c r="CU157" s="213">
        <v>42780</v>
      </c>
      <c r="CV157" s="214">
        <v>42829</v>
      </c>
      <c r="CW157" s="214" t="s">
        <v>615</v>
      </c>
      <c r="CX157" s="214" t="s">
        <v>615</v>
      </c>
      <c r="CY157" s="204">
        <v>1</v>
      </c>
      <c r="CZ157" s="204">
        <v>0.97959183673469385</v>
      </c>
      <c r="DA157" s="203">
        <v>0</v>
      </c>
      <c r="DB157" s="204">
        <v>0.97959183673469385</v>
      </c>
      <c r="DC157" s="204">
        <v>0</v>
      </c>
      <c r="DD157" s="204">
        <v>0</v>
      </c>
      <c r="DE157" s="204">
        <v>0</v>
      </c>
      <c r="DF157" s="215">
        <v>0</v>
      </c>
      <c r="DG157" s="13" t="s">
        <v>615</v>
      </c>
      <c r="DH157" s="86">
        <v>155</v>
      </c>
      <c r="DI157" s="86"/>
      <c r="DJ157" s="86">
        <v>80</v>
      </c>
      <c r="DK157" s="86" t="s">
        <v>1566</v>
      </c>
      <c r="DL157" s="86" t="e">
        <v>#N/A</v>
      </c>
      <c r="DM157" s="86" t="e">
        <v>#N/A</v>
      </c>
      <c r="DN157" s="86" t="e">
        <v>#N/A</v>
      </c>
      <c r="DO157" s="86">
        <v>82</v>
      </c>
      <c r="DP157" s="86">
        <v>5</v>
      </c>
      <c r="DQ157" s="86">
        <v>49</v>
      </c>
      <c r="DR157" s="146">
        <v>0</v>
      </c>
      <c r="DS157" s="146">
        <v>0</v>
      </c>
      <c r="DT157" s="146">
        <v>0</v>
      </c>
      <c r="DU157" s="146">
        <v>0</v>
      </c>
      <c r="DV157" s="146">
        <v>0</v>
      </c>
      <c r="DW157" s="146">
        <v>0</v>
      </c>
      <c r="DX157" s="146">
        <v>0</v>
      </c>
      <c r="DY157" s="146">
        <v>0</v>
      </c>
      <c r="DZ157" s="146">
        <v>0</v>
      </c>
      <c r="EA157" s="146">
        <v>0</v>
      </c>
      <c r="EB157" s="146">
        <v>0</v>
      </c>
      <c r="EC157" s="146">
        <v>0</v>
      </c>
      <c r="ED157" s="146">
        <v>0</v>
      </c>
      <c r="EE157" s="146">
        <v>0</v>
      </c>
      <c r="EF157" s="146">
        <v>0</v>
      </c>
      <c r="EG157" s="146">
        <v>0</v>
      </c>
      <c r="EH157" s="146">
        <v>0</v>
      </c>
      <c r="EI157" s="146">
        <v>0</v>
      </c>
      <c r="EJ157" s="146">
        <v>0</v>
      </c>
      <c r="EK157" s="146">
        <v>0</v>
      </c>
      <c r="EL157" s="146">
        <v>0</v>
      </c>
      <c r="EM157" s="146">
        <v>0</v>
      </c>
      <c r="EN157" s="146">
        <v>0</v>
      </c>
      <c r="EO157" s="146">
        <v>0</v>
      </c>
      <c r="EP157" s="146">
        <v>0</v>
      </c>
      <c r="EQ157" s="146">
        <v>0</v>
      </c>
      <c r="ER157" s="146">
        <v>0</v>
      </c>
      <c r="ES157" s="146">
        <v>0</v>
      </c>
      <c r="ET157" s="146">
        <v>0</v>
      </c>
      <c r="EU157" s="146">
        <v>0</v>
      </c>
      <c r="EV157" s="146">
        <v>0</v>
      </c>
      <c r="EW157" s="146">
        <v>0</v>
      </c>
      <c r="EX157" s="146">
        <v>0</v>
      </c>
      <c r="EY157" s="146">
        <v>0</v>
      </c>
      <c r="EZ157" s="146">
        <v>0</v>
      </c>
      <c r="FA157" s="146">
        <v>0</v>
      </c>
      <c r="FB157" s="146">
        <v>0</v>
      </c>
      <c r="FC157" s="146">
        <v>0</v>
      </c>
      <c r="FD157" s="146">
        <v>0</v>
      </c>
      <c r="FE157" s="146">
        <v>0</v>
      </c>
      <c r="FF157" s="146">
        <v>0</v>
      </c>
      <c r="FG157" s="146">
        <v>0</v>
      </c>
      <c r="FH157" s="146">
        <v>0</v>
      </c>
      <c r="FI157" s="146">
        <v>0</v>
      </c>
      <c r="FJ157" s="146">
        <v>0</v>
      </c>
      <c r="FK157" s="146">
        <v>0</v>
      </c>
      <c r="FL157" s="146">
        <v>0</v>
      </c>
      <c r="FM157" s="146">
        <v>0</v>
      </c>
      <c r="FN157" s="146">
        <v>0</v>
      </c>
      <c r="FO157" s="146">
        <v>0</v>
      </c>
      <c r="FP157" s="146">
        <v>0</v>
      </c>
      <c r="FQ157" s="146">
        <v>0</v>
      </c>
      <c r="FR157" s="146">
        <v>0</v>
      </c>
      <c r="FS157" s="146">
        <v>0</v>
      </c>
      <c r="FT157" s="146">
        <v>0</v>
      </c>
      <c r="FU157" s="146">
        <v>0</v>
      </c>
      <c r="FV157" s="146">
        <v>0</v>
      </c>
      <c r="FW157" s="146">
        <v>0</v>
      </c>
      <c r="FX157" s="146">
        <v>0</v>
      </c>
      <c r="FY157" s="146">
        <v>0</v>
      </c>
      <c r="FZ157" s="146">
        <v>0</v>
      </c>
      <c r="GA157" s="146">
        <v>0</v>
      </c>
      <c r="GB157" s="146">
        <v>0</v>
      </c>
      <c r="GC157" s="146">
        <v>0</v>
      </c>
      <c r="GD157" s="146">
        <v>0</v>
      </c>
      <c r="GE157" s="146">
        <v>0</v>
      </c>
      <c r="GF157" s="146">
        <v>0</v>
      </c>
      <c r="GG157" s="146">
        <v>0</v>
      </c>
      <c r="GH157" s="146">
        <v>0</v>
      </c>
      <c r="GI157" s="146">
        <v>0</v>
      </c>
      <c r="GJ157" s="146">
        <v>0</v>
      </c>
      <c r="GK157" s="146">
        <v>0</v>
      </c>
      <c r="GL157" s="146">
        <v>0</v>
      </c>
      <c r="GM157" s="146">
        <v>0</v>
      </c>
      <c r="GN157" s="146">
        <v>0</v>
      </c>
      <c r="GO157" s="146">
        <v>0</v>
      </c>
      <c r="GP157" s="146">
        <v>0</v>
      </c>
      <c r="GQ157" s="146">
        <v>0</v>
      </c>
      <c r="GR157" s="146">
        <v>0</v>
      </c>
      <c r="GS157" s="146">
        <v>0</v>
      </c>
      <c r="GT157" s="146">
        <v>0</v>
      </c>
      <c r="GU157" s="146">
        <v>0</v>
      </c>
      <c r="GV157" s="146">
        <v>0</v>
      </c>
      <c r="GW157" s="146">
        <v>0</v>
      </c>
      <c r="GX157" s="146">
        <v>0</v>
      </c>
      <c r="GY157" s="146">
        <v>0</v>
      </c>
      <c r="GZ157" s="146">
        <v>0</v>
      </c>
      <c r="HA157" s="146">
        <v>0</v>
      </c>
      <c r="HB157" s="146">
        <v>0</v>
      </c>
      <c r="HC157" s="146">
        <v>0</v>
      </c>
      <c r="HD157" s="146">
        <v>0</v>
      </c>
      <c r="HE157" s="146">
        <v>0</v>
      </c>
      <c r="HF157" s="146">
        <v>0</v>
      </c>
      <c r="HG157" s="146">
        <v>0</v>
      </c>
      <c r="HH157" s="146">
        <v>0</v>
      </c>
      <c r="HI157" s="146">
        <v>0</v>
      </c>
      <c r="HJ157" s="146">
        <v>0</v>
      </c>
      <c r="HK157" s="146">
        <v>0</v>
      </c>
      <c r="HL157" s="146">
        <v>0</v>
      </c>
      <c r="HM157" s="146">
        <v>0</v>
      </c>
      <c r="HN157" s="146">
        <v>0</v>
      </c>
      <c r="HO157" s="146">
        <v>0</v>
      </c>
      <c r="HP157" s="146">
        <v>0</v>
      </c>
      <c r="HQ157" s="146">
        <v>0</v>
      </c>
      <c r="HR157" s="146">
        <v>0</v>
      </c>
      <c r="HS157" s="146">
        <v>0</v>
      </c>
      <c r="HT157" s="146">
        <v>0</v>
      </c>
      <c r="HU157" s="151"/>
      <c r="HV157" s="146">
        <v>0</v>
      </c>
      <c r="HW157" s="151"/>
      <c r="HX157" s="151"/>
      <c r="HY157" s="151"/>
      <c r="HZ157" s="151"/>
      <c r="IA157" s="151"/>
      <c r="IB157" s="151"/>
      <c r="IC157" s="151"/>
      <c r="ID157" s="151"/>
      <c r="IE157" s="151"/>
      <c r="IF157" s="151"/>
      <c r="IG157" s="151"/>
      <c r="IH157" s="151"/>
      <c r="II157" s="151"/>
      <c r="IJ157" s="151"/>
      <c r="IK157" s="151"/>
      <c r="IL157" s="151"/>
      <c r="IM157" s="151"/>
      <c r="IN157" s="151"/>
      <c r="IO157" s="151"/>
      <c r="IP157" s="151"/>
      <c r="IQ157" s="151"/>
      <c r="IR157" s="151"/>
      <c r="IS157" s="151"/>
      <c r="IT157" s="151"/>
      <c r="IU157" s="151"/>
      <c r="IV157" s="151"/>
      <c r="IW157" s="151"/>
      <c r="IX157" s="151"/>
      <c r="IY157" s="151"/>
      <c r="IZ157" s="151"/>
      <c r="JA157" s="151"/>
      <c r="JB157" s="151"/>
      <c r="JC157" s="151"/>
      <c r="JD157" s="151"/>
      <c r="JE157" s="151"/>
      <c r="JF157" s="151"/>
      <c r="JG157" s="151"/>
      <c r="JH157" s="151"/>
      <c r="JI157" s="151"/>
      <c r="JJ157" s="151"/>
      <c r="JK157" s="151"/>
      <c r="JL157" s="151"/>
      <c r="JM157" s="151"/>
      <c r="JN157" s="151"/>
      <c r="JO157" s="151"/>
      <c r="JP157" s="151"/>
      <c r="JQ157" s="151"/>
      <c r="JR157" s="151"/>
      <c r="JS157" s="151"/>
      <c r="JT157" s="151"/>
      <c r="JU157" s="151"/>
      <c r="JV157" s="151"/>
      <c r="JW157" s="151"/>
      <c r="JX157" s="151"/>
      <c r="JY157" s="151"/>
      <c r="JZ157" s="151"/>
      <c r="KA157" s="151"/>
      <c r="KB157" s="151"/>
      <c r="KC157" s="151"/>
      <c r="KD157" s="151"/>
      <c r="KE157" s="151"/>
      <c r="KF157" s="151"/>
      <c r="KG157" s="151"/>
      <c r="KH157" s="151"/>
      <c r="KI157" s="151"/>
      <c r="KJ157" s="151"/>
      <c r="KK157" s="151"/>
      <c r="KL157" s="151"/>
      <c r="KM157" s="151"/>
      <c r="KN157" s="151"/>
      <c r="KO157" s="151"/>
      <c r="KP157" s="151"/>
      <c r="KQ157" s="151"/>
      <c r="KR157" s="151"/>
      <c r="KS157" s="151"/>
      <c r="KT157" s="151"/>
      <c r="KU157" s="151"/>
      <c r="KV157" s="151"/>
      <c r="KW157" s="151"/>
      <c r="KX157" s="151"/>
      <c r="KY157" s="151"/>
      <c r="KZ157" s="151"/>
      <c r="LA157" s="151"/>
      <c r="LB157" s="151"/>
      <c r="LC157" s="151"/>
      <c r="LD157" s="151"/>
      <c r="LE157" s="151"/>
    </row>
    <row r="158" spans="1:317" x14ac:dyDescent="0.2">
      <c r="A158" s="179" t="s">
        <v>849</v>
      </c>
      <c r="B158" s="180" t="s">
        <v>1057</v>
      </c>
      <c r="C158" s="181"/>
      <c r="D158" s="182">
        <v>0</v>
      </c>
      <c r="E158" s="182">
        <v>0</v>
      </c>
      <c r="F158" s="183" t="s">
        <v>1313</v>
      </c>
      <c r="G158" s="183">
        <v>0</v>
      </c>
      <c r="H158" s="183">
        <v>0</v>
      </c>
      <c r="I158" s="183">
        <v>0</v>
      </c>
      <c r="J158" s="183">
        <v>0</v>
      </c>
      <c r="K158" s="183" t="s">
        <v>1368</v>
      </c>
      <c r="L158" s="183">
        <v>0</v>
      </c>
      <c r="M158" s="183">
        <v>0</v>
      </c>
      <c r="N158" s="183" t="s">
        <v>881</v>
      </c>
      <c r="O158" s="183">
        <v>0</v>
      </c>
      <c r="P158" s="183">
        <v>0</v>
      </c>
      <c r="Q158" s="183"/>
      <c r="R158" s="183"/>
      <c r="S158" s="183"/>
      <c r="T158" s="183"/>
      <c r="U158" s="183"/>
      <c r="V158" s="183">
        <v>0</v>
      </c>
      <c r="W158" s="183">
        <v>0</v>
      </c>
      <c r="X158" s="183">
        <v>0</v>
      </c>
      <c r="Y158" s="184">
        <v>0</v>
      </c>
      <c r="Z158" s="184">
        <v>0</v>
      </c>
      <c r="AA158" s="184">
        <v>0</v>
      </c>
      <c r="AB158" s="185" t="s">
        <v>615</v>
      </c>
      <c r="AC158" s="185" t="s">
        <v>615</v>
      </c>
      <c r="AD158" s="186" t="s">
        <v>881</v>
      </c>
      <c r="AE158" s="186" t="s">
        <v>858</v>
      </c>
      <c r="AF158" s="187">
        <v>7</v>
      </c>
      <c r="AG158" s="187">
        <v>3</v>
      </c>
      <c r="AH158" s="187">
        <v>4</v>
      </c>
      <c r="AI158" s="188">
        <v>1</v>
      </c>
      <c r="AJ158" s="188" t="s">
        <v>615</v>
      </c>
      <c r="AK158" s="187" t="s">
        <v>1738</v>
      </c>
      <c r="AL158" s="87" t="s">
        <v>615</v>
      </c>
      <c r="AM158" s="189"/>
      <c r="AN158" s="187" t="s">
        <v>615</v>
      </c>
      <c r="AO158" s="13" t="s">
        <v>615</v>
      </c>
      <c r="AP158" s="187">
        <v>0</v>
      </c>
      <c r="AQ158" s="187">
        <v>0</v>
      </c>
      <c r="AR158" s="190">
        <v>0</v>
      </c>
      <c r="AS158" s="190">
        <v>0</v>
      </c>
      <c r="AT158" s="190">
        <v>0</v>
      </c>
      <c r="AU158" s="187">
        <v>0</v>
      </c>
      <c r="AV158" s="187">
        <v>0</v>
      </c>
      <c r="AW158" s="191"/>
      <c r="AX158" s="192"/>
      <c r="AY158" s="193">
        <v>42666</v>
      </c>
      <c r="AZ158" s="193"/>
      <c r="BA158" s="193"/>
      <c r="BB158" s="194"/>
      <c r="BC158" s="194"/>
      <c r="BD158" s="195"/>
      <c r="BE158" s="195" t="s">
        <v>532</v>
      </c>
      <c r="BF158" s="195"/>
      <c r="BG158" s="195">
        <v>48</v>
      </c>
      <c r="BH158" s="196" t="s">
        <v>547</v>
      </c>
      <c r="BI158" s="197">
        <v>1</v>
      </c>
      <c r="BJ158" s="198"/>
      <c r="BK158" s="199">
        <v>0</v>
      </c>
      <c r="BL158" s="13">
        <v>0</v>
      </c>
      <c r="BM158" s="13">
        <v>0</v>
      </c>
      <c r="BN158" s="13" t="s">
        <v>616</v>
      </c>
      <c r="BO158" s="13" t="s">
        <v>616</v>
      </c>
      <c r="BP158" s="200">
        <v>0</v>
      </c>
      <c r="BQ158" s="201"/>
      <c r="BR158" s="202"/>
      <c r="BS158" s="187">
        <v>1000000000</v>
      </c>
      <c r="BT158" s="203">
        <v>0</v>
      </c>
      <c r="BU158" s="204">
        <v>0</v>
      </c>
      <c r="BV158" s="203">
        <v>0</v>
      </c>
      <c r="BW158" s="205">
        <v>0</v>
      </c>
      <c r="BX158" s="205">
        <v>0</v>
      </c>
      <c r="BY158" s="205">
        <v>0</v>
      </c>
      <c r="BZ158" s="203">
        <v>0</v>
      </c>
      <c r="CA158" s="203">
        <v>0</v>
      </c>
      <c r="CB158" s="203">
        <v>0</v>
      </c>
      <c r="CC158" s="204">
        <v>0</v>
      </c>
      <c r="CD158" s="203">
        <v>0</v>
      </c>
      <c r="CE158" s="203">
        <v>0</v>
      </c>
      <c r="CF158" s="13">
        <v>0</v>
      </c>
      <c r="CG158" s="206">
        <v>0</v>
      </c>
      <c r="CH158" s="207">
        <v>0</v>
      </c>
      <c r="CI158" s="201"/>
      <c r="CJ158" s="208"/>
      <c r="CK158" s="209" t="s">
        <v>615</v>
      </c>
      <c r="CL158" s="210" t="s">
        <v>615</v>
      </c>
      <c r="CM158" s="207">
        <v>0</v>
      </c>
      <c r="CN158" s="207">
        <v>0</v>
      </c>
      <c r="CO158" s="204">
        <v>0</v>
      </c>
      <c r="CP158" s="204">
        <v>0</v>
      </c>
      <c r="CQ158" s="211"/>
      <c r="CR158" s="204">
        <v>1</v>
      </c>
      <c r="CS158" s="212">
        <v>42558</v>
      </c>
      <c r="CT158" s="212">
        <v>42780</v>
      </c>
      <c r="CU158" s="213">
        <v>42780</v>
      </c>
      <c r="CV158" s="214">
        <v>42829</v>
      </c>
      <c r="CW158" s="214" t="s">
        <v>615</v>
      </c>
      <c r="CX158" s="214" t="s">
        <v>615</v>
      </c>
      <c r="CY158" s="204">
        <v>1</v>
      </c>
      <c r="CZ158" s="204">
        <v>0.97959183673469385</v>
      </c>
      <c r="DA158" s="203">
        <v>0</v>
      </c>
      <c r="DB158" s="204">
        <v>0.97959183673469385</v>
      </c>
      <c r="DC158" s="204">
        <v>0</v>
      </c>
      <c r="DD158" s="204">
        <v>0</v>
      </c>
      <c r="DE158" s="204">
        <v>0</v>
      </c>
      <c r="DF158" s="215">
        <v>0</v>
      </c>
      <c r="DG158" s="13" t="s">
        <v>615</v>
      </c>
      <c r="DH158" s="86">
        <v>156</v>
      </c>
      <c r="DI158" s="86"/>
      <c r="DJ158" s="86">
        <v>85</v>
      </c>
      <c r="DK158" s="86" t="s">
        <v>1567</v>
      </c>
      <c r="DL158" s="86" t="e">
        <v>#N/A</v>
      </c>
      <c r="DM158" s="86" t="e">
        <v>#N/A</v>
      </c>
      <c r="DN158" s="86" t="e">
        <v>#N/A</v>
      </c>
      <c r="DO158" s="86">
        <v>87</v>
      </c>
      <c r="DP158" s="86">
        <v>5</v>
      </c>
      <c r="DQ158" s="86">
        <v>49</v>
      </c>
      <c r="DR158" s="152">
        <v>0</v>
      </c>
      <c r="DS158" s="152">
        <v>0</v>
      </c>
      <c r="DT158" s="152">
        <v>0</v>
      </c>
      <c r="DU158" s="152">
        <v>0</v>
      </c>
      <c r="DV158" s="152">
        <v>0</v>
      </c>
      <c r="DW158" s="152">
        <v>0</v>
      </c>
      <c r="DX158" s="152">
        <v>0</v>
      </c>
      <c r="DY158" s="152">
        <v>0</v>
      </c>
      <c r="DZ158" s="152">
        <v>0</v>
      </c>
      <c r="EA158" s="152">
        <v>0</v>
      </c>
      <c r="EB158" s="152">
        <v>0</v>
      </c>
      <c r="EC158" s="152">
        <v>0</v>
      </c>
      <c r="ED158" s="152">
        <v>0</v>
      </c>
      <c r="EE158" s="152">
        <v>0</v>
      </c>
      <c r="EF158" s="152">
        <v>0</v>
      </c>
      <c r="EG158" s="152">
        <v>0</v>
      </c>
      <c r="EH158" s="152">
        <v>0</v>
      </c>
      <c r="EI158" s="152">
        <v>0</v>
      </c>
      <c r="EJ158" s="152">
        <v>0</v>
      </c>
      <c r="EK158" s="152">
        <v>0</v>
      </c>
      <c r="EL158" s="152">
        <v>0</v>
      </c>
      <c r="EM158" s="152">
        <v>0</v>
      </c>
      <c r="EN158" s="152">
        <v>0</v>
      </c>
      <c r="EO158" s="152">
        <v>0</v>
      </c>
      <c r="EP158" s="152">
        <v>0</v>
      </c>
      <c r="EQ158" s="152">
        <v>0</v>
      </c>
      <c r="ER158" s="152">
        <v>0</v>
      </c>
      <c r="ES158" s="152">
        <v>0</v>
      </c>
      <c r="ET158" s="152">
        <v>0</v>
      </c>
      <c r="EU158" s="152">
        <v>0</v>
      </c>
      <c r="EV158" s="152">
        <v>0</v>
      </c>
      <c r="EW158" s="152">
        <v>0</v>
      </c>
      <c r="EX158" s="152">
        <v>0</v>
      </c>
      <c r="EY158" s="152">
        <v>0</v>
      </c>
      <c r="EZ158" s="152">
        <v>0</v>
      </c>
      <c r="FA158" s="152">
        <v>0</v>
      </c>
      <c r="FB158" s="152">
        <v>0</v>
      </c>
      <c r="FC158" s="152">
        <v>0</v>
      </c>
      <c r="FD158" s="152">
        <v>0</v>
      </c>
      <c r="FE158" s="152">
        <v>0</v>
      </c>
      <c r="FF158" s="152">
        <v>0</v>
      </c>
      <c r="FG158" s="152">
        <v>0</v>
      </c>
      <c r="FH158" s="152">
        <v>0</v>
      </c>
      <c r="FI158" s="152">
        <v>0</v>
      </c>
      <c r="FJ158" s="152">
        <v>0</v>
      </c>
      <c r="FK158" s="152">
        <v>0</v>
      </c>
      <c r="FL158" s="152">
        <v>0</v>
      </c>
      <c r="FM158" s="152">
        <v>0</v>
      </c>
      <c r="FN158" s="152">
        <v>0</v>
      </c>
      <c r="FO158" s="152">
        <v>0</v>
      </c>
      <c r="FP158" s="152">
        <v>0</v>
      </c>
      <c r="FQ158" s="152">
        <v>0</v>
      </c>
      <c r="FR158" s="152">
        <v>0</v>
      </c>
      <c r="FS158" s="152">
        <v>0</v>
      </c>
      <c r="FT158" s="152">
        <v>0</v>
      </c>
      <c r="FU158" s="152">
        <v>0</v>
      </c>
      <c r="FV158" s="152">
        <v>0</v>
      </c>
      <c r="FW158" s="152">
        <v>0</v>
      </c>
      <c r="FX158" s="152">
        <v>0</v>
      </c>
      <c r="FY158" s="152">
        <v>0</v>
      </c>
      <c r="FZ158" s="152">
        <v>0</v>
      </c>
      <c r="GA158" s="152">
        <v>0</v>
      </c>
      <c r="GB158" s="152">
        <v>0</v>
      </c>
      <c r="GC158" s="152">
        <v>0</v>
      </c>
      <c r="GD158" s="152">
        <v>0</v>
      </c>
      <c r="GE158" s="152">
        <v>0</v>
      </c>
      <c r="GF158" s="152">
        <v>0</v>
      </c>
      <c r="GG158" s="152">
        <v>0</v>
      </c>
      <c r="GH158" s="152">
        <v>0</v>
      </c>
      <c r="GI158" s="152">
        <v>0</v>
      </c>
      <c r="GJ158" s="152">
        <v>0</v>
      </c>
      <c r="GK158" s="152">
        <v>0</v>
      </c>
      <c r="GL158" s="152">
        <v>0</v>
      </c>
      <c r="GM158" s="152">
        <v>0</v>
      </c>
      <c r="GN158" s="152">
        <v>0</v>
      </c>
      <c r="GO158" s="152">
        <v>0</v>
      </c>
      <c r="GP158" s="152">
        <v>0</v>
      </c>
      <c r="GQ158" s="152">
        <v>0</v>
      </c>
      <c r="GR158" s="152">
        <v>0</v>
      </c>
      <c r="GS158" s="152">
        <v>0</v>
      </c>
      <c r="GT158" s="152">
        <v>0</v>
      </c>
      <c r="GU158" s="152">
        <v>0</v>
      </c>
      <c r="GV158" s="152">
        <v>0</v>
      </c>
      <c r="GW158" s="152">
        <v>0</v>
      </c>
      <c r="GX158" s="152">
        <v>0</v>
      </c>
      <c r="GY158" s="152">
        <v>0</v>
      </c>
      <c r="GZ158" s="152">
        <v>0</v>
      </c>
      <c r="HA158" s="152">
        <v>0</v>
      </c>
      <c r="HB158" s="152">
        <v>0</v>
      </c>
      <c r="HC158" s="152">
        <v>0</v>
      </c>
      <c r="HD158" s="152">
        <v>0</v>
      </c>
      <c r="HE158" s="152">
        <v>0</v>
      </c>
      <c r="HF158" s="152">
        <v>0</v>
      </c>
      <c r="HG158" s="152">
        <v>0</v>
      </c>
      <c r="HH158" s="152">
        <v>0</v>
      </c>
      <c r="HI158" s="152">
        <v>0</v>
      </c>
      <c r="HJ158" s="152">
        <v>0</v>
      </c>
      <c r="HK158" s="152">
        <v>0</v>
      </c>
      <c r="HL158" s="152">
        <v>0</v>
      </c>
      <c r="HM158" s="152">
        <v>0</v>
      </c>
      <c r="HN158" s="152">
        <v>0</v>
      </c>
      <c r="HO158" s="152">
        <v>0</v>
      </c>
      <c r="HP158" s="152">
        <v>0</v>
      </c>
      <c r="HQ158" s="152">
        <v>0</v>
      </c>
      <c r="HR158" s="152">
        <v>0</v>
      </c>
      <c r="HS158" s="152">
        <v>0</v>
      </c>
      <c r="HT158" s="152">
        <v>0</v>
      </c>
      <c r="HU158" s="216"/>
      <c r="HV158" s="152">
        <v>0</v>
      </c>
      <c r="HW158" s="216"/>
      <c r="HX158" s="216"/>
      <c r="HY158" s="216"/>
      <c r="HZ158" s="216"/>
      <c r="IA158" s="216"/>
      <c r="IB158" s="216"/>
      <c r="IC158" s="216"/>
      <c r="ID158" s="216"/>
      <c r="IE158" s="216"/>
      <c r="IF158" s="216"/>
      <c r="IG158" s="216"/>
      <c r="IH158" s="216"/>
      <c r="II158" s="216"/>
      <c r="IJ158" s="216"/>
      <c r="IK158" s="216"/>
      <c r="IL158" s="216"/>
      <c r="IM158" s="216"/>
      <c r="IN158" s="216"/>
      <c r="IO158" s="216"/>
      <c r="IP158" s="216"/>
      <c r="IQ158" s="216"/>
      <c r="IR158" s="216"/>
      <c r="IS158" s="216"/>
      <c r="IT158" s="216"/>
      <c r="IU158" s="216"/>
      <c r="IV158" s="216"/>
      <c r="IW158" s="216"/>
      <c r="IX158" s="216"/>
      <c r="IY158" s="216"/>
      <c r="IZ158" s="216"/>
      <c r="JA158" s="216"/>
      <c r="JB158" s="216"/>
      <c r="JC158" s="216"/>
      <c r="JD158" s="216"/>
      <c r="JE158" s="216"/>
      <c r="JF158" s="216"/>
      <c r="JG158" s="216"/>
      <c r="JH158" s="216"/>
      <c r="JI158" s="216"/>
      <c r="JJ158" s="216"/>
      <c r="JK158" s="216"/>
      <c r="JL158" s="216"/>
      <c r="JM158" s="216"/>
      <c r="JN158" s="216"/>
      <c r="JO158" s="216"/>
      <c r="JP158" s="216"/>
      <c r="JQ158" s="216"/>
      <c r="JR158" s="216"/>
      <c r="JS158" s="216"/>
      <c r="JT158" s="216"/>
      <c r="JU158" s="216"/>
      <c r="JV158" s="216"/>
      <c r="JW158" s="216"/>
      <c r="JX158" s="216"/>
      <c r="JY158" s="216"/>
      <c r="JZ158" s="216"/>
      <c r="KA158" s="216"/>
      <c r="KB158" s="216"/>
      <c r="KC158" s="216"/>
      <c r="KD158" s="216"/>
      <c r="KE158" s="216"/>
      <c r="KF158" s="216"/>
      <c r="KG158" s="216"/>
      <c r="KH158" s="216"/>
      <c r="KI158" s="216"/>
      <c r="KJ158" s="216"/>
      <c r="KK158" s="216"/>
      <c r="KL158" s="216"/>
      <c r="KM158" s="216"/>
      <c r="KN158" s="216"/>
      <c r="KO158" s="216"/>
      <c r="KP158" s="216"/>
      <c r="KQ158" s="216"/>
      <c r="KR158" s="216"/>
      <c r="KS158" s="216"/>
      <c r="KT158" s="216"/>
      <c r="KU158" s="216"/>
      <c r="KV158" s="216"/>
      <c r="KW158" s="216"/>
      <c r="KX158" s="216"/>
      <c r="KY158" s="216"/>
      <c r="KZ158" s="216"/>
      <c r="LA158" s="216"/>
      <c r="LB158" s="216"/>
      <c r="LC158" s="216"/>
      <c r="LD158" s="216"/>
      <c r="LE158" s="216"/>
    </row>
    <row r="159" spans="1:317" x14ac:dyDescent="0.2">
      <c r="A159" s="179" t="s">
        <v>849</v>
      </c>
      <c r="B159" s="180" t="s">
        <v>1058</v>
      </c>
      <c r="C159" s="181"/>
      <c r="D159" s="182">
        <v>0</v>
      </c>
      <c r="E159" s="182">
        <v>0</v>
      </c>
      <c r="F159" s="183" t="s">
        <v>1313</v>
      </c>
      <c r="G159" s="183">
        <v>0</v>
      </c>
      <c r="H159" s="183">
        <v>0</v>
      </c>
      <c r="I159" s="183">
        <v>0</v>
      </c>
      <c r="J159" s="183">
        <v>0</v>
      </c>
      <c r="K159" s="183" t="s">
        <v>1368</v>
      </c>
      <c r="L159" s="183">
        <v>0</v>
      </c>
      <c r="M159" s="183">
        <v>0</v>
      </c>
      <c r="N159" s="183" t="s">
        <v>881</v>
      </c>
      <c r="O159" s="183">
        <v>0</v>
      </c>
      <c r="P159" s="183">
        <v>0</v>
      </c>
      <c r="Q159" s="183"/>
      <c r="R159" s="183"/>
      <c r="S159" s="183"/>
      <c r="T159" s="183"/>
      <c r="U159" s="183"/>
      <c r="V159" s="183">
        <v>0</v>
      </c>
      <c r="W159" s="183">
        <v>0</v>
      </c>
      <c r="X159" s="183">
        <v>0</v>
      </c>
      <c r="Y159" s="184">
        <v>0</v>
      </c>
      <c r="Z159" s="184">
        <v>0</v>
      </c>
      <c r="AA159" s="184">
        <v>0</v>
      </c>
      <c r="AB159" s="185" t="s">
        <v>615</v>
      </c>
      <c r="AC159" s="185" t="s">
        <v>615</v>
      </c>
      <c r="AD159" s="186" t="s">
        <v>881</v>
      </c>
      <c r="AE159" s="186" t="s">
        <v>858</v>
      </c>
      <c r="AF159" s="187">
        <v>7</v>
      </c>
      <c r="AG159" s="187">
        <v>3</v>
      </c>
      <c r="AH159" s="187">
        <v>4</v>
      </c>
      <c r="AI159" s="188">
        <v>1</v>
      </c>
      <c r="AJ159" s="188" t="s">
        <v>615</v>
      </c>
      <c r="AK159" s="187" t="s">
        <v>1738</v>
      </c>
      <c r="AL159" s="87" t="s">
        <v>615</v>
      </c>
      <c r="AM159" s="189"/>
      <c r="AN159" s="187" t="s">
        <v>615</v>
      </c>
      <c r="AO159" s="13" t="s">
        <v>615</v>
      </c>
      <c r="AP159" s="187">
        <v>0</v>
      </c>
      <c r="AQ159" s="187">
        <v>0</v>
      </c>
      <c r="AR159" s="190">
        <v>0</v>
      </c>
      <c r="AS159" s="190">
        <v>0</v>
      </c>
      <c r="AT159" s="190">
        <v>0</v>
      </c>
      <c r="AU159" s="187">
        <v>0</v>
      </c>
      <c r="AV159" s="187">
        <v>0</v>
      </c>
      <c r="AW159" s="191"/>
      <c r="AX159" s="192"/>
      <c r="AY159" s="193">
        <v>42666</v>
      </c>
      <c r="AZ159" s="193"/>
      <c r="BA159" s="193"/>
      <c r="BB159" s="194"/>
      <c r="BC159" s="194"/>
      <c r="BD159" s="195"/>
      <c r="BE159" s="195" t="s">
        <v>532</v>
      </c>
      <c r="BF159" s="195"/>
      <c r="BG159" s="195">
        <v>48</v>
      </c>
      <c r="BH159" s="196" t="s">
        <v>547</v>
      </c>
      <c r="BI159" s="197">
        <v>1</v>
      </c>
      <c r="BJ159" s="198"/>
      <c r="BK159" s="199">
        <v>0</v>
      </c>
      <c r="BL159" s="13">
        <v>0</v>
      </c>
      <c r="BM159" s="13">
        <v>0</v>
      </c>
      <c r="BN159" s="13" t="s">
        <v>616</v>
      </c>
      <c r="BO159" s="13" t="s">
        <v>616</v>
      </c>
      <c r="BP159" s="200">
        <v>0</v>
      </c>
      <c r="BQ159" s="201"/>
      <c r="BR159" s="202"/>
      <c r="BS159" s="187">
        <v>1000000000</v>
      </c>
      <c r="BT159" s="203">
        <v>0</v>
      </c>
      <c r="BU159" s="204">
        <v>0</v>
      </c>
      <c r="BV159" s="203">
        <v>0</v>
      </c>
      <c r="BW159" s="205">
        <v>0</v>
      </c>
      <c r="BX159" s="205">
        <v>0</v>
      </c>
      <c r="BY159" s="205">
        <v>0</v>
      </c>
      <c r="BZ159" s="203">
        <v>0</v>
      </c>
      <c r="CA159" s="203">
        <v>0</v>
      </c>
      <c r="CB159" s="203">
        <v>0</v>
      </c>
      <c r="CC159" s="204">
        <v>0</v>
      </c>
      <c r="CD159" s="203">
        <v>0</v>
      </c>
      <c r="CE159" s="203">
        <v>0</v>
      </c>
      <c r="CF159" s="13">
        <v>0</v>
      </c>
      <c r="CG159" s="206">
        <v>0</v>
      </c>
      <c r="CH159" s="207">
        <v>0</v>
      </c>
      <c r="CI159" s="201"/>
      <c r="CJ159" s="208"/>
      <c r="CK159" s="209" t="s">
        <v>615</v>
      </c>
      <c r="CL159" s="210" t="s">
        <v>615</v>
      </c>
      <c r="CM159" s="207">
        <v>0</v>
      </c>
      <c r="CN159" s="207">
        <v>0</v>
      </c>
      <c r="CO159" s="204">
        <v>0</v>
      </c>
      <c r="CP159" s="204">
        <v>0</v>
      </c>
      <c r="CQ159" s="211"/>
      <c r="CR159" s="204">
        <v>1</v>
      </c>
      <c r="CS159" s="212">
        <v>42558</v>
      </c>
      <c r="CT159" s="212">
        <v>42780</v>
      </c>
      <c r="CU159" s="213">
        <v>42780</v>
      </c>
      <c r="CV159" s="214">
        <v>42829</v>
      </c>
      <c r="CW159" s="214" t="s">
        <v>615</v>
      </c>
      <c r="CX159" s="214" t="s">
        <v>615</v>
      </c>
      <c r="CY159" s="204">
        <v>1</v>
      </c>
      <c r="CZ159" s="204">
        <v>0.97959183673469385</v>
      </c>
      <c r="DA159" s="203">
        <v>0</v>
      </c>
      <c r="DB159" s="204">
        <v>0.97959183673469385</v>
      </c>
      <c r="DC159" s="204">
        <v>0</v>
      </c>
      <c r="DD159" s="204">
        <v>0</v>
      </c>
      <c r="DE159" s="204">
        <v>0</v>
      </c>
      <c r="DF159" s="215">
        <v>0</v>
      </c>
      <c r="DG159" s="13" t="s">
        <v>615</v>
      </c>
      <c r="DH159" s="86">
        <v>157</v>
      </c>
      <c r="DI159" s="86"/>
      <c r="DJ159" s="86">
        <v>86</v>
      </c>
      <c r="DK159" s="86" t="s">
        <v>1568</v>
      </c>
      <c r="DL159" s="86" t="e">
        <v>#N/A</v>
      </c>
      <c r="DM159" s="86" t="e">
        <v>#N/A</v>
      </c>
      <c r="DN159" s="86" t="e">
        <v>#N/A</v>
      </c>
      <c r="DO159" s="86">
        <v>88</v>
      </c>
      <c r="DP159" s="86">
        <v>5</v>
      </c>
      <c r="DQ159" s="86">
        <v>49</v>
      </c>
      <c r="DR159" s="146">
        <v>0</v>
      </c>
      <c r="DS159" s="146">
        <v>0</v>
      </c>
      <c r="DT159" s="146">
        <v>0</v>
      </c>
      <c r="DU159" s="146">
        <v>0</v>
      </c>
      <c r="DV159" s="146">
        <v>0</v>
      </c>
      <c r="DW159" s="146">
        <v>0</v>
      </c>
      <c r="DX159" s="146">
        <v>0</v>
      </c>
      <c r="DY159" s="146">
        <v>0</v>
      </c>
      <c r="DZ159" s="146">
        <v>0</v>
      </c>
      <c r="EA159" s="146">
        <v>0</v>
      </c>
      <c r="EB159" s="146">
        <v>0</v>
      </c>
      <c r="EC159" s="146">
        <v>0</v>
      </c>
      <c r="ED159" s="146">
        <v>0</v>
      </c>
      <c r="EE159" s="146">
        <v>0</v>
      </c>
      <c r="EF159" s="146">
        <v>0</v>
      </c>
      <c r="EG159" s="146">
        <v>0</v>
      </c>
      <c r="EH159" s="146">
        <v>0</v>
      </c>
      <c r="EI159" s="146">
        <v>0</v>
      </c>
      <c r="EJ159" s="146">
        <v>0</v>
      </c>
      <c r="EK159" s="146">
        <v>0</v>
      </c>
      <c r="EL159" s="146">
        <v>0</v>
      </c>
      <c r="EM159" s="146">
        <v>0</v>
      </c>
      <c r="EN159" s="146">
        <v>0</v>
      </c>
      <c r="EO159" s="146">
        <v>0</v>
      </c>
      <c r="EP159" s="146">
        <v>0</v>
      </c>
      <c r="EQ159" s="146">
        <v>0</v>
      </c>
      <c r="ER159" s="146">
        <v>0</v>
      </c>
      <c r="ES159" s="146">
        <v>0</v>
      </c>
      <c r="ET159" s="146">
        <v>0</v>
      </c>
      <c r="EU159" s="146">
        <v>0</v>
      </c>
      <c r="EV159" s="146">
        <v>0</v>
      </c>
      <c r="EW159" s="146">
        <v>0</v>
      </c>
      <c r="EX159" s="146">
        <v>0</v>
      </c>
      <c r="EY159" s="146">
        <v>0</v>
      </c>
      <c r="EZ159" s="146">
        <v>0</v>
      </c>
      <c r="FA159" s="146">
        <v>0</v>
      </c>
      <c r="FB159" s="146">
        <v>0</v>
      </c>
      <c r="FC159" s="146">
        <v>0</v>
      </c>
      <c r="FD159" s="146">
        <v>0</v>
      </c>
      <c r="FE159" s="146">
        <v>0</v>
      </c>
      <c r="FF159" s="146">
        <v>0</v>
      </c>
      <c r="FG159" s="146">
        <v>0</v>
      </c>
      <c r="FH159" s="146">
        <v>0</v>
      </c>
      <c r="FI159" s="146">
        <v>0</v>
      </c>
      <c r="FJ159" s="146">
        <v>0</v>
      </c>
      <c r="FK159" s="146">
        <v>0</v>
      </c>
      <c r="FL159" s="146">
        <v>0</v>
      </c>
      <c r="FM159" s="146">
        <v>0</v>
      </c>
      <c r="FN159" s="146">
        <v>0</v>
      </c>
      <c r="FO159" s="146">
        <v>0</v>
      </c>
      <c r="FP159" s="146">
        <v>0</v>
      </c>
      <c r="FQ159" s="146">
        <v>0</v>
      </c>
      <c r="FR159" s="146">
        <v>0</v>
      </c>
      <c r="FS159" s="146">
        <v>0</v>
      </c>
      <c r="FT159" s="146">
        <v>0</v>
      </c>
      <c r="FU159" s="146">
        <v>0</v>
      </c>
      <c r="FV159" s="146">
        <v>0</v>
      </c>
      <c r="FW159" s="146">
        <v>0</v>
      </c>
      <c r="FX159" s="146">
        <v>0</v>
      </c>
      <c r="FY159" s="146">
        <v>0</v>
      </c>
      <c r="FZ159" s="146">
        <v>0</v>
      </c>
      <c r="GA159" s="146">
        <v>0</v>
      </c>
      <c r="GB159" s="146">
        <v>0</v>
      </c>
      <c r="GC159" s="146">
        <v>0</v>
      </c>
      <c r="GD159" s="146">
        <v>0</v>
      </c>
      <c r="GE159" s="146">
        <v>0</v>
      </c>
      <c r="GF159" s="146">
        <v>0</v>
      </c>
      <c r="GG159" s="146">
        <v>0</v>
      </c>
      <c r="GH159" s="146">
        <v>0</v>
      </c>
      <c r="GI159" s="146">
        <v>0</v>
      </c>
      <c r="GJ159" s="146">
        <v>0</v>
      </c>
      <c r="GK159" s="146">
        <v>0</v>
      </c>
      <c r="GL159" s="146">
        <v>0</v>
      </c>
      <c r="GM159" s="146">
        <v>0</v>
      </c>
      <c r="GN159" s="146">
        <v>0</v>
      </c>
      <c r="GO159" s="146">
        <v>0</v>
      </c>
      <c r="GP159" s="146">
        <v>0</v>
      </c>
      <c r="GQ159" s="146">
        <v>0</v>
      </c>
      <c r="GR159" s="146">
        <v>0</v>
      </c>
      <c r="GS159" s="146">
        <v>0</v>
      </c>
      <c r="GT159" s="146">
        <v>0</v>
      </c>
      <c r="GU159" s="146">
        <v>0</v>
      </c>
      <c r="GV159" s="146">
        <v>0</v>
      </c>
      <c r="GW159" s="146">
        <v>0</v>
      </c>
      <c r="GX159" s="146">
        <v>0</v>
      </c>
      <c r="GY159" s="146">
        <v>0</v>
      </c>
      <c r="GZ159" s="146">
        <v>0</v>
      </c>
      <c r="HA159" s="146">
        <v>0</v>
      </c>
      <c r="HB159" s="146">
        <v>0</v>
      </c>
      <c r="HC159" s="146">
        <v>0</v>
      </c>
      <c r="HD159" s="146">
        <v>0</v>
      </c>
      <c r="HE159" s="146">
        <v>0</v>
      </c>
      <c r="HF159" s="146">
        <v>0</v>
      </c>
      <c r="HG159" s="146">
        <v>0</v>
      </c>
      <c r="HH159" s="146">
        <v>0</v>
      </c>
      <c r="HI159" s="146">
        <v>0</v>
      </c>
      <c r="HJ159" s="146">
        <v>0</v>
      </c>
      <c r="HK159" s="146">
        <v>0</v>
      </c>
      <c r="HL159" s="146">
        <v>0</v>
      </c>
      <c r="HM159" s="146">
        <v>0</v>
      </c>
      <c r="HN159" s="146">
        <v>0</v>
      </c>
      <c r="HO159" s="146">
        <v>0</v>
      </c>
      <c r="HP159" s="146">
        <v>0</v>
      </c>
      <c r="HQ159" s="146">
        <v>0</v>
      </c>
      <c r="HR159" s="146">
        <v>0</v>
      </c>
      <c r="HS159" s="146">
        <v>0</v>
      </c>
      <c r="HT159" s="146">
        <v>0</v>
      </c>
      <c r="HU159" s="151"/>
      <c r="HV159" s="146">
        <v>0</v>
      </c>
      <c r="HW159" s="151"/>
      <c r="HX159" s="151"/>
      <c r="HY159" s="151"/>
      <c r="HZ159" s="151"/>
      <c r="IA159" s="151"/>
      <c r="IB159" s="151"/>
      <c r="IC159" s="151"/>
      <c r="ID159" s="151"/>
      <c r="IE159" s="151"/>
      <c r="IF159" s="151"/>
      <c r="IG159" s="151"/>
      <c r="IH159" s="151"/>
      <c r="II159" s="151"/>
      <c r="IJ159" s="151"/>
      <c r="IK159" s="151"/>
      <c r="IL159" s="151"/>
      <c r="IM159" s="151"/>
      <c r="IN159" s="151"/>
      <c r="IO159" s="151"/>
      <c r="IP159" s="151"/>
      <c r="IQ159" s="151"/>
      <c r="IR159" s="151"/>
      <c r="IS159" s="151"/>
      <c r="IT159" s="151"/>
      <c r="IU159" s="151"/>
      <c r="IV159" s="151"/>
      <c r="IW159" s="151"/>
      <c r="IX159" s="151"/>
      <c r="IY159" s="151"/>
      <c r="IZ159" s="151"/>
      <c r="JA159" s="151"/>
      <c r="JB159" s="151"/>
      <c r="JC159" s="151"/>
      <c r="JD159" s="151"/>
      <c r="JE159" s="151"/>
      <c r="JF159" s="151"/>
      <c r="JG159" s="151"/>
      <c r="JH159" s="151"/>
      <c r="JI159" s="151"/>
      <c r="JJ159" s="151"/>
      <c r="JK159" s="151"/>
      <c r="JL159" s="151"/>
      <c r="JM159" s="151"/>
      <c r="JN159" s="151"/>
      <c r="JO159" s="151"/>
      <c r="JP159" s="151"/>
      <c r="JQ159" s="151"/>
      <c r="JR159" s="151"/>
      <c r="JS159" s="151"/>
      <c r="JT159" s="151"/>
      <c r="JU159" s="151"/>
      <c r="JV159" s="151"/>
      <c r="JW159" s="151"/>
      <c r="JX159" s="151"/>
      <c r="JY159" s="151"/>
      <c r="JZ159" s="151"/>
      <c r="KA159" s="151"/>
      <c r="KB159" s="151"/>
      <c r="KC159" s="151"/>
      <c r="KD159" s="151"/>
      <c r="KE159" s="151"/>
      <c r="KF159" s="151"/>
      <c r="KG159" s="151"/>
      <c r="KH159" s="151"/>
      <c r="KI159" s="151"/>
      <c r="KJ159" s="151"/>
      <c r="KK159" s="151"/>
      <c r="KL159" s="151"/>
      <c r="KM159" s="151"/>
      <c r="KN159" s="151"/>
      <c r="KO159" s="151"/>
      <c r="KP159" s="151"/>
      <c r="KQ159" s="151"/>
      <c r="KR159" s="151"/>
      <c r="KS159" s="151"/>
      <c r="KT159" s="151"/>
      <c r="KU159" s="151"/>
      <c r="KV159" s="151"/>
      <c r="KW159" s="151"/>
      <c r="KX159" s="151"/>
      <c r="KY159" s="151"/>
      <c r="KZ159" s="151"/>
      <c r="LA159" s="151"/>
      <c r="LB159" s="151"/>
      <c r="LC159" s="151"/>
      <c r="LD159" s="151"/>
      <c r="LE159" s="151"/>
    </row>
    <row r="160" spans="1:317" x14ac:dyDescent="0.2">
      <c r="A160" s="179" t="s">
        <v>849</v>
      </c>
      <c r="B160" s="180" t="s">
        <v>1059</v>
      </c>
      <c r="C160" s="181"/>
      <c r="D160" s="182">
        <v>0</v>
      </c>
      <c r="E160" s="182">
        <v>0</v>
      </c>
      <c r="F160" s="183" t="s">
        <v>1313</v>
      </c>
      <c r="G160" s="183">
        <v>0</v>
      </c>
      <c r="H160" s="183">
        <v>0</v>
      </c>
      <c r="I160" s="183">
        <v>0</v>
      </c>
      <c r="J160" s="183">
        <v>0</v>
      </c>
      <c r="K160" s="183" t="s">
        <v>1368</v>
      </c>
      <c r="L160" s="183">
        <v>0</v>
      </c>
      <c r="M160" s="183">
        <v>0</v>
      </c>
      <c r="N160" s="183" t="s">
        <v>881</v>
      </c>
      <c r="O160" s="183">
        <v>0</v>
      </c>
      <c r="P160" s="183">
        <v>0</v>
      </c>
      <c r="Q160" s="183"/>
      <c r="R160" s="183"/>
      <c r="S160" s="183"/>
      <c r="T160" s="183"/>
      <c r="U160" s="183"/>
      <c r="V160" s="183">
        <v>0</v>
      </c>
      <c r="W160" s="183">
        <v>0</v>
      </c>
      <c r="X160" s="183">
        <v>0</v>
      </c>
      <c r="Y160" s="184">
        <v>0</v>
      </c>
      <c r="Z160" s="184">
        <v>0</v>
      </c>
      <c r="AA160" s="184">
        <v>0</v>
      </c>
      <c r="AB160" s="185" t="s">
        <v>615</v>
      </c>
      <c r="AC160" s="185" t="s">
        <v>615</v>
      </c>
      <c r="AD160" s="186" t="s">
        <v>881</v>
      </c>
      <c r="AE160" s="186" t="s">
        <v>858</v>
      </c>
      <c r="AF160" s="187">
        <v>7</v>
      </c>
      <c r="AG160" s="187">
        <v>3</v>
      </c>
      <c r="AH160" s="187">
        <v>4</v>
      </c>
      <c r="AI160" s="188">
        <v>1</v>
      </c>
      <c r="AJ160" s="188" t="s">
        <v>615</v>
      </c>
      <c r="AK160" s="187" t="s">
        <v>1738</v>
      </c>
      <c r="AL160" s="87" t="s">
        <v>615</v>
      </c>
      <c r="AM160" s="189"/>
      <c r="AN160" s="187" t="s">
        <v>615</v>
      </c>
      <c r="AO160" s="13" t="s">
        <v>615</v>
      </c>
      <c r="AP160" s="187">
        <v>0</v>
      </c>
      <c r="AQ160" s="187">
        <v>0</v>
      </c>
      <c r="AR160" s="190">
        <v>0</v>
      </c>
      <c r="AS160" s="190">
        <v>0</v>
      </c>
      <c r="AT160" s="190">
        <v>0</v>
      </c>
      <c r="AU160" s="187">
        <v>0</v>
      </c>
      <c r="AV160" s="187">
        <v>0</v>
      </c>
      <c r="AW160" s="191"/>
      <c r="AX160" s="192"/>
      <c r="AY160" s="193">
        <v>42666</v>
      </c>
      <c r="AZ160" s="193"/>
      <c r="BA160" s="193"/>
      <c r="BB160" s="194"/>
      <c r="BC160" s="194"/>
      <c r="BD160" s="195"/>
      <c r="BE160" s="195" t="s">
        <v>532</v>
      </c>
      <c r="BF160" s="195"/>
      <c r="BG160" s="195"/>
      <c r="BH160" s="196" t="s">
        <v>547</v>
      </c>
      <c r="BI160" s="197">
        <v>1</v>
      </c>
      <c r="BJ160" s="198"/>
      <c r="BK160" s="199">
        <v>0</v>
      </c>
      <c r="BL160" s="13">
        <v>0</v>
      </c>
      <c r="BM160" s="13">
        <v>0</v>
      </c>
      <c r="BN160" s="13" t="s">
        <v>616</v>
      </c>
      <c r="BO160" s="13" t="s">
        <v>616</v>
      </c>
      <c r="BP160" s="200">
        <v>0</v>
      </c>
      <c r="BQ160" s="201"/>
      <c r="BR160" s="202"/>
      <c r="BS160" s="187">
        <v>1000000000</v>
      </c>
      <c r="BT160" s="203">
        <v>0</v>
      </c>
      <c r="BU160" s="204">
        <v>0</v>
      </c>
      <c r="BV160" s="203">
        <v>0</v>
      </c>
      <c r="BW160" s="205">
        <v>0</v>
      </c>
      <c r="BX160" s="205">
        <v>0</v>
      </c>
      <c r="BY160" s="205">
        <v>0</v>
      </c>
      <c r="BZ160" s="203">
        <v>0</v>
      </c>
      <c r="CA160" s="203">
        <v>0</v>
      </c>
      <c r="CB160" s="203">
        <v>0</v>
      </c>
      <c r="CC160" s="204">
        <v>0</v>
      </c>
      <c r="CD160" s="203">
        <v>0</v>
      </c>
      <c r="CE160" s="203">
        <v>0</v>
      </c>
      <c r="CF160" s="13">
        <v>0</v>
      </c>
      <c r="CG160" s="206">
        <v>0</v>
      </c>
      <c r="CH160" s="207">
        <v>0</v>
      </c>
      <c r="CI160" s="201"/>
      <c r="CJ160" s="208"/>
      <c r="CK160" s="209" t="s">
        <v>615</v>
      </c>
      <c r="CL160" s="210" t="s">
        <v>615</v>
      </c>
      <c r="CM160" s="207">
        <v>0</v>
      </c>
      <c r="CN160" s="207">
        <v>0</v>
      </c>
      <c r="CO160" s="204">
        <v>0</v>
      </c>
      <c r="CP160" s="204">
        <v>0</v>
      </c>
      <c r="CQ160" s="211"/>
      <c r="CR160" s="204">
        <v>1</v>
      </c>
      <c r="CS160" s="212">
        <v>42558</v>
      </c>
      <c r="CT160" s="212">
        <v>42780</v>
      </c>
      <c r="CU160" s="213">
        <v>42780</v>
      </c>
      <c r="CV160" s="214">
        <v>42829</v>
      </c>
      <c r="CW160" s="214" t="s">
        <v>615</v>
      </c>
      <c r="CX160" s="214" t="s">
        <v>615</v>
      </c>
      <c r="CY160" s="204">
        <v>1</v>
      </c>
      <c r="CZ160" s="204">
        <v>0.97959183673469385</v>
      </c>
      <c r="DA160" s="203">
        <v>0</v>
      </c>
      <c r="DB160" s="204">
        <v>0.97959183673469385</v>
      </c>
      <c r="DC160" s="204">
        <v>0</v>
      </c>
      <c r="DD160" s="204">
        <v>0</v>
      </c>
      <c r="DE160" s="204">
        <v>0</v>
      </c>
      <c r="DF160" s="215">
        <v>0</v>
      </c>
      <c r="DG160" s="13" t="s">
        <v>615</v>
      </c>
      <c r="DH160" s="86">
        <v>158</v>
      </c>
      <c r="DI160" s="86"/>
      <c r="DJ160" s="86">
        <v>87</v>
      </c>
      <c r="DK160" s="86" t="s">
        <v>1569</v>
      </c>
      <c r="DL160" s="86" t="e">
        <v>#N/A</v>
      </c>
      <c r="DM160" s="86" t="e">
        <v>#N/A</v>
      </c>
      <c r="DN160" s="86" t="e">
        <v>#N/A</v>
      </c>
      <c r="DO160" s="86">
        <v>89</v>
      </c>
      <c r="DP160" s="86">
        <v>5</v>
      </c>
      <c r="DQ160" s="86">
        <v>49</v>
      </c>
      <c r="DR160" s="152">
        <v>0</v>
      </c>
      <c r="DS160" s="152">
        <v>0</v>
      </c>
      <c r="DT160" s="152">
        <v>0</v>
      </c>
      <c r="DU160" s="152">
        <v>0</v>
      </c>
      <c r="DV160" s="152">
        <v>0</v>
      </c>
      <c r="DW160" s="152">
        <v>0</v>
      </c>
      <c r="DX160" s="152">
        <v>0</v>
      </c>
      <c r="DY160" s="152">
        <v>0</v>
      </c>
      <c r="DZ160" s="152">
        <v>0</v>
      </c>
      <c r="EA160" s="152">
        <v>0</v>
      </c>
      <c r="EB160" s="152">
        <v>0</v>
      </c>
      <c r="EC160" s="152">
        <v>0</v>
      </c>
      <c r="ED160" s="152">
        <v>0</v>
      </c>
      <c r="EE160" s="152">
        <v>0</v>
      </c>
      <c r="EF160" s="152">
        <v>0</v>
      </c>
      <c r="EG160" s="152">
        <v>0</v>
      </c>
      <c r="EH160" s="152">
        <v>0</v>
      </c>
      <c r="EI160" s="152">
        <v>0</v>
      </c>
      <c r="EJ160" s="152">
        <v>0</v>
      </c>
      <c r="EK160" s="152">
        <v>0</v>
      </c>
      <c r="EL160" s="152">
        <v>0</v>
      </c>
      <c r="EM160" s="152">
        <v>0</v>
      </c>
      <c r="EN160" s="152">
        <v>0</v>
      </c>
      <c r="EO160" s="152">
        <v>0</v>
      </c>
      <c r="EP160" s="152">
        <v>0</v>
      </c>
      <c r="EQ160" s="152">
        <v>0</v>
      </c>
      <c r="ER160" s="152">
        <v>0</v>
      </c>
      <c r="ES160" s="152">
        <v>0</v>
      </c>
      <c r="ET160" s="152">
        <v>0</v>
      </c>
      <c r="EU160" s="152">
        <v>0</v>
      </c>
      <c r="EV160" s="152">
        <v>0</v>
      </c>
      <c r="EW160" s="152">
        <v>0</v>
      </c>
      <c r="EX160" s="152">
        <v>0</v>
      </c>
      <c r="EY160" s="152">
        <v>0</v>
      </c>
      <c r="EZ160" s="152">
        <v>0</v>
      </c>
      <c r="FA160" s="152">
        <v>0</v>
      </c>
      <c r="FB160" s="152">
        <v>0</v>
      </c>
      <c r="FC160" s="152">
        <v>0</v>
      </c>
      <c r="FD160" s="152">
        <v>0</v>
      </c>
      <c r="FE160" s="152">
        <v>0</v>
      </c>
      <c r="FF160" s="152">
        <v>0</v>
      </c>
      <c r="FG160" s="152">
        <v>0</v>
      </c>
      <c r="FH160" s="152">
        <v>0</v>
      </c>
      <c r="FI160" s="152">
        <v>0</v>
      </c>
      <c r="FJ160" s="152">
        <v>0</v>
      </c>
      <c r="FK160" s="152">
        <v>0</v>
      </c>
      <c r="FL160" s="152">
        <v>0</v>
      </c>
      <c r="FM160" s="152">
        <v>0</v>
      </c>
      <c r="FN160" s="152">
        <v>0</v>
      </c>
      <c r="FO160" s="152">
        <v>0</v>
      </c>
      <c r="FP160" s="152">
        <v>0</v>
      </c>
      <c r="FQ160" s="152">
        <v>0</v>
      </c>
      <c r="FR160" s="152">
        <v>0</v>
      </c>
      <c r="FS160" s="152">
        <v>0</v>
      </c>
      <c r="FT160" s="152">
        <v>0</v>
      </c>
      <c r="FU160" s="152">
        <v>0</v>
      </c>
      <c r="FV160" s="152">
        <v>0</v>
      </c>
      <c r="FW160" s="152">
        <v>0</v>
      </c>
      <c r="FX160" s="152">
        <v>0</v>
      </c>
      <c r="FY160" s="152">
        <v>0</v>
      </c>
      <c r="FZ160" s="152">
        <v>0</v>
      </c>
      <c r="GA160" s="152">
        <v>0</v>
      </c>
      <c r="GB160" s="152">
        <v>0</v>
      </c>
      <c r="GC160" s="152">
        <v>0</v>
      </c>
      <c r="GD160" s="152">
        <v>0</v>
      </c>
      <c r="GE160" s="152">
        <v>0</v>
      </c>
      <c r="GF160" s="152">
        <v>0</v>
      </c>
      <c r="GG160" s="152">
        <v>0</v>
      </c>
      <c r="GH160" s="152">
        <v>0</v>
      </c>
      <c r="GI160" s="152">
        <v>0</v>
      </c>
      <c r="GJ160" s="152">
        <v>0</v>
      </c>
      <c r="GK160" s="152">
        <v>0</v>
      </c>
      <c r="GL160" s="152">
        <v>0</v>
      </c>
      <c r="GM160" s="152">
        <v>0</v>
      </c>
      <c r="GN160" s="152">
        <v>0</v>
      </c>
      <c r="GO160" s="152">
        <v>0</v>
      </c>
      <c r="GP160" s="152">
        <v>0</v>
      </c>
      <c r="GQ160" s="152">
        <v>0</v>
      </c>
      <c r="GR160" s="152">
        <v>0</v>
      </c>
      <c r="GS160" s="152">
        <v>0</v>
      </c>
      <c r="GT160" s="152">
        <v>0</v>
      </c>
      <c r="GU160" s="152">
        <v>0</v>
      </c>
      <c r="GV160" s="152">
        <v>0</v>
      </c>
      <c r="GW160" s="152">
        <v>0</v>
      </c>
      <c r="GX160" s="152">
        <v>0</v>
      </c>
      <c r="GY160" s="152">
        <v>0</v>
      </c>
      <c r="GZ160" s="152">
        <v>0</v>
      </c>
      <c r="HA160" s="152">
        <v>0</v>
      </c>
      <c r="HB160" s="152">
        <v>0</v>
      </c>
      <c r="HC160" s="152">
        <v>0</v>
      </c>
      <c r="HD160" s="152">
        <v>0</v>
      </c>
      <c r="HE160" s="152">
        <v>0</v>
      </c>
      <c r="HF160" s="152">
        <v>0</v>
      </c>
      <c r="HG160" s="152">
        <v>0</v>
      </c>
      <c r="HH160" s="152">
        <v>0</v>
      </c>
      <c r="HI160" s="152">
        <v>0</v>
      </c>
      <c r="HJ160" s="152">
        <v>0</v>
      </c>
      <c r="HK160" s="152">
        <v>0</v>
      </c>
      <c r="HL160" s="152">
        <v>0</v>
      </c>
      <c r="HM160" s="152">
        <v>0</v>
      </c>
      <c r="HN160" s="152">
        <v>0</v>
      </c>
      <c r="HO160" s="152">
        <v>0</v>
      </c>
      <c r="HP160" s="152">
        <v>0</v>
      </c>
      <c r="HQ160" s="152">
        <v>0</v>
      </c>
      <c r="HR160" s="152">
        <v>0</v>
      </c>
      <c r="HS160" s="152">
        <v>0</v>
      </c>
      <c r="HT160" s="152">
        <v>0</v>
      </c>
      <c r="HU160" s="216"/>
      <c r="HV160" s="152">
        <v>0</v>
      </c>
      <c r="HW160" s="216"/>
      <c r="HX160" s="216"/>
      <c r="HY160" s="216"/>
      <c r="HZ160" s="216"/>
      <c r="IA160" s="216"/>
      <c r="IB160" s="216"/>
      <c r="IC160" s="216"/>
      <c r="ID160" s="216"/>
      <c r="IE160" s="216"/>
      <c r="IF160" s="216"/>
      <c r="IG160" s="216"/>
      <c r="IH160" s="216"/>
      <c r="II160" s="216"/>
      <c r="IJ160" s="216"/>
      <c r="IK160" s="216"/>
      <c r="IL160" s="216"/>
      <c r="IM160" s="216"/>
      <c r="IN160" s="216"/>
      <c r="IO160" s="216"/>
      <c r="IP160" s="216"/>
      <c r="IQ160" s="216"/>
      <c r="IR160" s="216"/>
      <c r="IS160" s="216"/>
      <c r="IT160" s="216"/>
      <c r="IU160" s="216"/>
      <c r="IV160" s="216"/>
      <c r="IW160" s="216"/>
      <c r="IX160" s="216"/>
      <c r="IY160" s="216"/>
      <c r="IZ160" s="216"/>
      <c r="JA160" s="216"/>
      <c r="JB160" s="216"/>
      <c r="JC160" s="216"/>
      <c r="JD160" s="216"/>
      <c r="JE160" s="216"/>
      <c r="JF160" s="216"/>
      <c r="JG160" s="216"/>
      <c r="JH160" s="216"/>
      <c r="JI160" s="216"/>
      <c r="JJ160" s="216"/>
      <c r="JK160" s="216"/>
      <c r="JL160" s="216"/>
      <c r="JM160" s="216"/>
      <c r="JN160" s="216"/>
      <c r="JO160" s="216"/>
      <c r="JP160" s="216"/>
      <c r="JQ160" s="216"/>
      <c r="JR160" s="216"/>
      <c r="JS160" s="216"/>
      <c r="JT160" s="216"/>
      <c r="JU160" s="216"/>
      <c r="JV160" s="216"/>
      <c r="JW160" s="216"/>
      <c r="JX160" s="216"/>
      <c r="JY160" s="216"/>
      <c r="JZ160" s="216"/>
      <c r="KA160" s="216"/>
      <c r="KB160" s="216"/>
      <c r="KC160" s="216"/>
      <c r="KD160" s="216"/>
      <c r="KE160" s="216"/>
      <c r="KF160" s="216"/>
      <c r="KG160" s="216"/>
      <c r="KH160" s="216"/>
      <c r="KI160" s="216"/>
      <c r="KJ160" s="216"/>
      <c r="KK160" s="216"/>
      <c r="KL160" s="216"/>
      <c r="KM160" s="216"/>
      <c r="KN160" s="216"/>
      <c r="KO160" s="216"/>
      <c r="KP160" s="216"/>
      <c r="KQ160" s="216"/>
      <c r="KR160" s="216"/>
      <c r="KS160" s="216"/>
      <c r="KT160" s="216"/>
      <c r="KU160" s="216"/>
      <c r="KV160" s="216"/>
      <c r="KW160" s="216"/>
      <c r="KX160" s="216"/>
      <c r="KY160" s="216"/>
      <c r="KZ160" s="216"/>
      <c r="LA160" s="216"/>
      <c r="LB160" s="216"/>
      <c r="LC160" s="216"/>
      <c r="LD160" s="216"/>
      <c r="LE160" s="216"/>
    </row>
    <row r="161" spans="1:317" x14ac:dyDescent="0.2">
      <c r="A161" s="179" t="s">
        <v>849</v>
      </c>
      <c r="B161" s="180" t="s">
        <v>1060</v>
      </c>
      <c r="C161" s="181"/>
      <c r="D161" s="182">
        <v>0</v>
      </c>
      <c r="E161" s="182">
        <v>0</v>
      </c>
      <c r="F161" s="183" t="s">
        <v>1313</v>
      </c>
      <c r="G161" s="183">
        <v>0</v>
      </c>
      <c r="H161" s="183">
        <v>0</v>
      </c>
      <c r="I161" s="183">
        <v>0</v>
      </c>
      <c r="J161" s="183">
        <v>0</v>
      </c>
      <c r="K161" s="183" t="s">
        <v>1368</v>
      </c>
      <c r="L161" s="183">
        <v>0</v>
      </c>
      <c r="M161" s="183">
        <v>0</v>
      </c>
      <c r="N161" s="183" t="s">
        <v>881</v>
      </c>
      <c r="O161" s="183">
        <v>0</v>
      </c>
      <c r="P161" s="183">
        <v>0</v>
      </c>
      <c r="Q161" s="183"/>
      <c r="R161" s="183"/>
      <c r="S161" s="183"/>
      <c r="T161" s="183"/>
      <c r="U161" s="183"/>
      <c r="V161" s="183">
        <v>0</v>
      </c>
      <c r="W161" s="183">
        <v>0</v>
      </c>
      <c r="X161" s="183">
        <v>0</v>
      </c>
      <c r="Y161" s="184">
        <v>0</v>
      </c>
      <c r="Z161" s="184">
        <v>0</v>
      </c>
      <c r="AA161" s="184">
        <v>0</v>
      </c>
      <c r="AB161" s="185" t="s">
        <v>615</v>
      </c>
      <c r="AC161" s="185" t="s">
        <v>615</v>
      </c>
      <c r="AD161" s="186" t="s">
        <v>881</v>
      </c>
      <c r="AE161" s="186" t="s">
        <v>858</v>
      </c>
      <c r="AF161" s="187">
        <v>7</v>
      </c>
      <c r="AG161" s="187">
        <v>3</v>
      </c>
      <c r="AH161" s="187">
        <v>4</v>
      </c>
      <c r="AI161" s="188">
        <v>1</v>
      </c>
      <c r="AJ161" s="188" t="s">
        <v>615</v>
      </c>
      <c r="AK161" s="187" t="s">
        <v>1738</v>
      </c>
      <c r="AL161" s="87" t="s">
        <v>615</v>
      </c>
      <c r="AM161" s="189"/>
      <c r="AN161" s="187" t="s">
        <v>615</v>
      </c>
      <c r="AO161" s="13" t="s">
        <v>615</v>
      </c>
      <c r="AP161" s="187">
        <v>0</v>
      </c>
      <c r="AQ161" s="187">
        <v>0</v>
      </c>
      <c r="AR161" s="190">
        <v>0</v>
      </c>
      <c r="AS161" s="190">
        <v>0</v>
      </c>
      <c r="AT161" s="190">
        <v>0</v>
      </c>
      <c r="AU161" s="187">
        <v>0</v>
      </c>
      <c r="AV161" s="187">
        <v>0</v>
      </c>
      <c r="AW161" s="191"/>
      <c r="AX161" s="192"/>
      <c r="AY161" s="193">
        <v>42666</v>
      </c>
      <c r="AZ161" s="193"/>
      <c r="BA161" s="193"/>
      <c r="BB161" s="194"/>
      <c r="BC161" s="194"/>
      <c r="BD161" s="195"/>
      <c r="BE161" s="195" t="s">
        <v>532</v>
      </c>
      <c r="BF161" s="195"/>
      <c r="BG161" s="195">
        <v>36</v>
      </c>
      <c r="BH161" s="196" t="s">
        <v>547</v>
      </c>
      <c r="BI161" s="197">
        <v>1</v>
      </c>
      <c r="BJ161" s="198"/>
      <c r="BK161" s="199">
        <v>0</v>
      </c>
      <c r="BL161" s="13">
        <v>0</v>
      </c>
      <c r="BM161" s="13">
        <v>0</v>
      </c>
      <c r="BN161" s="13" t="s">
        <v>616</v>
      </c>
      <c r="BO161" s="13" t="s">
        <v>616</v>
      </c>
      <c r="BP161" s="200">
        <v>0</v>
      </c>
      <c r="BQ161" s="201"/>
      <c r="BR161" s="202"/>
      <c r="BS161" s="187">
        <v>1000000000</v>
      </c>
      <c r="BT161" s="203">
        <v>0</v>
      </c>
      <c r="BU161" s="204">
        <v>0</v>
      </c>
      <c r="BV161" s="203">
        <v>0</v>
      </c>
      <c r="BW161" s="205">
        <v>0</v>
      </c>
      <c r="BX161" s="205">
        <v>0</v>
      </c>
      <c r="BY161" s="205">
        <v>0</v>
      </c>
      <c r="BZ161" s="203">
        <v>0</v>
      </c>
      <c r="CA161" s="203">
        <v>0</v>
      </c>
      <c r="CB161" s="203">
        <v>0</v>
      </c>
      <c r="CC161" s="204">
        <v>0</v>
      </c>
      <c r="CD161" s="203">
        <v>0</v>
      </c>
      <c r="CE161" s="203">
        <v>0</v>
      </c>
      <c r="CF161" s="13">
        <v>0</v>
      </c>
      <c r="CG161" s="206">
        <v>0</v>
      </c>
      <c r="CH161" s="207">
        <v>0</v>
      </c>
      <c r="CI161" s="201"/>
      <c r="CJ161" s="208"/>
      <c r="CK161" s="209" t="s">
        <v>615</v>
      </c>
      <c r="CL161" s="210" t="s">
        <v>615</v>
      </c>
      <c r="CM161" s="207">
        <v>0</v>
      </c>
      <c r="CN161" s="207">
        <v>0</v>
      </c>
      <c r="CO161" s="204">
        <v>0</v>
      </c>
      <c r="CP161" s="204">
        <v>0</v>
      </c>
      <c r="CQ161" s="211"/>
      <c r="CR161" s="204">
        <v>1</v>
      </c>
      <c r="CS161" s="212">
        <v>42558</v>
      </c>
      <c r="CT161" s="212">
        <v>42780</v>
      </c>
      <c r="CU161" s="213">
        <v>42780</v>
      </c>
      <c r="CV161" s="214">
        <v>42829</v>
      </c>
      <c r="CW161" s="214" t="s">
        <v>615</v>
      </c>
      <c r="CX161" s="214" t="s">
        <v>615</v>
      </c>
      <c r="CY161" s="204">
        <v>1</v>
      </c>
      <c r="CZ161" s="204">
        <v>0.97959183673469385</v>
      </c>
      <c r="DA161" s="203">
        <v>0</v>
      </c>
      <c r="DB161" s="204">
        <v>0.97959183673469385</v>
      </c>
      <c r="DC161" s="204">
        <v>0</v>
      </c>
      <c r="DD161" s="204">
        <v>0</v>
      </c>
      <c r="DE161" s="204">
        <v>0</v>
      </c>
      <c r="DF161" s="215">
        <v>0</v>
      </c>
      <c r="DG161" s="13" t="s">
        <v>615</v>
      </c>
      <c r="DH161" s="86">
        <v>159</v>
      </c>
      <c r="DI161" s="86"/>
      <c r="DJ161" s="86">
        <v>88</v>
      </c>
      <c r="DK161" s="86" t="s">
        <v>1570</v>
      </c>
      <c r="DL161" s="86" t="e">
        <v>#N/A</v>
      </c>
      <c r="DM161" s="86" t="e">
        <v>#N/A</v>
      </c>
      <c r="DN161" s="86" t="e">
        <v>#N/A</v>
      </c>
      <c r="DO161" s="86">
        <v>90</v>
      </c>
      <c r="DP161" s="86">
        <v>5</v>
      </c>
      <c r="DQ161" s="86">
        <v>49</v>
      </c>
      <c r="DR161" s="146">
        <v>0</v>
      </c>
      <c r="DS161" s="146">
        <v>0</v>
      </c>
      <c r="DT161" s="146">
        <v>0</v>
      </c>
      <c r="DU161" s="146">
        <v>0</v>
      </c>
      <c r="DV161" s="146">
        <v>0</v>
      </c>
      <c r="DW161" s="146">
        <v>0</v>
      </c>
      <c r="DX161" s="146">
        <v>0</v>
      </c>
      <c r="DY161" s="146">
        <v>0</v>
      </c>
      <c r="DZ161" s="146">
        <v>0</v>
      </c>
      <c r="EA161" s="146">
        <v>0</v>
      </c>
      <c r="EB161" s="146">
        <v>0</v>
      </c>
      <c r="EC161" s="146">
        <v>0</v>
      </c>
      <c r="ED161" s="146">
        <v>0</v>
      </c>
      <c r="EE161" s="146">
        <v>0</v>
      </c>
      <c r="EF161" s="146">
        <v>0</v>
      </c>
      <c r="EG161" s="146">
        <v>0</v>
      </c>
      <c r="EH161" s="146">
        <v>0</v>
      </c>
      <c r="EI161" s="146">
        <v>0</v>
      </c>
      <c r="EJ161" s="146">
        <v>0</v>
      </c>
      <c r="EK161" s="146">
        <v>0</v>
      </c>
      <c r="EL161" s="146">
        <v>0</v>
      </c>
      <c r="EM161" s="146">
        <v>0</v>
      </c>
      <c r="EN161" s="146">
        <v>0</v>
      </c>
      <c r="EO161" s="146">
        <v>0</v>
      </c>
      <c r="EP161" s="146">
        <v>0</v>
      </c>
      <c r="EQ161" s="146">
        <v>0</v>
      </c>
      <c r="ER161" s="146">
        <v>0</v>
      </c>
      <c r="ES161" s="146">
        <v>0</v>
      </c>
      <c r="ET161" s="146">
        <v>0</v>
      </c>
      <c r="EU161" s="146">
        <v>0</v>
      </c>
      <c r="EV161" s="146">
        <v>0</v>
      </c>
      <c r="EW161" s="146">
        <v>0</v>
      </c>
      <c r="EX161" s="146">
        <v>0</v>
      </c>
      <c r="EY161" s="146">
        <v>0</v>
      </c>
      <c r="EZ161" s="146">
        <v>0</v>
      </c>
      <c r="FA161" s="146">
        <v>0</v>
      </c>
      <c r="FB161" s="146">
        <v>0</v>
      </c>
      <c r="FC161" s="146">
        <v>0</v>
      </c>
      <c r="FD161" s="146">
        <v>0</v>
      </c>
      <c r="FE161" s="146">
        <v>0</v>
      </c>
      <c r="FF161" s="146">
        <v>0</v>
      </c>
      <c r="FG161" s="146">
        <v>0</v>
      </c>
      <c r="FH161" s="146">
        <v>0</v>
      </c>
      <c r="FI161" s="146">
        <v>0</v>
      </c>
      <c r="FJ161" s="146">
        <v>0</v>
      </c>
      <c r="FK161" s="146">
        <v>0</v>
      </c>
      <c r="FL161" s="146">
        <v>0</v>
      </c>
      <c r="FM161" s="146">
        <v>0</v>
      </c>
      <c r="FN161" s="146">
        <v>0</v>
      </c>
      <c r="FO161" s="146">
        <v>0</v>
      </c>
      <c r="FP161" s="146">
        <v>0</v>
      </c>
      <c r="FQ161" s="146">
        <v>0</v>
      </c>
      <c r="FR161" s="146">
        <v>0</v>
      </c>
      <c r="FS161" s="146">
        <v>0</v>
      </c>
      <c r="FT161" s="146">
        <v>0</v>
      </c>
      <c r="FU161" s="146">
        <v>0</v>
      </c>
      <c r="FV161" s="146">
        <v>0</v>
      </c>
      <c r="FW161" s="146">
        <v>0</v>
      </c>
      <c r="FX161" s="146">
        <v>0</v>
      </c>
      <c r="FY161" s="146">
        <v>0</v>
      </c>
      <c r="FZ161" s="146">
        <v>0</v>
      </c>
      <c r="GA161" s="146">
        <v>0</v>
      </c>
      <c r="GB161" s="146">
        <v>0</v>
      </c>
      <c r="GC161" s="146">
        <v>0</v>
      </c>
      <c r="GD161" s="146">
        <v>0</v>
      </c>
      <c r="GE161" s="146">
        <v>0</v>
      </c>
      <c r="GF161" s="146">
        <v>0</v>
      </c>
      <c r="GG161" s="146">
        <v>0</v>
      </c>
      <c r="GH161" s="146">
        <v>0</v>
      </c>
      <c r="GI161" s="146">
        <v>0</v>
      </c>
      <c r="GJ161" s="146">
        <v>0</v>
      </c>
      <c r="GK161" s="146">
        <v>0</v>
      </c>
      <c r="GL161" s="146">
        <v>0</v>
      </c>
      <c r="GM161" s="146">
        <v>0</v>
      </c>
      <c r="GN161" s="146">
        <v>0</v>
      </c>
      <c r="GO161" s="146">
        <v>0</v>
      </c>
      <c r="GP161" s="146">
        <v>0</v>
      </c>
      <c r="GQ161" s="146">
        <v>0</v>
      </c>
      <c r="GR161" s="146">
        <v>0</v>
      </c>
      <c r="GS161" s="146">
        <v>0</v>
      </c>
      <c r="GT161" s="146">
        <v>0</v>
      </c>
      <c r="GU161" s="146">
        <v>0</v>
      </c>
      <c r="GV161" s="146">
        <v>0</v>
      </c>
      <c r="GW161" s="146">
        <v>0</v>
      </c>
      <c r="GX161" s="146">
        <v>0</v>
      </c>
      <c r="GY161" s="146">
        <v>0</v>
      </c>
      <c r="GZ161" s="146">
        <v>0</v>
      </c>
      <c r="HA161" s="146">
        <v>0</v>
      </c>
      <c r="HB161" s="146">
        <v>0</v>
      </c>
      <c r="HC161" s="146">
        <v>0</v>
      </c>
      <c r="HD161" s="146">
        <v>0</v>
      </c>
      <c r="HE161" s="146">
        <v>0</v>
      </c>
      <c r="HF161" s="146">
        <v>0</v>
      </c>
      <c r="HG161" s="146">
        <v>0</v>
      </c>
      <c r="HH161" s="146">
        <v>0</v>
      </c>
      <c r="HI161" s="146">
        <v>0</v>
      </c>
      <c r="HJ161" s="146">
        <v>0</v>
      </c>
      <c r="HK161" s="146">
        <v>0</v>
      </c>
      <c r="HL161" s="146">
        <v>0</v>
      </c>
      <c r="HM161" s="146">
        <v>0</v>
      </c>
      <c r="HN161" s="146">
        <v>0</v>
      </c>
      <c r="HO161" s="146">
        <v>0</v>
      </c>
      <c r="HP161" s="146">
        <v>0</v>
      </c>
      <c r="HQ161" s="146">
        <v>0</v>
      </c>
      <c r="HR161" s="146">
        <v>0</v>
      </c>
      <c r="HS161" s="146">
        <v>0</v>
      </c>
      <c r="HT161" s="146">
        <v>0</v>
      </c>
      <c r="HU161" s="151"/>
      <c r="HV161" s="146">
        <v>0</v>
      </c>
      <c r="HW161" s="151"/>
      <c r="HX161" s="151"/>
      <c r="HY161" s="151"/>
      <c r="HZ161" s="151"/>
      <c r="IA161" s="151"/>
      <c r="IB161" s="151"/>
      <c r="IC161" s="151"/>
      <c r="ID161" s="151"/>
      <c r="IE161" s="151"/>
      <c r="IF161" s="151"/>
      <c r="IG161" s="151"/>
      <c r="IH161" s="151"/>
      <c r="II161" s="151"/>
      <c r="IJ161" s="151"/>
      <c r="IK161" s="151"/>
      <c r="IL161" s="151"/>
      <c r="IM161" s="151"/>
      <c r="IN161" s="151"/>
      <c r="IO161" s="151"/>
      <c r="IP161" s="151"/>
      <c r="IQ161" s="151"/>
      <c r="IR161" s="151"/>
      <c r="IS161" s="151"/>
      <c r="IT161" s="151"/>
      <c r="IU161" s="151"/>
      <c r="IV161" s="151"/>
      <c r="IW161" s="151"/>
      <c r="IX161" s="151"/>
      <c r="IY161" s="151"/>
      <c r="IZ161" s="151"/>
      <c r="JA161" s="151"/>
      <c r="JB161" s="151"/>
      <c r="JC161" s="151"/>
      <c r="JD161" s="151"/>
      <c r="JE161" s="151"/>
      <c r="JF161" s="151"/>
      <c r="JG161" s="151"/>
      <c r="JH161" s="151"/>
      <c r="JI161" s="151"/>
      <c r="JJ161" s="151"/>
      <c r="JK161" s="151"/>
      <c r="JL161" s="151"/>
      <c r="JM161" s="151"/>
      <c r="JN161" s="151"/>
      <c r="JO161" s="151"/>
      <c r="JP161" s="151"/>
      <c r="JQ161" s="151"/>
      <c r="JR161" s="151"/>
      <c r="JS161" s="151"/>
      <c r="JT161" s="151"/>
      <c r="JU161" s="151"/>
      <c r="JV161" s="151"/>
      <c r="JW161" s="151"/>
      <c r="JX161" s="151"/>
      <c r="JY161" s="151"/>
      <c r="JZ161" s="151"/>
      <c r="KA161" s="151"/>
      <c r="KB161" s="151"/>
      <c r="KC161" s="151"/>
      <c r="KD161" s="151"/>
      <c r="KE161" s="151"/>
      <c r="KF161" s="151"/>
      <c r="KG161" s="151"/>
      <c r="KH161" s="151"/>
      <c r="KI161" s="151"/>
      <c r="KJ161" s="151"/>
      <c r="KK161" s="151"/>
      <c r="KL161" s="151"/>
      <c r="KM161" s="151"/>
      <c r="KN161" s="151"/>
      <c r="KO161" s="151"/>
      <c r="KP161" s="151"/>
      <c r="KQ161" s="151"/>
      <c r="KR161" s="151"/>
      <c r="KS161" s="151"/>
      <c r="KT161" s="151"/>
      <c r="KU161" s="151"/>
      <c r="KV161" s="151"/>
      <c r="KW161" s="151"/>
      <c r="KX161" s="151"/>
      <c r="KY161" s="151"/>
      <c r="KZ161" s="151"/>
      <c r="LA161" s="151"/>
      <c r="LB161" s="151"/>
      <c r="LC161" s="151"/>
      <c r="LD161" s="151"/>
      <c r="LE161" s="151"/>
    </row>
    <row r="162" spans="1:317" x14ac:dyDescent="0.2">
      <c r="A162" s="179" t="s">
        <v>849</v>
      </c>
      <c r="B162" s="180" t="s">
        <v>1061</v>
      </c>
      <c r="C162" s="181"/>
      <c r="D162" s="182">
        <v>0</v>
      </c>
      <c r="E162" s="182">
        <v>0</v>
      </c>
      <c r="F162" s="183" t="s">
        <v>1313</v>
      </c>
      <c r="G162" s="183">
        <v>0</v>
      </c>
      <c r="H162" s="183">
        <v>0</v>
      </c>
      <c r="I162" s="183">
        <v>0</v>
      </c>
      <c r="J162" s="183">
        <v>0</v>
      </c>
      <c r="K162" s="183" t="s">
        <v>1368</v>
      </c>
      <c r="L162" s="183">
        <v>0</v>
      </c>
      <c r="M162" s="183">
        <v>0</v>
      </c>
      <c r="N162" s="183" t="s">
        <v>881</v>
      </c>
      <c r="O162" s="183">
        <v>0</v>
      </c>
      <c r="P162" s="183">
        <v>0</v>
      </c>
      <c r="Q162" s="183"/>
      <c r="R162" s="183"/>
      <c r="S162" s="183"/>
      <c r="T162" s="183"/>
      <c r="U162" s="183"/>
      <c r="V162" s="183">
        <v>0</v>
      </c>
      <c r="W162" s="183">
        <v>0</v>
      </c>
      <c r="X162" s="183">
        <v>0</v>
      </c>
      <c r="Y162" s="184">
        <v>0</v>
      </c>
      <c r="Z162" s="184">
        <v>0</v>
      </c>
      <c r="AA162" s="184">
        <v>0</v>
      </c>
      <c r="AB162" s="185" t="s">
        <v>615</v>
      </c>
      <c r="AC162" s="185" t="s">
        <v>615</v>
      </c>
      <c r="AD162" s="186" t="s">
        <v>881</v>
      </c>
      <c r="AE162" s="186" t="s">
        <v>858</v>
      </c>
      <c r="AF162" s="187">
        <v>7</v>
      </c>
      <c r="AG162" s="187">
        <v>3</v>
      </c>
      <c r="AH162" s="187">
        <v>4</v>
      </c>
      <c r="AI162" s="188">
        <v>1</v>
      </c>
      <c r="AJ162" s="188" t="s">
        <v>615</v>
      </c>
      <c r="AK162" s="187" t="s">
        <v>1738</v>
      </c>
      <c r="AL162" s="87" t="s">
        <v>615</v>
      </c>
      <c r="AM162" s="189"/>
      <c r="AN162" s="187" t="s">
        <v>615</v>
      </c>
      <c r="AO162" s="13" t="s">
        <v>615</v>
      </c>
      <c r="AP162" s="187">
        <v>0</v>
      </c>
      <c r="AQ162" s="187">
        <v>0</v>
      </c>
      <c r="AR162" s="190">
        <v>0</v>
      </c>
      <c r="AS162" s="190">
        <v>0</v>
      </c>
      <c r="AT162" s="190">
        <v>0</v>
      </c>
      <c r="AU162" s="187">
        <v>0</v>
      </c>
      <c r="AV162" s="187">
        <v>0</v>
      </c>
      <c r="AW162" s="191"/>
      <c r="AX162" s="192"/>
      <c r="AY162" s="193">
        <v>42666</v>
      </c>
      <c r="AZ162" s="193"/>
      <c r="BA162" s="193"/>
      <c r="BB162" s="194"/>
      <c r="BC162" s="194"/>
      <c r="BD162" s="195"/>
      <c r="BE162" s="195" t="s">
        <v>532</v>
      </c>
      <c r="BF162" s="195"/>
      <c r="BG162" s="195"/>
      <c r="BH162" s="196" t="s">
        <v>547</v>
      </c>
      <c r="BI162" s="197">
        <v>1</v>
      </c>
      <c r="BJ162" s="198"/>
      <c r="BK162" s="199">
        <v>0</v>
      </c>
      <c r="BL162" s="13">
        <v>0</v>
      </c>
      <c r="BM162" s="13">
        <v>0</v>
      </c>
      <c r="BN162" s="13" t="s">
        <v>616</v>
      </c>
      <c r="BO162" s="13" t="s">
        <v>616</v>
      </c>
      <c r="BP162" s="200">
        <v>0</v>
      </c>
      <c r="BQ162" s="201"/>
      <c r="BR162" s="202"/>
      <c r="BS162" s="187">
        <v>1000000000</v>
      </c>
      <c r="BT162" s="203">
        <v>0</v>
      </c>
      <c r="BU162" s="204">
        <v>0</v>
      </c>
      <c r="BV162" s="203">
        <v>0</v>
      </c>
      <c r="BW162" s="205">
        <v>0</v>
      </c>
      <c r="BX162" s="205">
        <v>0</v>
      </c>
      <c r="BY162" s="205">
        <v>0</v>
      </c>
      <c r="BZ162" s="203">
        <v>0</v>
      </c>
      <c r="CA162" s="203">
        <v>0</v>
      </c>
      <c r="CB162" s="203">
        <v>0</v>
      </c>
      <c r="CC162" s="204">
        <v>0</v>
      </c>
      <c r="CD162" s="203">
        <v>0</v>
      </c>
      <c r="CE162" s="203">
        <v>0</v>
      </c>
      <c r="CF162" s="13">
        <v>0</v>
      </c>
      <c r="CG162" s="206">
        <v>0</v>
      </c>
      <c r="CH162" s="207">
        <v>0</v>
      </c>
      <c r="CI162" s="201"/>
      <c r="CJ162" s="208"/>
      <c r="CK162" s="209" t="s">
        <v>615</v>
      </c>
      <c r="CL162" s="210" t="s">
        <v>615</v>
      </c>
      <c r="CM162" s="207">
        <v>0</v>
      </c>
      <c r="CN162" s="207">
        <v>0</v>
      </c>
      <c r="CO162" s="204">
        <v>0</v>
      </c>
      <c r="CP162" s="204">
        <v>0</v>
      </c>
      <c r="CQ162" s="211"/>
      <c r="CR162" s="204">
        <v>1</v>
      </c>
      <c r="CS162" s="212">
        <v>42558</v>
      </c>
      <c r="CT162" s="212">
        <v>42780</v>
      </c>
      <c r="CU162" s="213">
        <v>42780</v>
      </c>
      <c r="CV162" s="214">
        <v>42829</v>
      </c>
      <c r="CW162" s="214" t="s">
        <v>615</v>
      </c>
      <c r="CX162" s="214" t="s">
        <v>615</v>
      </c>
      <c r="CY162" s="204">
        <v>1</v>
      </c>
      <c r="CZ162" s="204">
        <v>0.97959183673469385</v>
      </c>
      <c r="DA162" s="203">
        <v>0</v>
      </c>
      <c r="DB162" s="204">
        <v>0.97959183673469385</v>
      </c>
      <c r="DC162" s="204">
        <v>0</v>
      </c>
      <c r="DD162" s="204">
        <v>0</v>
      </c>
      <c r="DE162" s="204">
        <v>0</v>
      </c>
      <c r="DF162" s="215">
        <v>0</v>
      </c>
      <c r="DG162" s="13" t="s">
        <v>615</v>
      </c>
      <c r="DH162" s="86">
        <v>160</v>
      </c>
      <c r="DI162" s="86"/>
      <c r="DJ162" s="86">
        <v>89</v>
      </c>
      <c r="DK162" s="86" t="s">
        <v>1571</v>
      </c>
      <c r="DL162" s="86" t="e">
        <v>#N/A</v>
      </c>
      <c r="DM162" s="86" t="e">
        <v>#N/A</v>
      </c>
      <c r="DN162" s="86" t="e">
        <v>#N/A</v>
      </c>
      <c r="DO162" s="86">
        <v>91</v>
      </c>
      <c r="DP162" s="86">
        <v>5</v>
      </c>
      <c r="DQ162" s="86">
        <v>49</v>
      </c>
      <c r="DR162" s="152">
        <v>0</v>
      </c>
      <c r="DS162" s="152">
        <v>0</v>
      </c>
      <c r="DT162" s="152">
        <v>0</v>
      </c>
      <c r="DU162" s="152">
        <v>0</v>
      </c>
      <c r="DV162" s="152">
        <v>0</v>
      </c>
      <c r="DW162" s="152">
        <v>0</v>
      </c>
      <c r="DX162" s="152">
        <v>0</v>
      </c>
      <c r="DY162" s="152">
        <v>0</v>
      </c>
      <c r="DZ162" s="152">
        <v>0</v>
      </c>
      <c r="EA162" s="152">
        <v>0</v>
      </c>
      <c r="EB162" s="152">
        <v>0</v>
      </c>
      <c r="EC162" s="152">
        <v>0</v>
      </c>
      <c r="ED162" s="152">
        <v>0</v>
      </c>
      <c r="EE162" s="152">
        <v>0</v>
      </c>
      <c r="EF162" s="152">
        <v>0</v>
      </c>
      <c r="EG162" s="152">
        <v>0</v>
      </c>
      <c r="EH162" s="152">
        <v>0</v>
      </c>
      <c r="EI162" s="152">
        <v>0</v>
      </c>
      <c r="EJ162" s="152">
        <v>0</v>
      </c>
      <c r="EK162" s="152">
        <v>0</v>
      </c>
      <c r="EL162" s="152">
        <v>0</v>
      </c>
      <c r="EM162" s="152">
        <v>0</v>
      </c>
      <c r="EN162" s="152">
        <v>0</v>
      </c>
      <c r="EO162" s="152">
        <v>0</v>
      </c>
      <c r="EP162" s="152">
        <v>0</v>
      </c>
      <c r="EQ162" s="152">
        <v>0</v>
      </c>
      <c r="ER162" s="152">
        <v>0</v>
      </c>
      <c r="ES162" s="152">
        <v>0</v>
      </c>
      <c r="ET162" s="152">
        <v>0</v>
      </c>
      <c r="EU162" s="152">
        <v>0</v>
      </c>
      <c r="EV162" s="152">
        <v>0</v>
      </c>
      <c r="EW162" s="152">
        <v>0</v>
      </c>
      <c r="EX162" s="152">
        <v>0</v>
      </c>
      <c r="EY162" s="152">
        <v>0</v>
      </c>
      <c r="EZ162" s="152">
        <v>0</v>
      </c>
      <c r="FA162" s="152">
        <v>0</v>
      </c>
      <c r="FB162" s="152">
        <v>0</v>
      </c>
      <c r="FC162" s="152">
        <v>0</v>
      </c>
      <c r="FD162" s="152">
        <v>0</v>
      </c>
      <c r="FE162" s="152">
        <v>0</v>
      </c>
      <c r="FF162" s="152">
        <v>0</v>
      </c>
      <c r="FG162" s="152">
        <v>0</v>
      </c>
      <c r="FH162" s="152">
        <v>0</v>
      </c>
      <c r="FI162" s="152">
        <v>0</v>
      </c>
      <c r="FJ162" s="152">
        <v>0</v>
      </c>
      <c r="FK162" s="152">
        <v>0</v>
      </c>
      <c r="FL162" s="152">
        <v>0</v>
      </c>
      <c r="FM162" s="152">
        <v>0</v>
      </c>
      <c r="FN162" s="152">
        <v>0</v>
      </c>
      <c r="FO162" s="152">
        <v>0</v>
      </c>
      <c r="FP162" s="152">
        <v>0</v>
      </c>
      <c r="FQ162" s="152">
        <v>0</v>
      </c>
      <c r="FR162" s="152">
        <v>0</v>
      </c>
      <c r="FS162" s="152">
        <v>0</v>
      </c>
      <c r="FT162" s="152">
        <v>0</v>
      </c>
      <c r="FU162" s="152">
        <v>0</v>
      </c>
      <c r="FV162" s="152">
        <v>0</v>
      </c>
      <c r="FW162" s="152">
        <v>0</v>
      </c>
      <c r="FX162" s="152">
        <v>0</v>
      </c>
      <c r="FY162" s="152">
        <v>0</v>
      </c>
      <c r="FZ162" s="152">
        <v>0</v>
      </c>
      <c r="GA162" s="152">
        <v>0</v>
      </c>
      <c r="GB162" s="152">
        <v>0</v>
      </c>
      <c r="GC162" s="152">
        <v>0</v>
      </c>
      <c r="GD162" s="152">
        <v>0</v>
      </c>
      <c r="GE162" s="152">
        <v>0</v>
      </c>
      <c r="GF162" s="152">
        <v>0</v>
      </c>
      <c r="GG162" s="152">
        <v>0</v>
      </c>
      <c r="GH162" s="152">
        <v>0</v>
      </c>
      <c r="GI162" s="152">
        <v>0</v>
      </c>
      <c r="GJ162" s="152">
        <v>0</v>
      </c>
      <c r="GK162" s="152">
        <v>0</v>
      </c>
      <c r="GL162" s="152">
        <v>0</v>
      </c>
      <c r="GM162" s="152">
        <v>0</v>
      </c>
      <c r="GN162" s="152">
        <v>0</v>
      </c>
      <c r="GO162" s="152">
        <v>0</v>
      </c>
      <c r="GP162" s="152">
        <v>0</v>
      </c>
      <c r="GQ162" s="152">
        <v>0</v>
      </c>
      <c r="GR162" s="152">
        <v>0</v>
      </c>
      <c r="GS162" s="152">
        <v>0</v>
      </c>
      <c r="GT162" s="152">
        <v>0</v>
      </c>
      <c r="GU162" s="152">
        <v>0</v>
      </c>
      <c r="GV162" s="152">
        <v>0</v>
      </c>
      <c r="GW162" s="152">
        <v>0</v>
      </c>
      <c r="GX162" s="152">
        <v>0</v>
      </c>
      <c r="GY162" s="152">
        <v>0</v>
      </c>
      <c r="GZ162" s="152">
        <v>0</v>
      </c>
      <c r="HA162" s="152">
        <v>0</v>
      </c>
      <c r="HB162" s="152">
        <v>0</v>
      </c>
      <c r="HC162" s="152">
        <v>0</v>
      </c>
      <c r="HD162" s="152">
        <v>0</v>
      </c>
      <c r="HE162" s="152">
        <v>0</v>
      </c>
      <c r="HF162" s="152">
        <v>0</v>
      </c>
      <c r="HG162" s="152">
        <v>0</v>
      </c>
      <c r="HH162" s="152">
        <v>0</v>
      </c>
      <c r="HI162" s="152">
        <v>0</v>
      </c>
      <c r="HJ162" s="152">
        <v>0</v>
      </c>
      <c r="HK162" s="152">
        <v>0</v>
      </c>
      <c r="HL162" s="152">
        <v>0</v>
      </c>
      <c r="HM162" s="152">
        <v>0</v>
      </c>
      <c r="HN162" s="152">
        <v>0</v>
      </c>
      <c r="HO162" s="152">
        <v>0</v>
      </c>
      <c r="HP162" s="152">
        <v>0</v>
      </c>
      <c r="HQ162" s="152">
        <v>0</v>
      </c>
      <c r="HR162" s="152">
        <v>0</v>
      </c>
      <c r="HS162" s="152">
        <v>0</v>
      </c>
      <c r="HT162" s="152">
        <v>0</v>
      </c>
      <c r="HU162" s="216"/>
      <c r="HV162" s="152">
        <v>0</v>
      </c>
      <c r="HW162" s="216"/>
      <c r="HX162" s="216"/>
      <c r="HY162" s="216"/>
      <c r="HZ162" s="216"/>
      <c r="IA162" s="216"/>
      <c r="IB162" s="216"/>
      <c r="IC162" s="216"/>
      <c r="ID162" s="216"/>
      <c r="IE162" s="216"/>
      <c r="IF162" s="216"/>
      <c r="IG162" s="216"/>
      <c r="IH162" s="216"/>
      <c r="II162" s="216"/>
      <c r="IJ162" s="216"/>
      <c r="IK162" s="216"/>
      <c r="IL162" s="216"/>
      <c r="IM162" s="216"/>
      <c r="IN162" s="216"/>
      <c r="IO162" s="216"/>
      <c r="IP162" s="216"/>
      <c r="IQ162" s="216"/>
      <c r="IR162" s="216"/>
      <c r="IS162" s="216"/>
      <c r="IT162" s="216"/>
      <c r="IU162" s="216"/>
      <c r="IV162" s="216"/>
      <c r="IW162" s="216"/>
      <c r="IX162" s="216"/>
      <c r="IY162" s="216"/>
      <c r="IZ162" s="216"/>
      <c r="JA162" s="216"/>
      <c r="JB162" s="216"/>
      <c r="JC162" s="216"/>
      <c r="JD162" s="216"/>
      <c r="JE162" s="216"/>
      <c r="JF162" s="216"/>
      <c r="JG162" s="216"/>
      <c r="JH162" s="216"/>
      <c r="JI162" s="216"/>
      <c r="JJ162" s="216"/>
      <c r="JK162" s="216"/>
      <c r="JL162" s="216"/>
      <c r="JM162" s="216"/>
      <c r="JN162" s="216"/>
      <c r="JO162" s="216"/>
      <c r="JP162" s="216"/>
      <c r="JQ162" s="216"/>
      <c r="JR162" s="216"/>
      <c r="JS162" s="216"/>
      <c r="JT162" s="216"/>
      <c r="JU162" s="216"/>
      <c r="JV162" s="216"/>
      <c r="JW162" s="216"/>
      <c r="JX162" s="216"/>
      <c r="JY162" s="216"/>
      <c r="JZ162" s="216"/>
      <c r="KA162" s="216"/>
      <c r="KB162" s="216"/>
      <c r="KC162" s="216"/>
      <c r="KD162" s="216"/>
      <c r="KE162" s="216"/>
      <c r="KF162" s="216"/>
      <c r="KG162" s="216"/>
      <c r="KH162" s="216"/>
      <c r="KI162" s="216"/>
      <c r="KJ162" s="216"/>
      <c r="KK162" s="216"/>
      <c r="KL162" s="216"/>
      <c r="KM162" s="216"/>
      <c r="KN162" s="216"/>
      <c r="KO162" s="216"/>
      <c r="KP162" s="216"/>
      <c r="KQ162" s="216"/>
      <c r="KR162" s="216"/>
      <c r="KS162" s="216"/>
      <c r="KT162" s="216"/>
      <c r="KU162" s="216"/>
      <c r="KV162" s="216"/>
      <c r="KW162" s="216"/>
      <c r="KX162" s="216"/>
      <c r="KY162" s="216"/>
      <c r="KZ162" s="216"/>
      <c r="LA162" s="216"/>
      <c r="LB162" s="216"/>
      <c r="LC162" s="216"/>
      <c r="LD162" s="216"/>
      <c r="LE162" s="216"/>
    </row>
    <row r="163" spans="1:317" x14ac:dyDescent="0.2">
      <c r="A163" s="179" t="s">
        <v>849</v>
      </c>
      <c r="B163" s="180" t="s">
        <v>1062</v>
      </c>
      <c r="C163" s="181"/>
      <c r="D163" s="182">
        <v>0</v>
      </c>
      <c r="E163" s="182">
        <v>0</v>
      </c>
      <c r="F163" s="183" t="s">
        <v>1314</v>
      </c>
      <c r="G163" s="183">
        <v>0</v>
      </c>
      <c r="H163" s="183">
        <v>0</v>
      </c>
      <c r="I163" s="183">
        <v>0</v>
      </c>
      <c r="J163" s="183">
        <v>0</v>
      </c>
      <c r="K163" s="183" t="s">
        <v>1368</v>
      </c>
      <c r="L163" s="183">
        <v>0</v>
      </c>
      <c r="M163" s="183">
        <v>0</v>
      </c>
      <c r="N163" s="183" t="s">
        <v>881</v>
      </c>
      <c r="O163" s="183">
        <v>0</v>
      </c>
      <c r="P163" s="183">
        <v>0</v>
      </c>
      <c r="Q163" s="183"/>
      <c r="R163" s="183"/>
      <c r="S163" s="183"/>
      <c r="T163" s="183"/>
      <c r="U163" s="183"/>
      <c r="V163" s="183">
        <v>0</v>
      </c>
      <c r="W163" s="183">
        <v>0</v>
      </c>
      <c r="X163" s="183">
        <v>0</v>
      </c>
      <c r="Y163" s="184">
        <v>0</v>
      </c>
      <c r="Z163" s="184">
        <v>0</v>
      </c>
      <c r="AA163" s="184">
        <v>0</v>
      </c>
      <c r="AB163" s="185" t="s">
        <v>615</v>
      </c>
      <c r="AC163" s="185" t="s">
        <v>615</v>
      </c>
      <c r="AD163" s="186" t="s">
        <v>881</v>
      </c>
      <c r="AE163" s="186" t="s">
        <v>858</v>
      </c>
      <c r="AF163" s="187">
        <v>7</v>
      </c>
      <c r="AG163" s="187">
        <v>3</v>
      </c>
      <c r="AH163" s="187">
        <v>4</v>
      </c>
      <c r="AI163" s="188">
        <v>1</v>
      </c>
      <c r="AJ163" s="188" t="s">
        <v>615</v>
      </c>
      <c r="AK163" s="187" t="s">
        <v>1738</v>
      </c>
      <c r="AL163" s="87" t="s">
        <v>615</v>
      </c>
      <c r="AM163" s="189"/>
      <c r="AN163" s="187" t="s">
        <v>615</v>
      </c>
      <c r="AO163" s="13" t="s">
        <v>615</v>
      </c>
      <c r="AP163" s="187">
        <v>0</v>
      </c>
      <c r="AQ163" s="187">
        <v>0</v>
      </c>
      <c r="AR163" s="190">
        <v>0</v>
      </c>
      <c r="AS163" s="190">
        <v>0</v>
      </c>
      <c r="AT163" s="190">
        <v>0</v>
      </c>
      <c r="AU163" s="187">
        <v>0</v>
      </c>
      <c r="AV163" s="187">
        <v>0</v>
      </c>
      <c r="AW163" s="191"/>
      <c r="AX163" s="192"/>
      <c r="AY163" s="193">
        <v>42666</v>
      </c>
      <c r="AZ163" s="193"/>
      <c r="BA163" s="193"/>
      <c r="BB163" s="194"/>
      <c r="BC163" s="194"/>
      <c r="BD163" s="195"/>
      <c r="BE163" s="195" t="s">
        <v>532</v>
      </c>
      <c r="BF163" s="195"/>
      <c r="BG163" s="195">
        <v>48</v>
      </c>
      <c r="BH163" s="196" t="s">
        <v>547</v>
      </c>
      <c r="BI163" s="197">
        <v>1</v>
      </c>
      <c r="BJ163" s="198"/>
      <c r="BK163" s="199">
        <v>0</v>
      </c>
      <c r="BL163" s="13">
        <v>0</v>
      </c>
      <c r="BM163" s="13">
        <v>0</v>
      </c>
      <c r="BN163" s="13" t="s">
        <v>616</v>
      </c>
      <c r="BO163" s="13" t="s">
        <v>616</v>
      </c>
      <c r="BP163" s="200">
        <v>0</v>
      </c>
      <c r="BQ163" s="201"/>
      <c r="BR163" s="202"/>
      <c r="BS163" s="187">
        <v>1000000000</v>
      </c>
      <c r="BT163" s="203">
        <v>0</v>
      </c>
      <c r="BU163" s="204">
        <v>0</v>
      </c>
      <c r="BV163" s="203">
        <v>0</v>
      </c>
      <c r="BW163" s="205">
        <v>0</v>
      </c>
      <c r="BX163" s="205">
        <v>0</v>
      </c>
      <c r="BY163" s="205">
        <v>0</v>
      </c>
      <c r="BZ163" s="203">
        <v>0</v>
      </c>
      <c r="CA163" s="203">
        <v>0</v>
      </c>
      <c r="CB163" s="203">
        <v>0</v>
      </c>
      <c r="CC163" s="204">
        <v>0</v>
      </c>
      <c r="CD163" s="203">
        <v>0</v>
      </c>
      <c r="CE163" s="203">
        <v>0</v>
      </c>
      <c r="CF163" s="13">
        <v>0</v>
      </c>
      <c r="CG163" s="206">
        <v>0</v>
      </c>
      <c r="CH163" s="207">
        <v>0</v>
      </c>
      <c r="CI163" s="201"/>
      <c r="CJ163" s="208"/>
      <c r="CK163" s="209" t="s">
        <v>615</v>
      </c>
      <c r="CL163" s="210" t="s">
        <v>615</v>
      </c>
      <c r="CM163" s="207">
        <v>0</v>
      </c>
      <c r="CN163" s="207">
        <v>0</v>
      </c>
      <c r="CO163" s="204">
        <v>0</v>
      </c>
      <c r="CP163" s="204">
        <v>0</v>
      </c>
      <c r="CQ163" s="211"/>
      <c r="CR163" s="204">
        <v>1</v>
      </c>
      <c r="CS163" s="212">
        <v>42558</v>
      </c>
      <c r="CT163" s="212">
        <v>42780</v>
      </c>
      <c r="CU163" s="213">
        <v>42780</v>
      </c>
      <c r="CV163" s="214">
        <v>42829</v>
      </c>
      <c r="CW163" s="214" t="s">
        <v>615</v>
      </c>
      <c r="CX163" s="214" t="s">
        <v>615</v>
      </c>
      <c r="CY163" s="204">
        <v>1</v>
      </c>
      <c r="CZ163" s="204">
        <v>0.97959183673469385</v>
      </c>
      <c r="DA163" s="203">
        <v>0</v>
      </c>
      <c r="DB163" s="204">
        <v>0.97959183673469385</v>
      </c>
      <c r="DC163" s="204">
        <v>0</v>
      </c>
      <c r="DD163" s="204">
        <v>0</v>
      </c>
      <c r="DE163" s="204">
        <v>0</v>
      </c>
      <c r="DF163" s="215">
        <v>0</v>
      </c>
      <c r="DG163" s="13" t="s">
        <v>615</v>
      </c>
      <c r="DH163" s="86">
        <v>161</v>
      </c>
      <c r="DI163" s="86"/>
      <c r="DJ163" s="86">
        <v>157</v>
      </c>
      <c r="DK163" s="86" t="s">
        <v>1616</v>
      </c>
      <c r="DL163" s="86" t="e">
        <v>#N/A</v>
      </c>
      <c r="DM163" s="86" t="e">
        <v>#N/A</v>
      </c>
      <c r="DN163" s="86" t="e">
        <v>#N/A</v>
      </c>
      <c r="DO163" s="86">
        <v>319</v>
      </c>
      <c r="DP163" s="86">
        <v>5</v>
      </c>
      <c r="DQ163" s="86">
        <v>49</v>
      </c>
      <c r="DR163" s="146">
        <v>0</v>
      </c>
      <c r="DS163" s="146">
        <v>0</v>
      </c>
      <c r="DT163" s="146">
        <v>0</v>
      </c>
      <c r="DU163" s="146">
        <v>0</v>
      </c>
      <c r="DV163" s="146">
        <v>0</v>
      </c>
      <c r="DW163" s="146">
        <v>0</v>
      </c>
      <c r="DX163" s="146">
        <v>0</v>
      </c>
      <c r="DY163" s="146">
        <v>0</v>
      </c>
      <c r="DZ163" s="146">
        <v>0</v>
      </c>
      <c r="EA163" s="146">
        <v>0</v>
      </c>
      <c r="EB163" s="146">
        <v>0</v>
      </c>
      <c r="EC163" s="146">
        <v>0</v>
      </c>
      <c r="ED163" s="146">
        <v>0</v>
      </c>
      <c r="EE163" s="146">
        <v>0</v>
      </c>
      <c r="EF163" s="146">
        <v>0</v>
      </c>
      <c r="EG163" s="146">
        <v>0</v>
      </c>
      <c r="EH163" s="146">
        <v>0</v>
      </c>
      <c r="EI163" s="146">
        <v>0</v>
      </c>
      <c r="EJ163" s="146">
        <v>0</v>
      </c>
      <c r="EK163" s="146">
        <v>0</v>
      </c>
      <c r="EL163" s="146">
        <v>0</v>
      </c>
      <c r="EM163" s="146">
        <v>0</v>
      </c>
      <c r="EN163" s="146">
        <v>0</v>
      </c>
      <c r="EO163" s="146">
        <v>0</v>
      </c>
      <c r="EP163" s="146">
        <v>0</v>
      </c>
      <c r="EQ163" s="146">
        <v>0</v>
      </c>
      <c r="ER163" s="146">
        <v>0</v>
      </c>
      <c r="ES163" s="146">
        <v>0</v>
      </c>
      <c r="ET163" s="146">
        <v>0</v>
      </c>
      <c r="EU163" s="146">
        <v>0</v>
      </c>
      <c r="EV163" s="146">
        <v>0</v>
      </c>
      <c r="EW163" s="146">
        <v>0</v>
      </c>
      <c r="EX163" s="146">
        <v>0</v>
      </c>
      <c r="EY163" s="146">
        <v>0</v>
      </c>
      <c r="EZ163" s="146">
        <v>0</v>
      </c>
      <c r="FA163" s="146">
        <v>0</v>
      </c>
      <c r="FB163" s="146">
        <v>0</v>
      </c>
      <c r="FC163" s="146">
        <v>0</v>
      </c>
      <c r="FD163" s="146">
        <v>0</v>
      </c>
      <c r="FE163" s="146">
        <v>0</v>
      </c>
      <c r="FF163" s="146">
        <v>0</v>
      </c>
      <c r="FG163" s="146">
        <v>0</v>
      </c>
      <c r="FH163" s="146">
        <v>0</v>
      </c>
      <c r="FI163" s="146">
        <v>0</v>
      </c>
      <c r="FJ163" s="146">
        <v>0</v>
      </c>
      <c r="FK163" s="146">
        <v>0</v>
      </c>
      <c r="FL163" s="146">
        <v>0</v>
      </c>
      <c r="FM163" s="146">
        <v>0</v>
      </c>
      <c r="FN163" s="146">
        <v>0</v>
      </c>
      <c r="FO163" s="146">
        <v>0</v>
      </c>
      <c r="FP163" s="146">
        <v>0</v>
      </c>
      <c r="FQ163" s="146">
        <v>0</v>
      </c>
      <c r="FR163" s="146">
        <v>0</v>
      </c>
      <c r="FS163" s="146">
        <v>0</v>
      </c>
      <c r="FT163" s="146">
        <v>0</v>
      </c>
      <c r="FU163" s="146">
        <v>0</v>
      </c>
      <c r="FV163" s="146">
        <v>0</v>
      </c>
      <c r="FW163" s="146">
        <v>0</v>
      </c>
      <c r="FX163" s="146">
        <v>0</v>
      </c>
      <c r="FY163" s="146">
        <v>0</v>
      </c>
      <c r="FZ163" s="146">
        <v>0</v>
      </c>
      <c r="GA163" s="146">
        <v>0</v>
      </c>
      <c r="GB163" s="146">
        <v>0</v>
      </c>
      <c r="GC163" s="146">
        <v>0</v>
      </c>
      <c r="GD163" s="146">
        <v>0</v>
      </c>
      <c r="GE163" s="146">
        <v>0</v>
      </c>
      <c r="GF163" s="146">
        <v>0</v>
      </c>
      <c r="GG163" s="146">
        <v>0</v>
      </c>
      <c r="GH163" s="146">
        <v>0</v>
      </c>
      <c r="GI163" s="146">
        <v>0</v>
      </c>
      <c r="GJ163" s="146">
        <v>0</v>
      </c>
      <c r="GK163" s="146">
        <v>0</v>
      </c>
      <c r="GL163" s="146">
        <v>0</v>
      </c>
      <c r="GM163" s="146">
        <v>0</v>
      </c>
      <c r="GN163" s="146">
        <v>0</v>
      </c>
      <c r="GO163" s="146">
        <v>0</v>
      </c>
      <c r="GP163" s="146">
        <v>0</v>
      </c>
      <c r="GQ163" s="146">
        <v>0</v>
      </c>
      <c r="GR163" s="146">
        <v>0</v>
      </c>
      <c r="GS163" s="146">
        <v>0</v>
      </c>
      <c r="GT163" s="146">
        <v>0</v>
      </c>
      <c r="GU163" s="146">
        <v>0</v>
      </c>
      <c r="GV163" s="146">
        <v>0</v>
      </c>
      <c r="GW163" s="146">
        <v>0</v>
      </c>
      <c r="GX163" s="146">
        <v>0</v>
      </c>
      <c r="GY163" s="146">
        <v>0</v>
      </c>
      <c r="GZ163" s="146">
        <v>0</v>
      </c>
      <c r="HA163" s="146">
        <v>0</v>
      </c>
      <c r="HB163" s="146">
        <v>0</v>
      </c>
      <c r="HC163" s="146">
        <v>0</v>
      </c>
      <c r="HD163" s="146">
        <v>0</v>
      </c>
      <c r="HE163" s="146">
        <v>0</v>
      </c>
      <c r="HF163" s="146">
        <v>0</v>
      </c>
      <c r="HG163" s="146">
        <v>0</v>
      </c>
      <c r="HH163" s="146">
        <v>0</v>
      </c>
      <c r="HI163" s="146">
        <v>0</v>
      </c>
      <c r="HJ163" s="146">
        <v>0</v>
      </c>
      <c r="HK163" s="146">
        <v>0</v>
      </c>
      <c r="HL163" s="146">
        <v>0</v>
      </c>
      <c r="HM163" s="146">
        <v>0</v>
      </c>
      <c r="HN163" s="146">
        <v>0</v>
      </c>
      <c r="HO163" s="146">
        <v>0</v>
      </c>
      <c r="HP163" s="146">
        <v>0</v>
      </c>
      <c r="HQ163" s="146">
        <v>0</v>
      </c>
      <c r="HR163" s="146">
        <v>0</v>
      </c>
      <c r="HS163" s="146">
        <v>0</v>
      </c>
      <c r="HT163" s="146">
        <v>0</v>
      </c>
      <c r="HU163" s="151"/>
      <c r="HV163" s="146">
        <v>0</v>
      </c>
      <c r="HW163" s="151"/>
      <c r="HX163" s="151"/>
      <c r="HY163" s="151"/>
      <c r="HZ163" s="151"/>
      <c r="IA163" s="151"/>
      <c r="IB163" s="151"/>
      <c r="IC163" s="151"/>
      <c r="ID163" s="151"/>
      <c r="IE163" s="151"/>
      <c r="IF163" s="151"/>
      <c r="IG163" s="151"/>
      <c r="IH163" s="151"/>
      <c r="II163" s="151"/>
      <c r="IJ163" s="151"/>
      <c r="IK163" s="151"/>
      <c r="IL163" s="151"/>
      <c r="IM163" s="151"/>
      <c r="IN163" s="151"/>
      <c r="IO163" s="151"/>
      <c r="IP163" s="151"/>
      <c r="IQ163" s="151"/>
      <c r="IR163" s="151"/>
      <c r="IS163" s="151"/>
      <c r="IT163" s="151"/>
      <c r="IU163" s="151"/>
      <c r="IV163" s="151"/>
      <c r="IW163" s="151"/>
      <c r="IX163" s="151"/>
      <c r="IY163" s="151"/>
      <c r="IZ163" s="151"/>
      <c r="JA163" s="151"/>
      <c r="JB163" s="151"/>
      <c r="JC163" s="151"/>
      <c r="JD163" s="151"/>
      <c r="JE163" s="151"/>
      <c r="JF163" s="151"/>
      <c r="JG163" s="151"/>
      <c r="JH163" s="151"/>
      <c r="JI163" s="151"/>
      <c r="JJ163" s="151"/>
      <c r="JK163" s="151"/>
      <c r="JL163" s="151"/>
      <c r="JM163" s="151"/>
      <c r="JN163" s="151"/>
      <c r="JO163" s="151"/>
      <c r="JP163" s="151"/>
      <c r="JQ163" s="151"/>
      <c r="JR163" s="151"/>
      <c r="JS163" s="151"/>
      <c r="JT163" s="151"/>
      <c r="JU163" s="151"/>
      <c r="JV163" s="151"/>
      <c r="JW163" s="151"/>
      <c r="JX163" s="151"/>
      <c r="JY163" s="151"/>
      <c r="JZ163" s="151"/>
      <c r="KA163" s="151"/>
      <c r="KB163" s="151"/>
      <c r="KC163" s="151"/>
      <c r="KD163" s="151"/>
      <c r="KE163" s="151"/>
      <c r="KF163" s="151"/>
      <c r="KG163" s="151"/>
      <c r="KH163" s="151"/>
      <c r="KI163" s="151"/>
      <c r="KJ163" s="151"/>
      <c r="KK163" s="151"/>
      <c r="KL163" s="151"/>
      <c r="KM163" s="151"/>
      <c r="KN163" s="151"/>
      <c r="KO163" s="151"/>
      <c r="KP163" s="151"/>
      <c r="KQ163" s="151"/>
      <c r="KR163" s="151"/>
      <c r="KS163" s="151"/>
      <c r="KT163" s="151"/>
      <c r="KU163" s="151"/>
      <c r="KV163" s="151"/>
      <c r="KW163" s="151"/>
      <c r="KX163" s="151"/>
      <c r="KY163" s="151"/>
      <c r="KZ163" s="151"/>
      <c r="LA163" s="151"/>
      <c r="LB163" s="151"/>
      <c r="LC163" s="151"/>
      <c r="LD163" s="151"/>
      <c r="LE163" s="151"/>
    </row>
    <row r="164" spans="1:317" x14ac:dyDescent="0.2">
      <c r="A164" s="179" t="s">
        <v>849</v>
      </c>
      <c r="B164" s="180" t="s">
        <v>1063</v>
      </c>
      <c r="C164" s="181"/>
      <c r="D164" s="182">
        <v>0</v>
      </c>
      <c r="E164" s="182">
        <v>0</v>
      </c>
      <c r="F164" s="183" t="s">
        <v>1314</v>
      </c>
      <c r="G164" s="183">
        <v>0</v>
      </c>
      <c r="H164" s="183">
        <v>0</v>
      </c>
      <c r="I164" s="183">
        <v>0</v>
      </c>
      <c r="J164" s="183">
        <v>0</v>
      </c>
      <c r="K164" s="183" t="s">
        <v>1368</v>
      </c>
      <c r="L164" s="183">
        <v>0</v>
      </c>
      <c r="M164" s="183">
        <v>0</v>
      </c>
      <c r="N164" s="183" t="s">
        <v>881</v>
      </c>
      <c r="O164" s="183">
        <v>0</v>
      </c>
      <c r="P164" s="183">
        <v>0</v>
      </c>
      <c r="Q164" s="183"/>
      <c r="R164" s="183"/>
      <c r="S164" s="183"/>
      <c r="T164" s="183"/>
      <c r="U164" s="183"/>
      <c r="V164" s="183">
        <v>0</v>
      </c>
      <c r="W164" s="183">
        <v>0</v>
      </c>
      <c r="X164" s="183">
        <v>0</v>
      </c>
      <c r="Y164" s="184">
        <v>0</v>
      </c>
      <c r="Z164" s="184">
        <v>0</v>
      </c>
      <c r="AA164" s="184">
        <v>0</v>
      </c>
      <c r="AB164" s="185" t="s">
        <v>615</v>
      </c>
      <c r="AC164" s="185" t="s">
        <v>615</v>
      </c>
      <c r="AD164" s="186" t="s">
        <v>881</v>
      </c>
      <c r="AE164" s="186" t="s">
        <v>858</v>
      </c>
      <c r="AF164" s="187">
        <v>7</v>
      </c>
      <c r="AG164" s="187">
        <v>3</v>
      </c>
      <c r="AH164" s="187">
        <v>4</v>
      </c>
      <c r="AI164" s="188">
        <v>1</v>
      </c>
      <c r="AJ164" s="188" t="s">
        <v>615</v>
      </c>
      <c r="AK164" s="187" t="s">
        <v>1738</v>
      </c>
      <c r="AL164" s="87" t="s">
        <v>615</v>
      </c>
      <c r="AM164" s="189"/>
      <c r="AN164" s="187" t="s">
        <v>615</v>
      </c>
      <c r="AO164" s="13" t="s">
        <v>615</v>
      </c>
      <c r="AP164" s="187">
        <v>0</v>
      </c>
      <c r="AQ164" s="187">
        <v>0</v>
      </c>
      <c r="AR164" s="190">
        <v>0</v>
      </c>
      <c r="AS164" s="190">
        <v>0</v>
      </c>
      <c r="AT164" s="190">
        <v>0</v>
      </c>
      <c r="AU164" s="187">
        <v>0</v>
      </c>
      <c r="AV164" s="187">
        <v>0</v>
      </c>
      <c r="AW164" s="191"/>
      <c r="AX164" s="192"/>
      <c r="AY164" s="193">
        <v>42666</v>
      </c>
      <c r="AZ164" s="193"/>
      <c r="BA164" s="193"/>
      <c r="BB164" s="194"/>
      <c r="BC164" s="194"/>
      <c r="BD164" s="195"/>
      <c r="BE164" s="195" t="s">
        <v>532</v>
      </c>
      <c r="BF164" s="195"/>
      <c r="BG164" s="195">
        <v>48</v>
      </c>
      <c r="BH164" s="196" t="s">
        <v>547</v>
      </c>
      <c r="BI164" s="197">
        <v>1</v>
      </c>
      <c r="BJ164" s="198"/>
      <c r="BK164" s="199">
        <v>0</v>
      </c>
      <c r="BL164" s="13">
        <v>0</v>
      </c>
      <c r="BM164" s="13">
        <v>0</v>
      </c>
      <c r="BN164" s="13" t="s">
        <v>616</v>
      </c>
      <c r="BO164" s="13" t="s">
        <v>616</v>
      </c>
      <c r="BP164" s="200">
        <v>0</v>
      </c>
      <c r="BQ164" s="201"/>
      <c r="BR164" s="202"/>
      <c r="BS164" s="187">
        <v>1000000000</v>
      </c>
      <c r="BT164" s="203">
        <v>0</v>
      </c>
      <c r="BU164" s="204">
        <v>0</v>
      </c>
      <c r="BV164" s="203">
        <v>0</v>
      </c>
      <c r="BW164" s="205">
        <v>0</v>
      </c>
      <c r="BX164" s="205">
        <v>0</v>
      </c>
      <c r="BY164" s="205">
        <v>0</v>
      </c>
      <c r="BZ164" s="203">
        <v>0</v>
      </c>
      <c r="CA164" s="203">
        <v>0</v>
      </c>
      <c r="CB164" s="203">
        <v>0</v>
      </c>
      <c r="CC164" s="204">
        <v>0</v>
      </c>
      <c r="CD164" s="203">
        <v>0</v>
      </c>
      <c r="CE164" s="203">
        <v>0</v>
      </c>
      <c r="CF164" s="13">
        <v>0</v>
      </c>
      <c r="CG164" s="206">
        <v>0</v>
      </c>
      <c r="CH164" s="207">
        <v>0</v>
      </c>
      <c r="CI164" s="201"/>
      <c r="CJ164" s="208"/>
      <c r="CK164" s="209" t="s">
        <v>615</v>
      </c>
      <c r="CL164" s="210" t="s">
        <v>615</v>
      </c>
      <c r="CM164" s="207">
        <v>0</v>
      </c>
      <c r="CN164" s="207">
        <v>0</v>
      </c>
      <c r="CO164" s="204">
        <v>0</v>
      </c>
      <c r="CP164" s="204">
        <v>0</v>
      </c>
      <c r="CQ164" s="211"/>
      <c r="CR164" s="204">
        <v>1</v>
      </c>
      <c r="CS164" s="212">
        <v>42558</v>
      </c>
      <c r="CT164" s="212">
        <v>42780</v>
      </c>
      <c r="CU164" s="213">
        <v>42780</v>
      </c>
      <c r="CV164" s="214">
        <v>42829</v>
      </c>
      <c r="CW164" s="214" t="s">
        <v>615</v>
      </c>
      <c r="CX164" s="214" t="s">
        <v>615</v>
      </c>
      <c r="CY164" s="204">
        <v>1</v>
      </c>
      <c r="CZ164" s="204">
        <v>0.97959183673469385</v>
      </c>
      <c r="DA164" s="203">
        <v>0</v>
      </c>
      <c r="DB164" s="204">
        <v>0.97959183673469385</v>
      </c>
      <c r="DC164" s="204">
        <v>0</v>
      </c>
      <c r="DD164" s="204">
        <v>0</v>
      </c>
      <c r="DE164" s="204">
        <v>0</v>
      </c>
      <c r="DF164" s="215">
        <v>0</v>
      </c>
      <c r="DG164" s="13" t="s">
        <v>615</v>
      </c>
      <c r="DH164" s="86">
        <v>162</v>
      </c>
      <c r="DI164" s="86"/>
      <c r="DJ164" s="86">
        <v>158</v>
      </c>
      <c r="DK164" s="86" t="s">
        <v>1617</v>
      </c>
      <c r="DL164" s="86" t="e">
        <v>#N/A</v>
      </c>
      <c r="DM164" s="86" t="e">
        <v>#N/A</v>
      </c>
      <c r="DN164" s="86" t="e">
        <v>#N/A</v>
      </c>
      <c r="DO164" s="86">
        <v>320</v>
      </c>
      <c r="DP164" s="86">
        <v>5</v>
      </c>
      <c r="DQ164" s="86">
        <v>49</v>
      </c>
      <c r="DR164" s="152">
        <v>0</v>
      </c>
      <c r="DS164" s="152">
        <v>0</v>
      </c>
      <c r="DT164" s="152">
        <v>0</v>
      </c>
      <c r="DU164" s="152">
        <v>0</v>
      </c>
      <c r="DV164" s="152">
        <v>0</v>
      </c>
      <c r="DW164" s="152">
        <v>0</v>
      </c>
      <c r="DX164" s="152">
        <v>0</v>
      </c>
      <c r="DY164" s="152">
        <v>0</v>
      </c>
      <c r="DZ164" s="152">
        <v>0</v>
      </c>
      <c r="EA164" s="152">
        <v>0</v>
      </c>
      <c r="EB164" s="152">
        <v>0</v>
      </c>
      <c r="EC164" s="152">
        <v>0</v>
      </c>
      <c r="ED164" s="152">
        <v>0</v>
      </c>
      <c r="EE164" s="152">
        <v>0</v>
      </c>
      <c r="EF164" s="152">
        <v>0</v>
      </c>
      <c r="EG164" s="152">
        <v>0</v>
      </c>
      <c r="EH164" s="152">
        <v>0</v>
      </c>
      <c r="EI164" s="152">
        <v>0</v>
      </c>
      <c r="EJ164" s="152">
        <v>0</v>
      </c>
      <c r="EK164" s="152">
        <v>0</v>
      </c>
      <c r="EL164" s="152">
        <v>0</v>
      </c>
      <c r="EM164" s="152">
        <v>0</v>
      </c>
      <c r="EN164" s="152">
        <v>0</v>
      </c>
      <c r="EO164" s="152">
        <v>0</v>
      </c>
      <c r="EP164" s="152">
        <v>0</v>
      </c>
      <c r="EQ164" s="152">
        <v>0</v>
      </c>
      <c r="ER164" s="152">
        <v>0</v>
      </c>
      <c r="ES164" s="152">
        <v>0</v>
      </c>
      <c r="ET164" s="152">
        <v>0</v>
      </c>
      <c r="EU164" s="152">
        <v>0</v>
      </c>
      <c r="EV164" s="152">
        <v>0</v>
      </c>
      <c r="EW164" s="152">
        <v>0</v>
      </c>
      <c r="EX164" s="152">
        <v>0</v>
      </c>
      <c r="EY164" s="152">
        <v>0</v>
      </c>
      <c r="EZ164" s="152">
        <v>0</v>
      </c>
      <c r="FA164" s="152">
        <v>0</v>
      </c>
      <c r="FB164" s="152">
        <v>0</v>
      </c>
      <c r="FC164" s="152">
        <v>0</v>
      </c>
      <c r="FD164" s="152">
        <v>0</v>
      </c>
      <c r="FE164" s="152">
        <v>0</v>
      </c>
      <c r="FF164" s="152">
        <v>0</v>
      </c>
      <c r="FG164" s="152">
        <v>0</v>
      </c>
      <c r="FH164" s="152">
        <v>0</v>
      </c>
      <c r="FI164" s="152">
        <v>0</v>
      </c>
      <c r="FJ164" s="152">
        <v>0</v>
      </c>
      <c r="FK164" s="152">
        <v>0</v>
      </c>
      <c r="FL164" s="152">
        <v>0</v>
      </c>
      <c r="FM164" s="152">
        <v>0</v>
      </c>
      <c r="FN164" s="152">
        <v>0</v>
      </c>
      <c r="FO164" s="152">
        <v>0</v>
      </c>
      <c r="FP164" s="152">
        <v>0</v>
      </c>
      <c r="FQ164" s="152">
        <v>0</v>
      </c>
      <c r="FR164" s="152">
        <v>0</v>
      </c>
      <c r="FS164" s="152">
        <v>0</v>
      </c>
      <c r="FT164" s="152">
        <v>0</v>
      </c>
      <c r="FU164" s="152">
        <v>0</v>
      </c>
      <c r="FV164" s="152">
        <v>0</v>
      </c>
      <c r="FW164" s="152">
        <v>0</v>
      </c>
      <c r="FX164" s="152">
        <v>0</v>
      </c>
      <c r="FY164" s="152">
        <v>0</v>
      </c>
      <c r="FZ164" s="152">
        <v>0</v>
      </c>
      <c r="GA164" s="152">
        <v>0</v>
      </c>
      <c r="GB164" s="152">
        <v>0</v>
      </c>
      <c r="GC164" s="152">
        <v>0</v>
      </c>
      <c r="GD164" s="152">
        <v>0</v>
      </c>
      <c r="GE164" s="152">
        <v>0</v>
      </c>
      <c r="GF164" s="152">
        <v>0</v>
      </c>
      <c r="GG164" s="152">
        <v>0</v>
      </c>
      <c r="GH164" s="152">
        <v>0</v>
      </c>
      <c r="GI164" s="152">
        <v>0</v>
      </c>
      <c r="GJ164" s="152">
        <v>0</v>
      </c>
      <c r="GK164" s="152">
        <v>0</v>
      </c>
      <c r="GL164" s="152">
        <v>0</v>
      </c>
      <c r="GM164" s="152">
        <v>0</v>
      </c>
      <c r="GN164" s="152">
        <v>0</v>
      </c>
      <c r="GO164" s="152">
        <v>0</v>
      </c>
      <c r="GP164" s="152">
        <v>0</v>
      </c>
      <c r="GQ164" s="152">
        <v>0</v>
      </c>
      <c r="GR164" s="152">
        <v>0</v>
      </c>
      <c r="GS164" s="152">
        <v>0</v>
      </c>
      <c r="GT164" s="152">
        <v>0</v>
      </c>
      <c r="GU164" s="152">
        <v>0</v>
      </c>
      <c r="GV164" s="152">
        <v>0</v>
      </c>
      <c r="GW164" s="152">
        <v>0</v>
      </c>
      <c r="GX164" s="152">
        <v>0</v>
      </c>
      <c r="GY164" s="152">
        <v>0</v>
      </c>
      <c r="GZ164" s="152">
        <v>0</v>
      </c>
      <c r="HA164" s="152">
        <v>0</v>
      </c>
      <c r="HB164" s="152">
        <v>0</v>
      </c>
      <c r="HC164" s="152">
        <v>0</v>
      </c>
      <c r="HD164" s="152">
        <v>0</v>
      </c>
      <c r="HE164" s="152">
        <v>0</v>
      </c>
      <c r="HF164" s="152">
        <v>0</v>
      </c>
      <c r="HG164" s="152">
        <v>0</v>
      </c>
      <c r="HH164" s="152">
        <v>0</v>
      </c>
      <c r="HI164" s="152">
        <v>0</v>
      </c>
      <c r="HJ164" s="152">
        <v>0</v>
      </c>
      <c r="HK164" s="152">
        <v>0</v>
      </c>
      <c r="HL164" s="152">
        <v>0</v>
      </c>
      <c r="HM164" s="152">
        <v>0</v>
      </c>
      <c r="HN164" s="152">
        <v>0</v>
      </c>
      <c r="HO164" s="152">
        <v>0</v>
      </c>
      <c r="HP164" s="152">
        <v>0</v>
      </c>
      <c r="HQ164" s="152">
        <v>0</v>
      </c>
      <c r="HR164" s="152">
        <v>0</v>
      </c>
      <c r="HS164" s="152">
        <v>0</v>
      </c>
      <c r="HT164" s="152">
        <v>0</v>
      </c>
      <c r="HU164" s="216"/>
      <c r="HV164" s="152">
        <v>0</v>
      </c>
      <c r="HW164" s="216"/>
      <c r="HX164" s="216"/>
      <c r="HY164" s="216"/>
      <c r="HZ164" s="216"/>
      <c r="IA164" s="216"/>
      <c r="IB164" s="216"/>
      <c r="IC164" s="216"/>
      <c r="ID164" s="216"/>
      <c r="IE164" s="216"/>
      <c r="IF164" s="216"/>
      <c r="IG164" s="216"/>
      <c r="IH164" s="216"/>
      <c r="II164" s="216"/>
      <c r="IJ164" s="216"/>
      <c r="IK164" s="216"/>
      <c r="IL164" s="216"/>
      <c r="IM164" s="216"/>
      <c r="IN164" s="216"/>
      <c r="IO164" s="216"/>
      <c r="IP164" s="216"/>
      <c r="IQ164" s="216"/>
      <c r="IR164" s="216"/>
      <c r="IS164" s="216"/>
      <c r="IT164" s="216"/>
      <c r="IU164" s="216"/>
      <c r="IV164" s="216"/>
      <c r="IW164" s="216"/>
      <c r="IX164" s="216"/>
      <c r="IY164" s="216"/>
      <c r="IZ164" s="216"/>
      <c r="JA164" s="216"/>
      <c r="JB164" s="216"/>
      <c r="JC164" s="216"/>
      <c r="JD164" s="216"/>
      <c r="JE164" s="216"/>
      <c r="JF164" s="216"/>
      <c r="JG164" s="216"/>
      <c r="JH164" s="216"/>
      <c r="JI164" s="216"/>
      <c r="JJ164" s="216"/>
      <c r="JK164" s="216"/>
      <c r="JL164" s="216"/>
      <c r="JM164" s="216"/>
      <c r="JN164" s="216"/>
      <c r="JO164" s="216"/>
      <c r="JP164" s="216"/>
      <c r="JQ164" s="216"/>
      <c r="JR164" s="216"/>
      <c r="JS164" s="216"/>
      <c r="JT164" s="216"/>
      <c r="JU164" s="216"/>
      <c r="JV164" s="216"/>
      <c r="JW164" s="216"/>
      <c r="JX164" s="216"/>
      <c r="JY164" s="216"/>
      <c r="JZ164" s="216"/>
      <c r="KA164" s="216"/>
      <c r="KB164" s="216"/>
      <c r="KC164" s="216"/>
      <c r="KD164" s="216"/>
      <c r="KE164" s="216"/>
      <c r="KF164" s="216"/>
      <c r="KG164" s="216"/>
      <c r="KH164" s="216"/>
      <c r="KI164" s="216"/>
      <c r="KJ164" s="216"/>
      <c r="KK164" s="216"/>
      <c r="KL164" s="216"/>
      <c r="KM164" s="216"/>
      <c r="KN164" s="216"/>
      <c r="KO164" s="216"/>
      <c r="KP164" s="216"/>
      <c r="KQ164" s="216"/>
      <c r="KR164" s="216"/>
      <c r="KS164" s="216"/>
      <c r="KT164" s="216"/>
      <c r="KU164" s="216"/>
      <c r="KV164" s="216"/>
      <c r="KW164" s="216"/>
      <c r="KX164" s="216"/>
      <c r="KY164" s="216"/>
      <c r="KZ164" s="216"/>
      <c r="LA164" s="216"/>
      <c r="LB164" s="216"/>
      <c r="LC164" s="216"/>
      <c r="LD164" s="216"/>
      <c r="LE164" s="216"/>
    </row>
    <row r="165" spans="1:317" x14ac:dyDescent="0.2">
      <c r="A165" s="179" t="s">
        <v>849</v>
      </c>
      <c r="B165" s="180" t="s">
        <v>1064</v>
      </c>
      <c r="C165" s="181"/>
      <c r="D165" s="182">
        <v>0</v>
      </c>
      <c r="E165" s="182">
        <v>0</v>
      </c>
      <c r="F165" s="183" t="s">
        <v>1314</v>
      </c>
      <c r="G165" s="183">
        <v>0</v>
      </c>
      <c r="H165" s="183">
        <v>0</v>
      </c>
      <c r="I165" s="183">
        <v>0</v>
      </c>
      <c r="J165" s="183">
        <v>0</v>
      </c>
      <c r="K165" s="183" t="s">
        <v>1368</v>
      </c>
      <c r="L165" s="183">
        <v>0</v>
      </c>
      <c r="M165" s="183">
        <v>0</v>
      </c>
      <c r="N165" s="183" t="s">
        <v>881</v>
      </c>
      <c r="O165" s="183">
        <v>0</v>
      </c>
      <c r="P165" s="183">
        <v>0</v>
      </c>
      <c r="Q165" s="183"/>
      <c r="R165" s="183"/>
      <c r="S165" s="183"/>
      <c r="T165" s="183"/>
      <c r="U165" s="183"/>
      <c r="V165" s="183">
        <v>0</v>
      </c>
      <c r="W165" s="183">
        <v>0</v>
      </c>
      <c r="X165" s="183">
        <v>0</v>
      </c>
      <c r="Y165" s="184">
        <v>0</v>
      </c>
      <c r="Z165" s="184">
        <v>0</v>
      </c>
      <c r="AA165" s="184">
        <v>0</v>
      </c>
      <c r="AB165" s="185" t="s">
        <v>615</v>
      </c>
      <c r="AC165" s="185" t="s">
        <v>615</v>
      </c>
      <c r="AD165" s="186" t="s">
        <v>881</v>
      </c>
      <c r="AE165" s="186" t="s">
        <v>858</v>
      </c>
      <c r="AF165" s="187">
        <v>7</v>
      </c>
      <c r="AG165" s="187">
        <v>3</v>
      </c>
      <c r="AH165" s="187">
        <v>4</v>
      </c>
      <c r="AI165" s="188">
        <v>1</v>
      </c>
      <c r="AJ165" s="188" t="s">
        <v>615</v>
      </c>
      <c r="AK165" s="187" t="s">
        <v>1738</v>
      </c>
      <c r="AL165" s="87" t="s">
        <v>615</v>
      </c>
      <c r="AM165" s="189"/>
      <c r="AN165" s="187" t="s">
        <v>615</v>
      </c>
      <c r="AO165" s="13" t="s">
        <v>615</v>
      </c>
      <c r="AP165" s="187">
        <v>0</v>
      </c>
      <c r="AQ165" s="187">
        <v>0</v>
      </c>
      <c r="AR165" s="190">
        <v>0</v>
      </c>
      <c r="AS165" s="190">
        <v>0</v>
      </c>
      <c r="AT165" s="190">
        <v>0</v>
      </c>
      <c r="AU165" s="187">
        <v>0</v>
      </c>
      <c r="AV165" s="187">
        <v>0</v>
      </c>
      <c r="AW165" s="191"/>
      <c r="AX165" s="192"/>
      <c r="AY165" s="193">
        <v>42666</v>
      </c>
      <c r="AZ165" s="193"/>
      <c r="BA165" s="193"/>
      <c r="BB165" s="194"/>
      <c r="BC165" s="194"/>
      <c r="BD165" s="195"/>
      <c r="BE165" s="195" t="s">
        <v>532</v>
      </c>
      <c r="BF165" s="195"/>
      <c r="BG165" s="195">
        <v>48</v>
      </c>
      <c r="BH165" s="196" t="s">
        <v>547</v>
      </c>
      <c r="BI165" s="197">
        <v>1</v>
      </c>
      <c r="BJ165" s="198"/>
      <c r="BK165" s="199">
        <v>0</v>
      </c>
      <c r="BL165" s="13">
        <v>0</v>
      </c>
      <c r="BM165" s="13">
        <v>0</v>
      </c>
      <c r="BN165" s="13" t="s">
        <v>616</v>
      </c>
      <c r="BO165" s="13" t="s">
        <v>616</v>
      </c>
      <c r="BP165" s="200">
        <v>0</v>
      </c>
      <c r="BQ165" s="201"/>
      <c r="BR165" s="202"/>
      <c r="BS165" s="187">
        <v>1000000000</v>
      </c>
      <c r="BT165" s="203">
        <v>0</v>
      </c>
      <c r="BU165" s="204">
        <v>0</v>
      </c>
      <c r="BV165" s="203">
        <v>0</v>
      </c>
      <c r="BW165" s="205">
        <v>0</v>
      </c>
      <c r="BX165" s="205">
        <v>0</v>
      </c>
      <c r="BY165" s="205">
        <v>0</v>
      </c>
      <c r="BZ165" s="203">
        <v>0</v>
      </c>
      <c r="CA165" s="203">
        <v>0</v>
      </c>
      <c r="CB165" s="203">
        <v>0</v>
      </c>
      <c r="CC165" s="204">
        <v>0</v>
      </c>
      <c r="CD165" s="203">
        <v>0</v>
      </c>
      <c r="CE165" s="203">
        <v>0</v>
      </c>
      <c r="CF165" s="13">
        <v>0</v>
      </c>
      <c r="CG165" s="206">
        <v>0</v>
      </c>
      <c r="CH165" s="207">
        <v>0</v>
      </c>
      <c r="CI165" s="201"/>
      <c r="CJ165" s="208"/>
      <c r="CK165" s="209" t="s">
        <v>615</v>
      </c>
      <c r="CL165" s="210" t="s">
        <v>615</v>
      </c>
      <c r="CM165" s="207">
        <v>0</v>
      </c>
      <c r="CN165" s="207">
        <v>0</v>
      </c>
      <c r="CO165" s="204">
        <v>0</v>
      </c>
      <c r="CP165" s="204">
        <v>0</v>
      </c>
      <c r="CQ165" s="211"/>
      <c r="CR165" s="204">
        <v>1</v>
      </c>
      <c r="CS165" s="212">
        <v>42558</v>
      </c>
      <c r="CT165" s="212">
        <v>42780</v>
      </c>
      <c r="CU165" s="213">
        <v>42780</v>
      </c>
      <c r="CV165" s="214">
        <v>42829</v>
      </c>
      <c r="CW165" s="214" t="s">
        <v>615</v>
      </c>
      <c r="CX165" s="214" t="s">
        <v>615</v>
      </c>
      <c r="CY165" s="204">
        <v>1</v>
      </c>
      <c r="CZ165" s="204">
        <v>0.97959183673469385</v>
      </c>
      <c r="DA165" s="203">
        <v>0</v>
      </c>
      <c r="DB165" s="204">
        <v>0.97959183673469385</v>
      </c>
      <c r="DC165" s="204">
        <v>0</v>
      </c>
      <c r="DD165" s="204">
        <v>0</v>
      </c>
      <c r="DE165" s="204">
        <v>0</v>
      </c>
      <c r="DF165" s="215">
        <v>0</v>
      </c>
      <c r="DG165" s="13" t="s">
        <v>615</v>
      </c>
      <c r="DH165" s="86">
        <v>163</v>
      </c>
      <c r="DI165" s="86"/>
      <c r="DJ165" s="86">
        <v>159</v>
      </c>
      <c r="DK165" s="86" t="s">
        <v>1618</v>
      </c>
      <c r="DL165" s="86" t="e">
        <v>#N/A</v>
      </c>
      <c r="DM165" s="86" t="e">
        <v>#N/A</v>
      </c>
      <c r="DN165" s="86" t="e">
        <v>#N/A</v>
      </c>
      <c r="DO165" s="86">
        <v>321</v>
      </c>
      <c r="DP165" s="86">
        <v>5</v>
      </c>
      <c r="DQ165" s="86">
        <v>49</v>
      </c>
      <c r="DR165" s="146">
        <v>0</v>
      </c>
      <c r="DS165" s="146">
        <v>0</v>
      </c>
      <c r="DT165" s="146">
        <v>0</v>
      </c>
      <c r="DU165" s="146">
        <v>0</v>
      </c>
      <c r="DV165" s="146">
        <v>0</v>
      </c>
      <c r="DW165" s="146">
        <v>0</v>
      </c>
      <c r="DX165" s="146">
        <v>0</v>
      </c>
      <c r="DY165" s="146">
        <v>0</v>
      </c>
      <c r="DZ165" s="146">
        <v>0</v>
      </c>
      <c r="EA165" s="146">
        <v>0</v>
      </c>
      <c r="EB165" s="146">
        <v>0</v>
      </c>
      <c r="EC165" s="146">
        <v>0</v>
      </c>
      <c r="ED165" s="146">
        <v>0</v>
      </c>
      <c r="EE165" s="146">
        <v>0</v>
      </c>
      <c r="EF165" s="146">
        <v>0</v>
      </c>
      <c r="EG165" s="146">
        <v>0</v>
      </c>
      <c r="EH165" s="146">
        <v>0</v>
      </c>
      <c r="EI165" s="146">
        <v>0</v>
      </c>
      <c r="EJ165" s="146">
        <v>0</v>
      </c>
      <c r="EK165" s="146">
        <v>0</v>
      </c>
      <c r="EL165" s="146">
        <v>0</v>
      </c>
      <c r="EM165" s="146">
        <v>0</v>
      </c>
      <c r="EN165" s="146">
        <v>0</v>
      </c>
      <c r="EO165" s="146">
        <v>0</v>
      </c>
      <c r="EP165" s="146">
        <v>0</v>
      </c>
      <c r="EQ165" s="146">
        <v>0</v>
      </c>
      <c r="ER165" s="146">
        <v>0</v>
      </c>
      <c r="ES165" s="146">
        <v>0</v>
      </c>
      <c r="ET165" s="146">
        <v>0</v>
      </c>
      <c r="EU165" s="146">
        <v>0</v>
      </c>
      <c r="EV165" s="146">
        <v>0</v>
      </c>
      <c r="EW165" s="146">
        <v>0</v>
      </c>
      <c r="EX165" s="146">
        <v>0</v>
      </c>
      <c r="EY165" s="146">
        <v>0</v>
      </c>
      <c r="EZ165" s="146">
        <v>0</v>
      </c>
      <c r="FA165" s="146">
        <v>0</v>
      </c>
      <c r="FB165" s="146">
        <v>0</v>
      </c>
      <c r="FC165" s="146">
        <v>0</v>
      </c>
      <c r="FD165" s="146">
        <v>0</v>
      </c>
      <c r="FE165" s="146">
        <v>0</v>
      </c>
      <c r="FF165" s="146">
        <v>0</v>
      </c>
      <c r="FG165" s="146">
        <v>0</v>
      </c>
      <c r="FH165" s="146">
        <v>0</v>
      </c>
      <c r="FI165" s="146">
        <v>0</v>
      </c>
      <c r="FJ165" s="146">
        <v>0</v>
      </c>
      <c r="FK165" s="146">
        <v>0</v>
      </c>
      <c r="FL165" s="146">
        <v>0</v>
      </c>
      <c r="FM165" s="146">
        <v>0</v>
      </c>
      <c r="FN165" s="146">
        <v>0</v>
      </c>
      <c r="FO165" s="146">
        <v>0</v>
      </c>
      <c r="FP165" s="146">
        <v>0</v>
      </c>
      <c r="FQ165" s="146">
        <v>0</v>
      </c>
      <c r="FR165" s="146">
        <v>0</v>
      </c>
      <c r="FS165" s="146">
        <v>0</v>
      </c>
      <c r="FT165" s="146">
        <v>0</v>
      </c>
      <c r="FU165" s="146">
        <v>0</v>
      </c>
      <c r="FV165" s="146">
        <v>0</v>
      </c>
      <c r="FW165" s="146">
        <v>0</v>
      </c>
      <c r="FX165" s="146">
        <v>0</v>
      </c>
      <c r="FY165" s="146">
        <v>0</v>
      </c>
      <c r="FZ165" s="146">
        <v>0</v>
      </c>
      <c r="GA165" s="146">
        <v>0</v>
      </c>
      <c r="GB165" s="146">
        <v>0</v>
      </c>
      <c r="GC165" s="146">
        <v>0</v>
      </c>
      <c r="GD165" s="146">
        <v>0</v>
      </c>
      <c r="GE165" s="146">
        <v>0</v>
      </c>
      <c r="GF165" s="146">
        <v>0</v>
      </c>
      <c r="GG165" s="146">
        <v>0</v>
      </c>
      <c r="GH165" s="146">
        <v>0</v>
      </c>
      <c r="GI165" s="146">
        <v>0</v>
      </c>
      <c r="GJ165" s="146">
        <v>0</v>
      </c>
      <c r="GK165" s="146">
        <v>0</v>
      </c>
      <c r="GL165" s="146">
        <v>0</v>
      </c>
      <c r="GM165" s="146">
        <v>0</v>
      </c>
      <c r="GN165" s="146">
        <v>0</v>
      </c>
      <c r="GO165" s="146">
        <v>0</v>
      </c>
      <c r="GP165" s="146">
        <v>0</v>
      </c>
      <c r="GQ165" s="146">
        <v>0</v>
      </c>
      <c r="GR165" s="146">
        <v>0</v>
      </c>
      <c r="GS165" s="146">
        <v>0</v>
      </c>
      <c r="GT165" s="146">
        <v>0</v>
      </c>
      <c r="GU165" s="146">
        <v>0</v>
      </c>
      <c r="GV165" s="146">
        <v>0</v>
      </c>
      <c r="GW165" s="146">
        <v>0</v>
      </c>
      <c r="GX165" s="146">
        <v>0</v>
      </c>
      <c r="GY165" s="146">
        <v>0</v>
      </c>
      <c r="GZ165" s="146">
        <v>0</v>
      </c>
      <c r="HA165" s="146">
        <v>0</v>
      </c>
      <c r="HB165" s="146">
        <v>0</v>
      </c>
      <c r="HC165" s="146">
        <v>0</v>
      </c>
      <c r="HD165" s="146">
        <v>0</v>
      </c>
      <c r="HE165" s="146">
        <v>0</v>
      </c>
      <c r="HF165" s="146">
        <v>0</v>
      </c>
      <c r="HG165" s="146">
        <v>0</v>
      </c>
      <c r="HH165" s="146">
        <v>0</v>
      </c>
      <c r="HI165" s="146">
        <v>0</v>
      </c>
      <c r="HJ165" s="146">
        <v>0</v>
      </c>
      <c r="HK165" s="146">
        <v>0</v>
      </c>
      <c r="HL165" s="146">
        <v>0</v>
      </c>
      <c r="HM165" s="146">
        <v>0</v>
      </c>
      <c r="HN165" s="146">
        <v>0</v>
      </c>
      <c r="HO165" s="146">
        <v>0</v>
      </c>
      <c r="HP165" s="146">
        <v>0</v>
      </c>
      <c r="HQ165" s="146">
        <v>0</v>
      </c>
      <c r="HR165" s="146">
        <v>0</v>
      </c>
      <c r="HS165" s="146">
        <v>0</v>
      </c>
      <c r="HT165" s="146">
        <v>0</v>
      </c>
      <c r="HU165" s="151"/>
      <c r="HV165" s="146">
        <v>0</v>
      </c>
      <c r="HW165" s="151"/>
      <c r="HX165" s="151"/>
      <c r="HY165" s="151"/>
      <c r="HZ165" s="151"/>
      <c r="IA165" s="151"/>
      <c r="IB165" s="151"/>
      <c r="IC165" s="151"/>
      <c r="ID165" s="151"/>
      <c r="IE165" s="151"/>
      <c r="IF165" s="151"/>
      <c r="IG165" s="151"/>
      <c r="IH165" s="151"/>
      <c r="II165" s="151"/>
      <c r="IJ165" s="151"/>
      <c r="IK165" s="151"/>
      <c r="IL165" s="151"/>
      <c r="IM165" s="151"/>
      <c r="IN165" s="151"/>
      <c r="IO165" s="151"/>
      <c r="IP165" s="151"/>
      <c r="IQ165" s="151"/>
      <c r="IR165" s="151"/>
      <c r="IS165" s="151"/>
      <c r="IT165" s="151"/>
      <c r="IU165" s="151"/>
      <c r="IV165" s="151"/>
      <c r="IW165" s="151"/>
      <c r="IX165" s="151"/>
      <c r="IY165" s="151"/>
      <c r="IZ165" s="151"/>
      <c r="JA165" s="151"/>
      <c r="JB165" s="151"/>
      <c r="JC165" s="151"/>
      <c r="JD165" s="151"/>
      <c r="JE165" s="151"/>
      <c r="JF165" s="151"/>
      <c r="JG165" s="151"/>
      <c r="JH165" s="151"/>
      <c r="JI165" s="151"/>
      <c r="JJ165" s="151"/>
      <c r="JK165" s="151"/>
      <c r="JL165" s="151"/>
      <c r="JM165" s="151"/>
      <c r="JN165" s="151"/>
      <c r="JO165" s="151"/>
      <c r="JP165" s="151"/>
      <c r="JQ165" s="151"/>
      <c r="JR165" s="151"/>
      <c r="JS165" s="151"/>
      <c r="JT165" s="151"/>
      <c r="JU165" s="151"/>
      <c r="JV165" s="151"/>
      <c r="JW165" s="151"/>
      <c r="JX165" s="151"/>
      <c r="JY165" s="151"/>
      <c r="JZ165" s="151"/>
      <c r="KA165" s="151"/>
      <c r="KB165" s="151"/>
      <c r="KC165" s="151"/>
      <c r="KD165" s="151"/>
      <c r="KE165" s="151"/>
      <c r="KF165" s="151"/>
      <c r="KG165" s="151"/>
      <c r="KH165" s="151"/>
      <c r="KI165" s="151"/>
      <c r="KJ165" s="151"/>
      <c r="KK165" s="151"/>
      <c r="KL165" s="151"/>
      <c r="KM165" s="151"/>
      <c r="KN165" s="151"/>
      <c r="KO165" s="151"/>
      <c r="KP165" s="151"/>
      <c r="KQ165" s="151"/>
      <c r="KR165" s="151"/>
      <c r="KS165" s="151"/>
      <c r="KT165" s="151"/>
      <c r="KU165" s="151"/>
      <c r="KV165" s="151"/>
      <c r="KW165" s="151"/>
      <c r="KX165" s="151"/>
      <c r="KY165" s="151"/>
      <c r="KZ165" s="151"/>
      <c r="LA165" s="151"/>
      <c r="LB165" s="151"/>
      <c r="LC165" s="151"/>
      <c r="LD165" s="151"/>
      <c r="LE165" s="151"/>
    </row>
    <row r="166" spans="1:317" x14ac:dyDescent="0.2">
      <c r="A166" s="179" t="s">
        <v>849</v>
      </c>
      <c r="B166" s="180" t="s">
        <v>1065</v>
      </c>
      <c r="C166" s="181"/>
      <c r="D166" s="182">
        <v>0</v>
      </c>
      <c r="E166" s="182">
        <v>0</v>
      </c>
      <c r="F166" s="183" t="s">
        <v>1314</v>
      </c>
      <c r="G166" s="183">
        <v>0</v>
      </c>
      <c r="H166" s="183">
        <v>0</v>
      </c>
      <c r="I166" s="183">
        <v>0</v>
      </c>
      <c r="J166" s="183">
        <v>0</v>
      </c>
      <c r="K166" s="183" t="s">
        <v>1368</v>
      </c>
      <c r="L166" s="183">
        <v>0</v>
      </c>
      <c r="M166" s="183">
        <v>0</v>
      </c>
      <c r="N166" s="183" t="s">
        <v>881</v>
      </c>
      <c r="O166" s="183">
        <v>0</v>
      </c>
      <c r="P166" s="183">
        <v>0</v>
      </c>
      <c r="Q166" s="183"/>
      <c r="R166" s="183"/>
      <c r="S166" s="183"/>
      <c r="T166" s="183"/>
      <c r="U166" s="183"/>
      <c r="V166" s="183">
        <v>0</v>
      </c>
      <c r="W166" s="183">
        <v>0</v>
      </c>
      <c r="X166" s="183">
        <v>0</v>
      </c>
      <c r="Y166" s="184">
        <v>0</v>
      </c>
      <c r="Z166" s="184">
        <v>0</v>
      </c>
      <c r="AA166" s="184">
        <v>0</v>
      </c>
      <c r="AB166" s="185" t="s">
        <v>615</v>
      </c>
      <c r="AC166" s="185" t="s">
        <v>615</v>
      </c>
      <c r="AD166" s="186" t="s">
        <v>881</v>
      </c>
      <c r="AE166" s="186" t="s">
        <v>858</v>
      </c>
      <c r="AF166" s="187">
        <v>7</v>
      </c>
      <c r="AG166" s="187">
        <v>3</v>
      </c>
      <c r="AH166" s="187">
        <v>4</v>
      </c>
      <c r="AI166" s="188">
        <v>1</v>
      </c>
      <c r="AJ166" s="188" t="s">
        <v>615</v>
      </c>
      <c r="AK166" s="187" t="s">
        <v>1738</v>
      </c>
      <c r="AL166" s="87" t="s">
        <v>615</v>
      </c>
      <c r="AM166" s="189"/>
      <c r="AN166" s="187" t="s">
        <v>615</v>
      </c>
      <c r="AO166" s="13" t="s">
        <v>615</v>
      </c>
      <c r="AP166" s="187">
        <v>0</v>
      </c>
      <c r="AQ166" s="187">
        <v>0</v>
      </c>
      <c r="AR166" s="190">
        <v>0</v>
      </c>
      <c r="AS166" s="190">
        <v>0</v>
      </c>
      <c r="AT166" s="190">
        <v>0</v>
      </c>
      <c r="AU166" s="187">
        <v>0</v>
      </c>
      <c r="AV166" s="187">
        <v>0</v>
      </c>
      <c r="AW166" s="191"/>
      <c r="AX166" s="192"/>
      <c r="AY166" s="193">
        <v>42666</v>
      </c>
      <c r="AZ166" s="193"/>
      <c r="BA166" s="193"/>
      <c r="BB166" s="194"/>
      <c r="BC166" s="194"/>
      <c r="BD166" s="195"/>
      <c r="BE166" s="195" t="s">
        <v>532</v>
      </c>
      <c r="BF166" s="195"/>
      <c r="BG166" s="195">
        <v>48</v>
      </c>
      <c r="BH166" s="196" t="s">
        <v>547</v>
      </c>
      <c r="BI166" s="197">
        <v>1</v>
      </c>
      <c r="BJ166" s="198"/>
      <c r="BK166" s="199">
        <v>0</v>
      </c>
      <c r="BL166" s="13">
        <v>0</v>
      </c>
      <c r="BM166" s="13">
        <v>0</v>
      </c>
      <c r="BN166" s="13" t="s">
        <v>616</v>
      </c>
      <c r="BO166" s="13" t="s">
        <v>616</v>
      </c>
      <c r="BP166" s="200">
        <v>0</v>
      </c>
      <c r="BQ166" s="201"/>
      <c r="BR166" s="202"/>
      <c r="BS166" s="187">
        <v>1000000000</v>
      </c>
      <c r="BT166" s="203">
        <v>0</v>
      </c>
      <c r="BU166" s="204">
        <v>0</v>
      </c>
      <c r="BV166" s="203">
        <v>0</v>
      </c>
      <c r="BW166" s="205">
        <v>0</v>
      </c>
      <c r="BX166" s="205">
        <v>0</v>
      </c>
      <c r="BY166" s="205">
        <v>0</v>
      </c>
      <c r="BZ166" s="203">
        <v>0</v>
      </c>
      <c r="CA166" s="203">
        <v>0</v>
      </c>
      <c r="CB166" s="203">
        <v>0</v>
      </c>
      <c r="CC166" s="204">
        <v>0</v>
      </c>
      <c r="CD166" s="203">
        <v>0</v>
      </c>
      <c r="CE166" s="203">
        <v>0</v>
      </c>
      <c r="CF166" s="13">
        <v>0</v>
      </c>
      <c r="CG166" s="206">
        <v>0</v>
      </c>
      <c r="CH166" s="207">
        <v>0</v>
      </c>
      <c r="CI166" s="201"/>
      <c r="CJ166" s="208"/>
      <c r="CK166" s="209" t="s">
        <v>615</v>
      </c>
      <c r="CL166" s="210" t="s">
        <v>615</v>
      </c>
      <c r="CM166" s="207">
        <v>0</v>
      </c>
      <c r="CN166" s="207">
        <v>0</v>
      </c>
      <c r="CO166" s="204">
        <v>0</v>
      </c>
      <c r="CP166" s="204">
        <v>0</v>
      </c>
      <c r="CQ166" s="211"/>
      <c r="CR166" s="204">
        <v>1</v>
      </c>
      <c r="CS166" s="212">
        <v>42558</v>
      </c>
      <c r="CT166" s="212">
        <v>42780</v>
      </c>
      <c r="CU166" s="213">
        <v>42780</v>
      </c>
      <c r="CV166" s="214">
        <v>42829</v>
      </c>
      <c r="CW166" s="214" t="s">
        <v>615</v>
      </c>
      <c r="CX166" s="214" t="s">
        <v>615</v>
      </c>
      <c r="CY166" s="204">
        <v>1</v>
      </c>
      <c r="CZ166" s="204">
        <v>0.97959183673469385</v>
      </c>
      <c r="DA166" s="203">
        <v>0</v>
      </c>
      <c r="DB166" s="204">
        <v>0.97959183673469385</v>
      </c>
      <c r="DC166" s="204">
        <v>0</v>
      </c>
      <c r="DD166" s="204">
        <v>0</v>
      </c>
      <c r="DE166" s="204">
        <v>0</v>
      </c>
      <c r="DF166" s="215">
        <v>0</v>
      </c>
      <c r="DG166" s="13" t="s">
        <v>615</v>
      </c>
      <c r="DH166" s="86">
        <v>164</v>
      </c>
      <c r="DI166" s="86"/>
      <c r="DJ166" s="86">
        <v>160</v>
      </c>
      <c r="DK166" s="86" t="s">
        <v>1619</v>
      </c>
      <c r="DL166" s="86" t="e">
        <v>#N/A</v>
      </c>
      <c r="DM166" s="86" t="e">
        <v>#N/A</v>
      </c>
      <c r="DN166" s="86" t="e">
        <v>#N/A</v>
      </c>
      <c r="DO166" s="86">
        <v>322</v>
      </c>
      <c r="DP166" s="86">
        <v>5</v>
      </c>
      <c r="DQ166" s="86">
        <v>49</v>
      </c>
      <c r="DR166" s="152">
        <v>0</v>
      </c>
      <c r="DS166" s="152">
        <v>0</v>
      </c>
      <c r="DT166" s="152">
        <v>0</v>
      </c>
      <c r="DU166" s="152">
        <v>0</v>
      </c>
      <c r="DV166" s="152">
        <v>0</v>
      </c>
      <c r="DW166" s="152">
        <v>0</v>
      </c>
      <c r="DX166" s="152">
        <v>0</v>
      </c>
      <c r="DY166" s="152">
        <v>0</v>
      </c>
      <c r="DZ166" s="152">
        <v>0</v>
      </c>
      <c r="EA166" s="152">
        <v>0</v>
      </c>
      <c r="EB166" s="152">
        <v>0</v>
      </c>
      <c r="EC166" s="152">
        <v>0</v>
      </c>
      <c r="ED166" s="152">
        <v>0</v>
      </c>
      <c r="EE166" s="152">
        <v>0</v>
      </c>
      <c r="EF166" s="152">
        <v>0</v>
      </c>
      <c r="EG166" s="152">
        <v>0</v>
      </c>
      <c r="EH166" s="152">
        <v>0</v>
      </c>
      <c r="EI166" s="152">
        <v>0</v>
      </c>
      <c r="EJ166" s="152">
        <v>0</v>
      </c>
      <c r="EK166" s="152">
        <v>0</v>
      </c>
      <c r="EL166" s="152">
        <v>0</v>
      </c>
      <c r="EM166" s="152">
        <v>0</v>
      </c>
      <c r="EN166" s="152">
        <v>0</v>
      </c>
      <c r="EO166" s="152">
        <v>0</v>
      </c>
      <c r="EP166" s="152">
        <v>0</v>
      </c>
      <c r="EQ166" s="152">
        <v>0</v>
      </c>
      <c r="ER166" s="152">
        <v>0</v>
      </c>
      <c r="ES166" s="152">
        <v>0</v>
      </c>
      <c r="ET166" s="152">
        <v>0</v>
      </c>
      <c r="EU166" s="152">
        <v>0</v>
      </c>
      <c r="EV166" s="152">
        <v>0</v>
      </c>
      <c r="EW166" s="152">
        <v>0</v>
      </c>
      <c r="EX166" s="152">
        <v>0</v>
      </c>
      <c r="EY166" s="152">
        <v>0</v>
      </c>
      <c r="EZ166" s="152">
        <v>0</v>
      </c>
      <c r="FA166" s="152">
        <v>0</v>
      </c>
      <c r="FB166" s="152">
        <v>0</v>
      </c>
      <c r="FC166" s="152">
        <v>0</v>
      </c>
      <c r="FD166" s="152">
        <v>0</v>
      </c>
      <c r="FE166" s="152">
        <v>0</v>
      </c>
      <c r="FF166" s="152">
        <v>0</v>
      </c>
      <c r="FG166" s="152">
        <v>0</v>
      </c>
      <c r="FH166" s="152">
        <v>0</v>
      </c>
      <c r="FI166" s="152">
        <v>0</v>
      </c>
      <c r="FJ166" s="152">
        <v>0</v>
      </c>
      <c r="FK166" s="152">
        <v>0</v>
      </c>
      <c r="FL166" s="152">
        <v>0</v>
      </c>
      <c r="FM166" s="152">
        <v>0</v>
      </c>
      <c r="FN166" s="152">
        <v>0</v>
      </c>
      <c r="FO166" s="152">
        <v>0</v>
      </c>
      <c r="FP166" s="152">
        <v>0</v>
      </c>
      <c r="FQ166" s="152">
        <v>0</v>
      </c>
      <c r="FR166" s="152">
        <v>0</v>
      </c>
      <c r="FS166" s="152">
        <v>0</v>
      </c>
      <c r="FT166" s="152">
        <v>0</v>
      </c>
      <c r="FU166" s="152">
        <v>0</v>
      </c>
      <c r="FV166" s="152">
        <v>0</v>
      </c>
      <c r="FW166" s="152">
        <v>0</v>
      </c>
      <c r="FX166" s="152">
        <v>0</v>
      </c>
      <c r="FY166" s="152">
        <v>0</v>
      </c>
      <c r="FZ166" s="152">
        <v>0</v>
      </c>
      <c r="GA166" s="152">
        <v>0</v>
      </c>
      <c r="GB166" s="152">
        <v>0</v>
      </c>
      <c r="GC166" s="152">
        <v>0</v>
      </c>
      <c r="GD166" s="152">
        <v>0</v>
      </c>
      <c r="GE166" s="152">
        <v>0</v>
      </c>
      <c r="GF166" s="152">
        <v>0</v>
      </c>
      <c r="GG166" s="152">
        <v>0</v>
      </c>
      <c r="GH166" s="152">
        <v>0</v>
      </c>
      <c r="GI166" s="152">
        <v>0</v>
      </c>
      <c r="GJ166" s="152">
        <v>0</v>
      </c>
      <c r="GK166" s="152">
        <v>0</v>
      </c>
      <c r="GL166" s="152">
        <v>0</v>
      </c>
      <c r="GM166" s="152">
        <v>0</v>
      </c>
      <c r="GN166" s="152">
        <v>0</v>
      </c>
      <c r="GO166" s="152">
        <v>0</v>
      </c>
      <c r="GP166" s="152">
        <v>0</v>
      </c>
      <c r="GQ166" s="152">
        <v>0</v>
      </c>
      <c r="GR166" s="152">
        <v>0</v>
      </c>
      <c r="GS166" s="152">
        <v>0</v>
      </c>
      <c r="GT166" s="152">
        <v>0</v>
      </c>
      <c r="GU166" s="152">
        <v>0</v>
      </c>
      <c r="GV166" s="152">
        <v>0</v>
      </c>
      <c r="GW166" s="152">
        <v>0</v>
      </c>
      <c r="GX166" s="152">
        <v>0</v>
      </c>
      <c r="GY166" s="152">
        <v>0</v>
      </c>
      <c r="GZ166" s="152">
        <v>0</v>
      </c>
      <c r="HA166" s="152">
        <v>0</v>
      </c>
      <c r="HB166" s="152">
        <v>0</v>
      </c>
      <c r="HC166" s="152">
        <v>0</v>
      </c>
      <c r="HD166" s="152">
        <v>0</v>
      </c>
      <c r="HE166" s="152">
        <v>0</v>
      </c>
      <c r="HF166" s="152">
        <v>0</v>
      </c>
      <c r="HG166" s="152">
        <v>0</v>
      </c>
      <c r="HH166" s="152">
        <v>0</v>
      </c>
      <c r="HI166" s="152">
        <v>0</v>
      </c>
      <c r="HJ166" s="152">
        <v>0</v>
      </c>
      <c r="HK166" s="152">
        <v>0</v>
      </c>
      <c r="HL166" s="152">
        <v>0</v>
      </c>
      <c r="HM166" s="152">
        <v>0</v>
      </c>
      <c r="HN166" s="152">
        <v>0</v>
      </c>
      <c r="HO166" s="152">
        <v>0</v>
      </c>
      <c r="HP166" s="152">
        <v>0</v>
      </c>
      <c r="HQ166" s="152">
        <v>0</v>
      </c>
      <c r="HR166" s="152">
        <v>0</v>
      </c>
      <c r="HS166" s="152">
        <v>0</v>
      </c>
      <c r="HT166" s="152">
        <v>0</v>
      </c>
      <c r="HU166" s="216"/>
      <c r="HV166" s="152">
        <v>0</v>
      </c>
      <c r="HW166" s="216"/>
      <c r="HX166" s="216"/>
      <c r="HY166" s="216"/>
      <c r="HZ166" s="216"/>
      <c r="IA166" s="216"/>
      <c r="IB166" s="216"/>
      <c r="IC166" s="216"/>
      <c r="ID166" s="216"/>
      <c r="IE166" s="216"/>
      <c r="IF166" s="216"/>
      <c r="IG166" s="216"/>
      <c r="IH166" s="216"/>
      <c r="II166" s="216"/>
      <c r="IJ166" s="216"/>
      <c r="IK166" s="216"/>
      <c r="IL166" s="216"/>
      <c r="IM166" s="216"/>
      <c r="IN166" s="216"/>
      <c r="IO166" s="216"/>
      <c r="IP166" s="216"/>
      <c r="IQ166" s="216"/>
      <c r="IR166" s="216"/>
      <c r="IS166" s="216"/>
      <c r="IT166" s="216"/>
      <c r="IU166" s="216"/>
      <c r="IV166" s="216"/>
      <c r="IW166" s="216"/>
      <c r="IX166" s="216"/>
      <c r="IY166" s="216"/>
      <c r="IZ166" s="216"/>
      <c r="JA166" s="216"/>
      <c r="JB166" s="216"/>
      <c r="JC166" s="216"/>
      <c r="JD166" s="216"/>
      <c r="JE166" s="216"/>
      <c r="JF166" s="216"/>
      <c r="JG166" s="216"/>
      <c r="JH166" s="216"/>
      <c r="JI166" s="216"/>
      <c r="JJ166" s="216"/>
      <c r="JK166" s="216"/>
      <c r="JL166" s="216"/>
      <c r="JM166" s="216"/>
      <c r="JN166" s="216"/>
      <c r="JO166" s="216"/>
      <c r="JP166" s="216"/>
      <c r="JQ166" s="216"/>
      <c r="JR166" s="216"/>
      <c r="JS166" s="216"/>
      <c r="JT166" s="216"/>
      <c r="JU166" s="216"/>
      <c r="JV166" s="216"/>
      <c r="JW166" s="216"/>
      <c r="JX166" s="216"/>
      <c r="JY166" s="216"/>
      <c r="JZ166" s="216"/>
      <c r="KA166" s="216"/>
      <c r="KB166" s="216"/>
      <c r="KC166" s="216"/>
      <c r="KD166" s="216"/>
      <c r="KE166" s="216"/>
      <c r="KF166" s="216"/>
      <c r="KG166" s="216"/>
      <c r="KH166" s="216"/>
      <c r="KI166" s="216"/>
      <c r="KJ166" s="216"/>
      <c r="KK166" s="216"/>
      <c r="KL166" s="216"/>
      <c r="KM166" s="216"/>
      <c r="KN166" s="216"/>
      <c r="KO166" s="216"/>
      <c r="KP166" s="216"/>
      <c r="KQ166" s="216"/>
      <c r="KR166" s="216"/>
      <c r="KS166" s="216"/>
      <c r="KT166" s="216"/>
      <c r="KU166" s="216"/>
      <c r="KV166" s="216"/>
      <c r="KW166" s="216"/>
      <c r="KX166" s="216"/>
      <c r="KY166" s="216"/>
      <c r="KZ166" s="216"/>
      <c r="LA166" s="216"/>
      <c r="LB166" s="216"/>
      <c r="LC166" s="216"/>
      <c r="LD166" s="216"/>
      <c r="LE166" s="216"/>
    </row>
    <row r="167" spans="1:317" x14ac:dyDescent="0.2">
      <c r="A167" s="179" t="s">
        <v>849</v>
      </c>
      <c r="B167" s="180" t="s">
        <v>1066</v>
      </c>
      <c r="C167" s="181"/>
      <c r="D167" s="182">
        <v>0</v>
      </c>
      <c r="E167" s="182">
        <v>0</v>
      </c>
      <c r="F167" s="183" t="s">
        <v>1314</v>
      </c>
      <c r="G167" s="183">
        <v>0</v>
      </c>
      <c r="H167" s="183">
        <v>0</v>
      </c>
      <c r="I167" s="183">
        <v>0</v>
      </c>
      <c r="J167" s="183">
        <v>0</v>
      </c>
      <c r="K167" s="183" t="s">
        <v>1368</v>
      </c>
      <c r="L167" s="183">
        <v>0</v>
      </c>
      <c r="M167" s="183">
        <v>0</v>
      </c>
      <c r="N167" s="183" t="s">
        <v>881</v>
      </c>
      <c r="O167" s="183">
        <v>0</v>
      </c>
      <c r="P167" s="183">
        <v>0</v>
      </c>
      <c r="Q167" s="183"/>
      <c r="R167" s="183"/>
      <c r="S167" s="183"/>
      <c r="T167" s="183"/>
      <c r="U167" s="183"/>
      <c r="V167" s="183">
        <v>0</v>
      </c>
      <c r="W167" s="183">
        <v>0</v>
      </c>
      <c r="X167" s="183">
        <v>0</v>
      </c>
      <c r="Y167" s="184">
        <v>0</v>
      </c>
      <c r="Z167" s="184">
        <v>0</v>
      </c>
      <c r="AA167" s="184">
        <v>0</v>
      </c>
      <c r="AB167" s="185" t="s">
        <v>615</v>
      </c>
      <c r="AC167" s="185" t="s">
        <v>615</v>
      </c>
      <c r="AD167" s="186" t="s">
        <v>881</v>
      </c>
      <c r="AE167" s="186" t="s">
        <v>858</v>
      </c>
      <c r="AF167" s="187">
        <v>7</v>
      </c>
      <c r="AG167" s="187">
        <v>3</v>
      </c>
      <c r="AH167" s="187">
        <v>4</v>
      </c>
      <c r="AI167" s="188">
        <v>1</v>
      </c>
      <c r="AJ167" s="188" t="s">
        <v>615</v>
      </c>
      <c r="AK167" s="187" t="s">
        <v>1738</v>
      </c>
      <c r="AL167" s="87" t="s">
        <v>615</v>
      </c>
      <c r="AM167" s="189"/>
      <c r="AN167" s="187" t="s">
        <v>615</v>
      </c>
      <c r="AO167" s="13" t="s">
        <v>615</v>
      </c>
      <c r="AP167" s="187">
        <v>0</v>
      </c>
      <c r="AQ167" s="187">
        <v>0</v>
      </c>
      <c r="AR167" s="190">
        <v>0</v>
      </c>
      <c r="AS167" s="190">
        <v>0</v>
      </c>
      <c r="AT167" s="190">
        <v>0</v>
      </c>
      <c r="AU167" s="187">
        <v>0</v>
      </c>
      <c r="AV167" s="187">
        <v>0</v>
      </c>
      <c r="AW167" s="191"/>
      <c r="AX167" s="192"/>
      <c r="AY167" s="193">
        <v>42666</v>
      </c>
      <c r="AZ167" s="193"/>
      <c r="BA167" s="193"/>
      <c r="BB167" s="194"/>
      <c r="BC167" s="194"/>
      <c r="BD167" s="195"/>
      <c r="BE167" s="195" t="s">
        <v>532</v>
      </c>
      <c r="BF167" s="195"/>
      <c r="BG167" s="195">
        <v>48</v>
      </c>
      <c r="BH167" s="196" t="s">
        <v>547</v>
      </c>
      <c r="BI167" s="197">
        <v>1</v>
      </c>
      <c r="BJ167" s="198"/>
      <c r="BK167" s="199">
        <v>0</v>
      </c>
      <c r="BL167" s="13">
        <v>0</v>
      </c>
      <c r="BM167" s="13">
        <v>0</v>
      </c>
      <c r="BN167" s="13" t="s">
        <v>616</v>
      </c>
      <c r="BO167" s="13" t="s">
        <v>616</v>
      </c>
      <c r="BP167" s="200">
        <v>0</v>
      </c>
      <c r="BQ167" s="201"/>
      <c r="BR167" s="202"/>
      <c r="BS167" s="187">
        <v>1000000000</v>
      </c>
      <c r="BT167" s="203">
        <v>0</v>
      </c>
      <c r="BU167" s="204">
        <v>0</v>
      </c>
      <c r="BV167" s="203">
        <v>0</v>
      </c>
      <c r="BW167" s="205">
        <v>0</v>
      </c>
      <c r="BX167" s="205">
        <v>0</v>
      </c>
      <c r="BY167" s="205">
        <v>0</v>
      </c>
      <c r="BZ167" s="203">
        <v>0</v>
      </c>
      <c r="CA167" s="203">
        <v>0</v>
      </c>
      <c r="CB167" s="203">
        <v>0</v>
      </c>
      <c r="CC167" s="204">
        <v>0</v>
      </c>
      <c r="CD167" s="203">
        <v>0</v>
      </c>
      <c r="CE167" s="203">
        <v>0</v>
      </c>
      <c r="CF167" s="13">
        <v>0</v>
      </c>
      <c r="CG167" s="206">
        <v>0</v>
      </c>
      <c r="CH167" s="207">
        <v>0</v>
      </c>
      <c r="CI167" s="201"/>
      <c r="CJ167" s="208"/>
      <c r="CK167" s="209" t="s">
        <v>615</v>
      </c>
      <c r="CL167" s="210" t="s">
        <v>615</v>
      </c>
      <c r="CM167" s="207">
        <v>0</v>
      </c>
      <c r="CN167" s="207">
        <v>0</v>
      </c>
      <c r="CO167" s="204">
        <v>0</v>
      </c>
      <c r="CP167" s="204">
        <v>0</v>
      </c>
      <c r="CQ167" s="211"/>
      <c r="CR167" s="204">
        <v>1</v>
      </c>
      <c r="CS167" s="212">
        <v>42558</v>
      </c>
      <c r="CT167" s="212">
        <v>42780</v>
      </c>
      <c r="CU167" s="213">
        <v>42780</v>
      </c>
      <c r="CV167" s="214">
        <v>42829</v>
      </c>
      <c r="CW167" s="214" t="s">
        <v>615</v>
      </c>
      <c r="CX167" s="214" t="s">
        <v>615</v>
      </c>
      <c r="CY167" s="204">
        <v>1</v>
      </c>
      <c r="CZ167" s="204">
        <v>0.97959183673469385</v>
      </c>
      <c r="DA167" s="203">
        <v>0</v>
      </c>
      <c r="DB167" s="204">
        <v>0.97959183673469385</v>
      </c>
      <c r="DC167" s="204">
        <v>0</v>
      </c>
      <c r="DD167" s="204">
        <v>0</v>
      </c>
      <c r="DE167" s="204">
        <v>0</v>
      </c>
      <c r="DF167" s="215">
        <v>0</v>
      </c>
      <c r="DG167" s="13" t="s">
        <v>615</v>
      </c>
      <c r="DH167" s="86">
        <v>165</v>
      </c>
      <c r="DI167" s="86"/>
      <c r="DJ167" s="86">
        <v>161</v>
      </c>
      <c r="DK167" s="86" t="s">
        <v>1620</v>
      </c>
      <c r="DL167" s="86" t="e">
        <v>#N/A</v>
      </c>
      <c r="DM167" s="86" t="e">
        <v>#N/A</v>
      </c>
      <c r="DN167" s="86" t="e">
        <v>#N/A</v>
      </c>
      <c r="DO167" s="86">
        <v>323</v>
      </c>
      <c r="DP167" s="86">
        <v>5</v>
      </c>
      <c r="DQ167" s="86">
        <v>49</v>
      </c>
      <c r="DR167" s="146">
        <v>0</v>
      </c>
      <c r="DS167" s="146">
        <v>0</v>
      </c>
      <c r="DT167" s="146">
        <v>0</v>
      </c>
      <c r="DU167" s="146">
        <v>0</v>
      </c>
      <c r="DV167" s="146">
        <v>0</v>
      </c>
      <c r="DW167" s="146">
        <v>0</v>
      </c>
      <c r="DX167" s="146">
        <v>0</v>
      </c>
      <c r="DY167" s="146">
        <v>0</v>
      </c>
      <c r="DZ167" s="146">
        <v>0</v>
      </c>
      <c r="EA167" s="146">
        <v>0</v>
      </c>
      <c r="EB167" s="146">
        <v>0</v>
      </c>
      <c r="EC167" s="146">
        <v>0</v>
      </c>
      <c r="ED167" s="146">
        <v>0</v>
      </c>
      <c r="EE167" s="146">
        <v>0</v>
      </c>
      <c r="EF167" s="146">
        <v>0</v>
      </c>
      <c r="EG167" s="146">
        <v>0</v>
      </c>
      <c r="EH167" s="146">
        <v>0</v>
      </c>
      <c r="EI167" s="146">
        <v>0</v>
      </c>
      <c r="EJ167" s="146">
        <v>0</v>
      </c>
      <c r="EK167" s="146">
        <v>0</v>
      </c>
      <c r="EL167" s="146">
        <v>0</v>
      </c>
      <c r="EM167" s="146">
        <v>0</v>
      </c>
      <c r="EN167" s="146">
        <v>0</v>
      </c>
      <c r="EO167" s="146">
        <v>0</v>
      </c>
      <c r="EP167" s="146">
        <v>0</v>
      </c>
      <c r="EQ167" s="146">
        <v>0</v>
      </c>
      <c r="ER167" s="146">
        <v>0</v>
      </c>
      <c r="ES167" s="146">
        <v>0</v>
      </c>
      <c r="ET167" s="146">
        <v>0</v>
      </c>
      <c r="EU167" s="146">
        <v>0</v>
      </c>
      <c r="EV167" s="146">
        <v>0</v>
      </c>
      <c r="EW167" s="146">
        <v>0</v>
      </c>
      <c r="EX167" s="146">
        <v>0</v>
      </c>
      <c r="EY167" s="146">
        <v>0</v>
      </c>
      <c r="EZ167" s="146">
        <v>0</v>
      </c>
      <c r="FA167" s="146">
        <v>0</v>
      </c>
      <c r="FB167" s="146">
        <v>0</v>
      </c>
      <c r="FC167" s="146">
        <v>0</v>
      </c>
      <c r="FD167" s="146">
        <v>0</v>
      </c>
      <c r="FE167" s="146">
        <v>0</v>
      </c>
      <c r="FF167" s="146">
        <v>0</v>
      </c>
      <c r="FG167" s="146">
        <v>0</v>
      </c>
      <c r="FH167" s="146">
        <v>0</v>
      </c>
      <c r="FI167" s="146">
        <v>0</v>
      </c>
      <c r="FJ167" s="146">
        <v>0</v>
      </c>
      <c r="FK167" s="146">
        <v>0</v>
      </c>
      <c r="FL167" s="146">
        <v>0</v>
      </c>
      <c r="FM167" s="146">
        <v>0</v>
      </c>
      <c r="FN167" s="146">
        <v>0</v>
      </c>
      <c r="FO167" s="146">
        <v>0</v>
      </c>
      <c r="FP167" s="146">
        <v>0</v>
      </c>
      <c r="FQ167" s="146">
        <v>0</v>
      </c>
      <c r="FR167" s="146">
        <v>0</v>
      </c>
      <c r="FS167" s="146">
        <v>0</v>
      </c>
      <c r="FT167" s="146">
        <v>0</v>
      </c>
      <c r="FU167" s="146">
        <v>0</v>
      </c>
      <c r="FV167" s="146">
        <v>0</v>
      </c>
      <c r="FW167" s="146">
        <v>0</v>
      </c>
      <c r="FX167" s="146">
        <v>0</v>
      </c>
      <c r="FY167" s="146">
        <v>0</v>
      </c>
      <c r="FZ167" s="146">
        <v>0</v>
      </c>
      <c r="GA167" s="146">
        <v>0</v>
      </c>
      <c r="GB167" s="146">
        <v>0</v>
      </c>
      <c r="GC167" s="146">
        <v>0</v>
      </c>
      <c r="GD167" s="146">
        <v>0</v>
      </c>
      <c r="GE167" s="146">
        <v>0</v>
      </c>
      <c r="GF167" s="146">
        <v>0</v>
      </c>
      <c r="GG167" s="146">
        <v>0</v>
      </c>
      <c r="GH167" s="146">
        <v>0</v>
      </c>
      <c r="GI167" s="146">
        <v>0</v>
      </c>
      <c r="GJ167" s="146">
        <v>0</v>
      </c>
      <c r="GK167" s="146">
        <v>0</v>
      </c>
      <c r="GL167" s="146">
        <v>0</v>
      </c>
      <c r="GM167" s="146">
        <v>0</v>
      </c>
      <c r="GN167" s="146">
        <v>0</v>
      </c>
      <c r="GO167" s="146">
        <v>0</v>
      </c>
      <c r="GP167" s="146">
        <v>0</v>
      </c>
      <c r="GQ167" s="146">
        <v>0</v>
      </c>
      <c r="GR167" s="146">
        <v>0</v>
      </c>
      <c r="GS167" s="146">
        <v>0</v>
      </c>
      <c r="GT167" s="146">
        <v>0</v>
      </c>
      <c r="GU167" s="146">
        <v>0</v>
      </c>
      <c r="GV167" s="146">
        <v>0</v>
      </c>
      <c r="GW167" s="146">
        <v>0</v>
      </c>
      <c r="GX167" s="146">
        <v>0</v>
      </c>
      <c r="GY167" s="146">
        <v>0</v>
      </c>
      <c r="GZ167" s="146">
        <v>0</v>
      </c>
      <c r="HA167" s="146">
        <v>0</v>
      </c>
      <c r="HB167" s="146">
        <v>0</v>
      </c>
      <c r="HC167" s="146">
        <v>0</v>
      </c>
      <c r="HD167" s="146">
        <v>0</v>
      </c>
      <c r="HE167" s="146">
        <v>0</v>
      </c>
      <c r="HF167" s="146">
        <v>0</v>
      </c>
      <c r="HG167" s="146">
        <v>0</v>
      </c>
      <c r="HH167" s="146">
        <v>0</v>
      </c>
      <c r="HI167" s="146">
        <v>0</v>
      </c>
      <c r="HJ167" s="146">
        <v>0</v>
      </c>
      <c r="HK167" s="146">
        <v>0</v>
      </c>
      <c r="HL167" s="146">
        <v>0</v>
      </c>
      <c r="HM167" s="146">
        <v>0</v>
      </c>
      <c r="HN167" s="146">
        <v>0</v>
      </c>
      <c r="HO167" s="146">
        <v>0</v>
      </c>
      <c r="HP167" s="146">
        <v>0</v>
      </c>
      <c r="HQ167" s="146">
        <v>0</v>
      </c>
      <c r="HR167" s="146">
        <v>0</v>
      </c>
      <c r="HS167" s="146">
        <v>0</v>
      </c>
      <c r="HT167" s="146">
        <v>0</v>
      </c>
      <c r="HU167" s="151"/>
      <c r="HV167" s="146">
        <v>0</v>
      </c>
      <c r="HW167" s="151"/>
      <c r="HX167" s="151"/>
      <c r="HY167" s="151"/>
      <c r="HZ167" s="151"/>
      <c r="IA167" s="151"/>
      <c r="IB167" s="151"/>
      <c r="IC167" s="151"/>
      <c r="ID167" s="151"/>
      <c r="IE167" s="151"/>
      <c r="IF167" s="151"/>
      <c r="IG167" s="151"/>
      <c r="IH167" s="151"/>
      <c r="II167" s="151"/>
      <c r="IJ167" s="151"/>
      <c r="IK167" s="151"/>
      <c r="IL167" s="151"/>
      <c r="IM167" s="151"/>
      <c r="IN167" s="151"/>
      <c r="IO167" s="151"/>
      <c r="IP167" s="151"/>
      <c r="IQ167" s="151"/>
      <c r="IR167" s="151"/>
      <c r="IS167" s="151"/>
      <c r="IT167" s="151"/>
      <c r="IU167" s="151"/>
      <c r="IV167" s="151"/>
      <c r="IW167" s="151"/>
      <c r="IX167" s="151"/>
      <c r="IY167" s="151"/>
      <c r="IZ167" s="151"/>
      <c r="JA167" s="151"/>
      <c r="JB167" s="151"/>
      <c r="JC167" s="151"/>
      <c r="JD167" s="151"/>
      <c r="JE167" s="151"/>
      <c r="JF167" s="151"/>
      <c r="JG167" s="151"/>
      <c r="JH167" s="151"/>
      <c r="JI167" s="151"/>
      <c r="JJ167" s="151"/>
      <c r="JK167" s="151"/>
      <c r="JL167" s="151"/>
      <c r="JM167" s="151"/>
      <c r="JN167" s="151"/>
      <c r="JO167" s="151"/>
      <c r="JP167" s="151"/>
      <c r="JQ167" s="151"/>
      <c r="JR167" s="151"/>
      <c r="JS167" s="151"/>
      <c r="JT167" s="151"/>
      <c r="JU167" s="151"/>
      <c r="JV167" s="151"/>
      <c r="JW167" s="151"/>
      <c r="JX167" s="151"/>
      <c r="JY167" s="151"/>
      <c r="JZ167" s="151"/>
      <c r="KA167" s="151"/>
      <c r="KB167" s="151"/>
      <c r="KC167" s="151"/>
      <c r="KD167" s="151"/>
      <c r="KE167" s="151"/>
      <c r="KF167" s="151"/>
      <c r="KG167" s="151"/>
      <c r="KH167" s="151"/>
      <c r="KI167" s="151"/>
      <c r="KJ167" s="151"/>
      <c r="KK167" s="151"/>
      <c r="KL167" s="151"/>
      <c r="KM167" s="151"/>
      <c r="KN167" s="151"/>
      <c r="KO167" s="151"/>
      <c r="KP167" s="151"/>
      <c r="KQ167" s="151"/>
      <c r="KR167" s="151"/>
      <c r="KS167" s="151"/>
      <c r="KT167" s="151"/>
      <c r="KU167" s="151"/>
      <c r="KV167" s="151"/>
      <c r="KW167" s="151"/>
      <c r="KX167" s="151"/>
      <c r="KY167" s="151"/>
      <c r="KZ167" s="151"/>
      <c r="LA167" s="151"/>
      <c r="LB167" s="151"/>
      <c r="LC167" s="151"/>
      <c r="LD167" s="151"/>
      <c r="LE167" s="151"/>
    </row>
    <row r="168" spans="1:317" x14ac:dyDescent="0.2">
      <c r="A168" s="179" t="s">
        <v>849</v>
      </c>
      <c r="B168" s="180" t="s">
        <v>1067</v>
      </c>
      <c r="C168" s="181"/>
      <c r="D168" s="182">
        <v>0</v>
      </c>
      <c r="E168" s="182">
        <v>0</v>
      </c>
      <c r="F168" s="183" t="s">
        <v>1314</v>
      </c>
      <c r="G168" s="183">
        <v>0</v>
      </c>
      <c r="H168" s="183">
        <v>0</v>
      </c>
      <c r="I168" s="183">
        <v>0</v>
      </c>
      <c r="J168" s="183">
        <v>0</v>
      </c>
      <c r="K168" s="183" t="s">
        <v>1368</v>
      </c>
      <c r="L168" s="183">
        <v>0</v>
      </c>
      <c r="M168" s="183">
        <v>0</v>
      </c>
      <c r="N168" s="183" t="s">
        <v>881</v>
      </c>
      <c r="O168" s="183">
        <v>0</v>
      </c>
      <c r="P168" s="183">
        <v>0</v>
      </c>
      <c r="Q168" s="183"/>
      <c r="R168" s="183"/>
      <c r="S168" s="183"/>
      <c r="T168" s="183"/>
      <c r="U168" s="183"/>
      <c r="V168" s="183">
        <v>0</v>
      </c>
      <c r="W168" s="183">
        <v>0</v>
      </c>
      <c r="X168" s="183">
        <v>0</v>
      </c>
      <c r="Y168" s="184">
        <v>0</v>
      </c>
      <c r="Z168" s="184">
        <v>0</v>
      </c>
      <c r="AA168" s="184">
        <v>0</v>
      </c>
      <c r="AB168" s="185" t="s">
        <v>615</v>
      </c>
      <c r="AC168" s="185" t="s">
        <v>615</v>
      </c>
      <c r="AD168" s="186" t="s">
        <v>881</v>
      </c>
      <c r="AE168" s="186" t="s">
        <v>858</v>
      </c>
      <c r="AF168" s="187">
        <v>7</v>
      </c>
      <c r="AG168" s="187">
        <v>3</v>
      </c>
      <c r="AH168" s="187">
        <v>4</v>
      </c>
      <c r="AI168" s="188">
        <v>1</v>
      </c>
      <c r="AJ168" s="188" t="s">
        <v>615</v>
      </c>
      <c r="AK168" s="187" t="s">
        <v>1738</v>
      </c>
      <c r="AL168" s="87" t="s">
        <v>615</v>
      </c>
      <c r="AM168" s="189"/>
      <c r="AN168" s="187" t="s">
        <v>615</v>
      </c>
      <c r="AO168" s="13" t="s">
        <v>615</v>
      </c>
      <c r="AP168" s="187">
        <v>0</v>
      </c>
      <c r="AQ168" s="187">
        <v>0</v>
      </c>
      <c r="AR168" s="190">
        <v>0</v>
      </c>
      <c r="AS168" s="190">
        <v>0</v>
      </c>
      <c r="AT168" s="190">
        <v>0</v>
      </c>
      <c r="AU168" s="187">
        <v>0</v>
      </c>
      <c r="AV168" s="187">
        <v>0</v>
      </c>
      <c r="AW168" s="191"/>
      <c r="AX168" s="192"/>
      <c r="AY168" s="193">
        <v>42666</v>
      </c>
      <c r="AZ168" s="193"/>
      <c r="BA168" s="193"/>
      <c r="BB168" s="194"/>
      <c r="BC168" s="194"/>
      <c r="BD168" s="195"/>
      <c r="BE168" s="195" t="s">
        <v>532</v>
      </c>
      <c r="BF168" s="195"/>
      <c r="BG168" s="195">
        <v>48</v>
      </c>
      <c r="BH168" s="196" t="s">
        <v>547</v>
      </c>
      <c r="BI168" s="197">
        <v>1</v>
      </c>
      <c r="BJ168" s="198"/>
      <c r="BK168" s="199">
        <v>0</v>
      </c>
      <c r="BL168" s="13">
        <v>0</v>
      </c>
      <c r="BM168" s="13">
        <v>0</v>
      </c>
      <c r="BN168" s="13" t="s">
        <v>616</v>
      </c>
      <c r="BO168" s="13" t="s">
        <v>616</v>
      </c>
      <c r="BP168" s="200">
        <v>0</v>
      </c>
      <c r="BQ168" s="201"/>
      <c r="BR168" s="202"/>
      <c r="BS168" s="187">
        <v>1000000000</v>
      </c>
      <c r="BT168" s="203">
        <v>0</v>
      </c>
      <c r="BU168" s="204">
        <v>0</v>
      </c>
      <c r="BV168" s="203">
        <v>0</v>
      </c>
      <c r="BW168" s="205">
        <v>0</v>
      </c>
      <c r="BX168" s="205">
        <v>0</v>
      </c>
      <c r="BY168" s="205">
        <v>0</v>
      </c>
      <c r="BZ168" s="203">
        <v>0</v>
      </c>
      <c r="CA168" s="203">
        <v>0</v>
      </c>
      <c r="CB168" s="203">
        <v>0</v>
      </c>
      <c r="CC168" s="204">
        <v>0</v>
      </c>
      <c r="CD168" s="203">
        <v>0</v>
      </c>
      <c r="CE168" s="203">
        <v>0</v>
      </c>
      <c r="CF168" s="13">
        <v>0</v>
      </c>
      <c r="CG168" s="206">
        <v>0</v>
      </c>
      <c r="CH168" s="207">
        <v>0</v>
      </c>
      <c r="CI168" s="201"/>
      <c r="CJ168" s="208"/>
      <c r="CK168" s="209" t="s">
        <v>615</v>
      </c>
      <c r="CL168" s="210" t="s">
        <v>615</v>
      </c>
      <c r="CM168" s="207">
        <v>0</v>
      </c>
      <c r="CN168" s="207">
        <v>0</v>
      </c>
      <c r="CO168" s="204">
        <v>0</v>
      </c>
      <c r="CP168" s="204">
        <v>0</v>
      </c>
      <c r="CQ168" s="211"/>
      <c r="CR168" s="204">
        <v>1</v>
      </c>
      <c r="CS168" s="212">
        <v>42558</v>
      </c>
      <c r="CT168" s="212">
        <v>42780</v>
      </c>
      <c r="CU168" s="213">
        <v>42780</v>
      </c>
      <c r="CV168" s="214">
        <v>42829</v>
      </c>
      <c r="CW168" s="214" t="s">
        <v>615</v>
      </c>
      <c r="CX168" s="214" t="s">
        <v>615</v>
      </c>
      <c r="CY168" s="204">
        <v>1</v>
      </c>
      <c r="CZ168" s="204">
        <v>0.97959183673469385</v>
      </c>
      <c r="DA168" s="203">
        <v>0</v>
      </c>
      <c r="DB168" s="204">
        <v>0.97959183673469385</v>
      </c>
      <c r="DC168" s="204">
        <v>0</v>
      </c>
      <c r="DD168" s="204">
        <v>0</v>
      </c>
      <c r="DE168" s="204">
        <v>0</v>
      </c>
      <c r="DF168" s="215">
        <v>0</v>
      </c>
      <c r="DG168" s="13" t="s">
        <v>615</v>
      </c>
      <c r="DH168" s="86">
        <v>166</v>
      </c>
      <c r="DI168" s="86"/>
      <c r="DJ168" s="86">
        <v>162</v>
      </c>
      <c r="DK168" s="86" t="s">
        <v>1621</v>
      </c>
      <c r="DL168" s="86" t="e">
        <v>#N/A</v>
      </c>
      <c r="DM168" s="86" t="e">
        <v>#N/A</v>
      </c>
      <c r="DN168" s="86" t="e">
        <v>#N/A</v>
      </c>
      <c r="DO168" s="86">
        <v>324</v>
      </c>
      <c r="DP168" s="86">
        <v>5</v>
      </c>
      <c r="DQ168" s="86">
        <v>49</v>
      </c>
      <c r="DR168" s="152">
        <v>0</v>
      </c>
      <c r="DS168" s="152">
        <v>0</v>
      </c>
      <c r="DT168" s="152">
        <v>0</v>
      </c>
      <c r="DU168" s="152">
        <v>0</v>
      </c>
      <c r="DV168" s="152">
        <v>0</v>
      </c>
      <c r="DW168" s="152">
        <v>0</v>
      </c>
      <c r="DX168" s="152">
        <v>0</v>
      </c>
      <c r="DY168" s="152">
        <v>0</v>
      </c>
      <c r="DZ168" s="152">
        <v>0</v>
      </c>
      <c r="EA168" s="152">
        <v>0</v>
      </c>
      <c r="EB168" s="152">
        <v>0</v>
      </c>
      <c r="EC168" s="152">
        <v>0</v>
      </c>
      <c r="ED168" s="152">
        <v>0</v>
      </c>
      <c r="EE168" s="152">
        <v>0</v>
      </c>
      <c r="EF168" s="152">
        <v>0</v>
      </c>
      <c r="EG168" s="152">
        <v>0</v>
      </c>
      <c r="EH168" s="152">
        <v>0</v>
      </c>
      <c r="EI168" s="152">
        <v>0</v>
      </c>
      <c r="EJ168" s="152">
        <v>0</v>
      </c>
      <c r="EK168" s="152">
        <v>0</v>
      </c>
      <c r="EL168" s="152">
        <v>0</v>
      </c>
      <c r="EM168" s="152">
        <v>0</v>
      </c>
      <c r="EN168" s="152">
        <v>0</v>
      </c>
      <c r="EO168" s="152">
        <v>0</v>
      </c>
      <c r="EP168" s="152">
        <v>0</v>
      </c>
      <c r="EQ168" s="152">
        <v>0</v>
      </c>
      <c r="ER168" s="152">
        <v>0</v>
      </c>
      <c r="ES168" s="152">
        <v>0</v>
      </c>
      <c r="ET168" s="152">
        <v>0</v>
      </c>
      <c r="EU168" s="152">
        <v>0</v>
      </c>
      <c r="EV168" s="152">
        <v>0</v>
      </c>
      <c r="EW168" s="152">
        <v>0</v>
      </c>
      <c r="EX168" s="152">
        <v>0</v>
      </c>
      <c r="EY168" s="152">
        <v>0</v>
      </c>
      <c r="EZ168" s="152">
        <v>0</v>
      </c>
      <c r="FA168" s="152">
        <v>0</v>
      </c>
      <c r="FB168" s="152">
        <v>0</v>
      </c>
      <c r="FC168" s="152">
        <v>0</v>
      </c>
      <c r="FD168" s="152">
        <v>0</v>
      </c>
      <c r="FE168" s="152">
        <v>0</v>
      </c>
      <c r="FF168" s="152">
        <v>0</v>
      </c>
      <c r="FG168" s="152">
        <v>0</v>
      </c>
      <c r="FH168" s="152">
        <v>0</v>
      </c>
      <c r="FI168" s="152">
        <v>0</v>
      </c>
      <c r="FJ168" s="152">
        <v>0</v>
      </c>
      <c r="FK168" s="152">
        <v>0</v>
      </c>
      <c r="FL168" s="152">
        <v>0</v>
      </c>
      <c r="FM168" s="152">
        <v>0</v>
      </c>
      <c r="FN168" s="152">
        <v>0</v>
      </c>
      <c r="FO168" s="152">
        <v>0</v>
      </c>
      <c r="FP168" s="152">
        <v>0</v>
      </c>
      <c r="FQ168" s="152">
        <v>0</v>
      </c>
      <c r="FR168" s="152">
        <v>0</v>
      </c>
      <c r="FS168" s="152">
        <v>0</v>
      </c>
      <c r="FT168" s="152">
        <v>0</v>
      </c>
      <c r="FU168" s="152">
        <v>0</v>
      </c>
      <c r="FV168" s="152">
        <v>0</v>
      </c>
      <c r="FW168" s="152">
        <v>0</v>
      </c>
      <c r="FX168" s="152">
        <v>0</v>
      </c>
      <c r="FY168" s="152">
        <v>0</v>
      </c>
      <c r="FZ168" s="152">
        <v>0</v>
      </c>
      <c r="GA168" s="152">
        <v>0</v>
      </c>
      <c r="GB168" s="152">
        <v>0</v>
      </c>
      <c r="GC168" s="152">
        <v>0</v>
      </c>
      <c r="GD168" s="152">
        <v>0</v>
      </c>
      <c r="GE168" s="152">
        <v>0</v>
      </c>
      <c r="GF168" s="152">
        <v>0</v>
      </c>
      <c r="GG168" s="152">
        <v>0</v>
      </c>
      <c r="GH168" s="152">
        <v>0</v>
      </c>
      <c r="GI168" s="152">
        <v>0</v>
      </c>
      <c r="GJ168" s="152">
        <v>0</v>
      </c>
      <c r="GK168" s="152">
        <v>0</v>
      </c>
      <c r="GL168" s="152">
        <v>0</v>
      </c>
      <c r="GM168" s="152">
        <v>0</v>
      </c>
      <c r="GN168" s="152">
        <v>0</v>
      </c>
      <c r="GO168" s="152">
        <v>0</v>
      </c>
      <c r="GP168" s="152">
        <v>0</v>
      </c>
      <c r="GQ168" s="152">
        <v>0</v>
      </c>
      <c r="GR168" s="152">
        <v>0</v>
      </c>
      <c r="GS168" s="152">
        <v>0</v>
      </c>
      <c r="GT168" s="152">
        <v>0</v>
      </c>
      <c r="GU168" s="152">
        <v>0</v>
      </c>
      <c r="GV168" s="152">
        <v>0</v>
      </c>
      <c r="GW168" s="152">
        <v>0</v>
      </c>
      <c r="GX168" s="152">
        <v>0</v>
      </c>
      <c r="GY168" s="152">
        <v>0</v>
      </c>
      <c r="GZ168" s="152">
        <v>0</v>
      </c>
      <c r="HA168" s="152">
        <v>0</v>
      </c>
      <c r="HB168" s="152">
        <v>0</v>
      </c>
      <c r="HC168" s="152">
        <v>0</v>
      </c>
      <c r="HD168" s="152">
        <v>0</v>
      </c>
      <c r="HE168" s="152">
        <v>0</v>
      </c>
      <c r="HF168" s="152">
        <v>0</v>
      </c>
      <c r="HG168" s="152">
        <v>0</v>
      </c>
      <c r="HH168" s="152">
        <v>0</v>
      </c>
      <c r="HI168" s="152">
        <v>0</v>
      </c>
      <c r="HJ168" s="152">
        <v>0</v>
      </c>
      <c r="HK168" s="152">
        <v>0</v>
      </c>
      <c r="HL168" s="152">
        <v>0</v>
      </c>
      <c r="HM168" s="152">
        <v>0</v>
      </c>
      <c r="HN168" s="152">
        <v>0</v>
      </c>
      <c r="HO168" s="152">
        <v>0</v>
      </c>
      <c r="HP168" s="152">
        <v>0</v>
      </c>
      <c r="HQ168" s="152">
        <v>0</v>
      </c>
      <c r="HR168" s="152">
        <v>0</v>
      </c>
      <c r="HS168" s="152">
        <v>0</v>
      </c>
      <c r="HT168" s="152">
        <v>0</v>
      </c>
      <c r="HU168" s="216"/>
      <c r="HV168" s="152">
        <v>0</v>
      </c>
      <c r="HW168" s="216"/>
      <c r="HX168" s="216"/>
      <c r="HY168" s="216"/>
      <c r="HZ168" s="216"/>
      <c r="IA168" s="216"/>
      <c r="IB168" s="216"/>
      <c r="IC168" s="216"/>
      <c r="ID168" s="216"/>
      <c r="IE168" s="216"/>
      <c r="IF168" s="216"/>
      <c r="IG168" s="216"/>
      <c r="IH168" s="216"/>
      <c r="II168" s="216"/>
      <c r="IJ168" s="216"/>
      <c r="IK168" s="216"/>
      <c r="IL168" s="216"/>
      <c r="IM168" s="216"/>
      <c r="IN168" s="216"/>
      <c r="IO168" s="216"/>
      <c r="IP168" s="216"/>
      <c r="IQ168" s="216"/>
      <c r="IR168" s="216"/>
      <c r="IS168" s="216"/>
      <c r="IT168" s="216"/>
      <c r="IU168" s="216"/>
      <c r="IV168" s="216"/>
      <c r="IW168" s="216"/>
      <c r="IX168" s="216"/>
      <c r="IY168" s="216"/>
      <c r="IZ168" s="216"/>
      <c r="JA168" s="216"/>
      <c r="JB168" s="216"/>
      <c r="JC168" s="216"/>
      <c r="JD168" s="216"/>
      <c r="JE168" s="216"/>
      <c r="JF168" s="216"/>
      <c r="JG168" s="216"/>
      <c r="JH168" s="216"/>
      <c r="JI168" s="216"/>
      <c r="JJ168" s="216"/>
      <c r="JK168" s="216"/>
      <c r="JL168" s="216"/>
      <c r="JM168" s="216"/>
      <c r="JN168" s="216"/>
      <c r="JO168" s="216"/>
      <c r="JP168" s="216"/>
      <c r="JQ168" s="216"/>
      <c r="JR168" s="216"/>
      <c r="JS168" s="216"/>
      <c r="JT168" s="216"/>
      <c r="JU168" s="216"/>
      <c r="JV168" s="216"/>
      <c r="JW168" s="216"/>
      <c r="JX168" s="216"/>
      <c r="JY168" s="216"/>
      <c r="JZ168" s="216"/>
      <c r="KA168" s="216"/>
      <c r="KB168" s="216"/>
      <c r="KC168" s="216"/>
      <c r="KD168" s="216"/>
      <c r="KE168" s="216"/>
      <c r="KF168" s="216"/>
      <c r="KG168" s="216"/>
      <c r="KH168" s="216"/>
      <c r="KI168" s="216"/>
      <c r="KJ168" s="216"/>
      <c r="KK168" s="216"/>
      <c r="KL168" s="216"/>
      <c r="KM168" s="216"/>
      <c r="KN168" s="216"/>
      <c r="KO168" s="216"/>
      <c r="KP168" s="216"/>
      <c r="KQ168" s="216"/>
      <c r="KR168" s="216"/>
      <c r="KS168" s="216"/>
      <c r="KT168" s="216"/>
      <c r="KU168" s="216"/>
      <c r="KV168" s="216"/>
      <c r="KW168" s="216"/>
      <c r="KX168" s="216"/>
      <c r="KY168" s="216"/>
      <c r="KZ168" s="216"/>
      <c r="LA168" s="216"/>
      <c r="LB168" s="216"/>
      <c r="LC168" s="216"/>
      <c r="LD168" s="216"/>
      <c r="LE168" s="216"/>
    </row>
    <row r="169" spans="1:317" x14ac:dyDescent="0.2">
      <c r="A169" s="179" t="s">
        <v>849</v>
      </c>
      <c r="B169" s="180" t="s">
        <v>1068</v>
      </c>
      <c r="C169" s="181"/>
      <c r="D169" s="182">
        <v>0</v>
      </c>
      <c r="E169" s="182">
        <v>0</v>
      </c>
      <c r="F169" s="183" t="s">
        <v>1314</v>
      </c>
      <c r="G169" s="183">
        <v>0</v>
      </c>
      <c r="H169" s="183">
        <v>0</v>
      </c>
      <c r="I169" s="183">
        <v>0</v>
      </c>
      <c r="J169" s="183">
        <v>0</v>
      </c>
      <c r="K169" s="183" t="s">
        <v>1368</v>
      </c>
      <c r="L169" s="183">
        <v>0</v>
      </c>
      <c r="M169" s="183">
        <v>0</v>
      </c>
      <c r="N169" s="183" t="s">
        <v>881</v>
      </c>
      <c r="O169" s="183">
        <v>0</v>
      </c>
      <c r="P169" s="183">
        <v>0</v>
      </c>
      <c r="Q169" s="183"/>
      <c r="R169" s="183"/>
      <c r="S169" s="183"/>
      <c r="T169" s="183"/>
      <c r="U169" s="183"/>
      <c r="V169" s="183">
        <v>0</v>
      </c>
      <c r="W169" s="183">
        <v>0</v>
      </c>
      <c r="X169" s="183">
        <v>0</v>
      </c>
      <c r="Y169" s="184">
        <v>0</v>
      </c>
      <c r="Z169" s="184">
        <v>0</v>
      </c>
      <c r="AA169" s="184">
        <v>0</v>
      </c>
      <c r="AB169" s="185" t="s">
        <v>615</v>
      </c>
      <c r="AC169" s="185" t="s">
        <v>615</v>
      </c>
      <c r="AD169" s="186" t="s">
        <v>881</v>
      </c>
      <c r="AE169" s="186" t="s">
        <v>858</v>
      </c>
      <c r="AF169" s="187">
        <v>7</v>
      </c>
      <c r="AG169" s="187">
        <v>3</v>
      </c>
      <c r="AH169" s="187">
        <v>4</v>
      </c>
      <c r="AI169" s="188">
        <v>1</v>
      </c>
      <c r="AJ169" s="188" t="s">
        <v>615</v>
      </c>
      <c r="AK169" s="187" t="s">
        <v>1738</v>
      </c>
      <c r="AL169" s="87" t="s">
        <v>615</v>
      </c>
      <c r="AM169" s="189"/>
      <c r="AN169" s="187" t="s">
        <v>615</v>
      </c>
      <c r="AO169" s="13" t="s">
        <v>615</v>
      </c>
      <c r="AP169" s="187">
        <v>0</v>
      </c>
      <c r="AQ169" s="187">
        <v>0</v>
      </c>
      <c r="AR169" s="190">
        <v>0</v>
      </c>
      <c r="AS169" s="190">
        <v>0</v>
      </c>
      <c r="AT169" s="190">
        <v>0</v>
      </c>
      <c r="AU169" s="187">
        <v>0</v>
      </c>
      <c r="AV169" s="187">
        <v>0</v>
      </c>
      <c r="AW169" s="191"/>
      <c r="AX169" s="192"/>
      <c r="AY169" s="193">
        <v>42666</v>
      </c>
      <c r="AZ169" s="193"/>
      <c r="BA169" s="193"/>
      <c r="BB169" s="194"/>
      <c r="BC169" s="194"/>
      <c r="BD169" s="195"/>
      <c r="BE169" s="195" t="s">
        <v>532</v>
      </c>
      <c r="BF169" s="195"/>
      <c r="BG169" s="195">
        <v>48</v>
      </c>
      <c r="BH169" s="196" t="s">
        <v>547</v>
      </c>
      <c r="BI169" s="197">
        <v>1</v>
      </c>
      <c r="BJ169" s="198"/>
      <c r="BK169" s="199">
        <v>0</v>
      </c>
      <c r="BL169" s="13">
        <v>0</v>
      </c>
      <c r="BM169" s="13">
        <v>0</v>
      </c>
      <c r="BN169" s="13" t="s">
        <v>616</v>
      </c>
      <c r="BO169" s="13" t="s">
        <v>616</v>
      </c>
      <c r="BP169" s="200">
        <v>0</v>
      </c>
      <c r="BQ169" s="201"/>
      <c r="BR169" s="202"/>
      <c r="BS169" s="187">
        <v>1000000000</v>
      </c>
      <c r="BT169" s="203">
        <v>0</v>
      </c>
      <c r="BU169" s="204">
        <v>0</v>
      </c>
      <c r="BV169" s="203">
        <v>0</v>
      </c>
      <c r="BW169" s="205">
        <v>0</v>
      </c>
      <c r="BX169" s="205">
        <v>0</v>
      </c>
      <c r="BY169" s="205">
        <v>0</v>
      </c>
      <c r="BZ169" s="203">
        <v>0</v>
      </c>
      <c r="CA169" s="203">
        <v>0</v>
      </c>
      <c r="CB169" s="203">
        <v>0</v>
      </c>
      <c r="CC169" s="204">
        <v>0</v>
      </c>
      <c r="CD169" s="203">
        <v>0</v>
      </c>
      <c r="CE169" s="203">
        <v>0</v>
      </c>
      <c r="CF169" s="13">
        <v>0</v>
      </c>
      <c r="CG169" s="206">
        <v>0</v>
      </c>
      <c r="CH169" s="207">
        <v>0</v>
      </c>
      <c r="CI169" s="201"/>
      <c r="CJ169" s="208"/>
      <c r="CK169" s="209" t="s">
        <v>615</v>
      </c>
      <c r="CL169" s="210" t="s">
        <v>615</v>
      </c>
      <c r="CM169" s="207">
        <v>0</v>
      </c>
      <c r="CN169" s="207">
        <v>0</v>
      </c>
      <c r="CO169" s="204">
        <v>0</v>
      </c>
      <c r="CP169" s="204">
        <v>0</v>
      </c>
      <c r="CQ169" s="211"/>
      <c r="CR169" s="204">
        <v>1</v>
      </c>
      <c r="CS169" s="212">
        <v>42558</v>
      </c>
      <c r="CT169" s="212">
        <v>42780</v>
      </c>
      <c r="CU169" s="213">
        <v>42780</v>
      </c>
      <c r="CV169" s="214">
        <v>42829</v>
      </c>
      <c r="CW169" s="214" t="s">
        <v>615</v>
      </c>
      <c r="CX169" s="214" t="s">
        <v>615</v>
      </c>
      <c r="CY169" s="204">
        <v>1</v>
      </c>
      <c r="CZ169" s="204">
        <v>0.97959183673469385</v>
      </c>
      <c r="DA169" s="203">
        <v>0</v>
      </c>
      <c r="DB169" s="204">
        <v>0.97959183673469385</v>
      </c>
      <c r="DC169" s="204">
        <v>0</v>
      </c>
      <c r="DD169" s="204">
        <v>0</v>
      </c>
      <c r="DE169" s="204">
        <v>0</v>
      </c>
      <c r="DF169" s="215">
        <v>0</v>
      </c>
      <c r="DG169" s="13" t="s">
        <v>615</v>
      </c>
      <c r="DH169" s="86">
        <v>167</v>
      </c>
      <c r="DI169" s="86"/>
      <c r="DJ169" s="86">
        <v>163</v>
      </c>
      <c r="DK169" s="86" t="s">
        <v>1622</v>
      </c>
      <c r="DL169" s="86" t="e">
        <v>#N/A</v>
      </c>
      <c r="DM169" s="86" t="e">
        <v>#N/A</v>
      </c>
      <c r="DN169" s="86" t="e">
        <v>#N/A</v>
      </c>
      <c r="DO169" s="86">
        <v>325</v>
      </c>
      <c r="DP169" s="86">
        <v>5</v>
      </c>
      <c r="DQ169" s="86">
        <v>49</v>
      </c>
      <c r="DR169" s="146">
        <v>0</v>
      </c>
      <c r="DS169" s="146">
        <v>0</v>
      </c>
      <c r="DT169" s="146">
        <v>0</v>
      </c>
      <c r="DU169" s="146">
        <v>0</v>
      </c>
      <c r="DV169" s="146">
        <v>0</v>
      </c>
      <c r="DW169" s="146">
        <v>0</v>
      </c>
      <c r="DX169" s="146">
        <v>0</v>
      </c>
      <c r="DY169" s="146">
        <v>0</v>
      </c>
      <c r="DZ169" s="146">
        <v>0</v>
      </c>
      <c r="EA169" s="146">
        <v>0</v>
      </c>
      <c r="EB169" s="146">
        <v>0</v>
      </c>
      <c r="EC169" s="146">
        <v>0</v>
      </c>
      <c r="ED169" s="146">
        <v>0</v>
      </c>
      <c r="EE169" s="146">
        <v>0</v>
      </c>
      <c r="EF169" s="146">
        <v>0</v>
      </c>
      <c r="EG169" s="146">
        <v>0</v>
      </c>
      <c r="EH169" s="146">
        <v>0</v>
      </c>
      <c r="EI169" s="146">
        <v>0</v>
      </c>
      <c r="EJ169" s="146">
        <v>0</v>
      </c>
      <c r="EK169" s="146">
        <v>0</v>
      </c>
      <c r="EL169" s="146">
        <v>0</v>
      </c>
      <c r="EM169" s="146">
        <v>0</v>
      </c>
      <c r="EN169" s="146">
        <v>0</v>
      </c>
      <c r="EO169" s="146">
        <v>0</v>
      </c>
      <c r="EP169" s="146">
        <v>0</v>
      </c>
      <c r="EQ169" s="146">
        <v>0</v>
      </c>
      <c r="ER169" s="146">
        <v>0</v>
      </c>
      <c r="ES169" s="146">
        <v>0</v>
      </c>
      <c r="ET169" s="146">
        <v>0</v>
      </c>
      <c r="EU169" s="146">
        <v>0</v>
      </c>
      <c r="EV169" s="146">
        <v>0</v>
      </c>
      <c r="EW169" s="146">
        <v>0</v>
      </c>
      <c r="EX169" s="146">
        <v>0</v>
      </c>
      <c r="EY169" s="146">
        <v>0</v>
      </c>
      <c r="EZ169" s="146">
        <v>0</v>
      </c>
      <c r="FA169" s="146">
        <v>0</v>
      </c>
      <c r="FB169" s="146">
        <v>0</v>
      </c>
      <c r="FC169" s="146">
        <v>0</v>
      </c>
      <c r="FD169" s="146">
        <v>0</v>
      </c>
      <c r="FE169" s="146">
        <v>0</v>
      </c>
      <c r="FF169" s="146">
        <v>0</v>
      </c>
      <c r="FG169" s="146">
        <v>0</v>
      </c>
      <c r="FH169" s="146">
        <v>0</v>
      </c>
      <c r="FI169" s="146">
        <v>0</v>
      </c>
      <c r="FJ169" s="146">
        <v>0</v>
      </c>
      <c r="FK169" s="146">
        <v>0</v>
      </c>
      <c r="FL169" s="146">
        <v>0</v>
      </c>
      <c r="FM169" s="146">
        <v>0</v>
      </c>
      <c r="FN169" s="146">
        <v>0</v>
      </c>
      <c r="FO169" s="146">
        <v>0</v>
      </c>
      <c r="FP169" s="146">
        <v>0</v>
      </c>
      <c r="FQ169" s="146">
        <v>0</v>
      </c>
      <c r="FR169" s="146">
        <v>0</v>
      </c>
      <c r="FS169" s="146">
        <v>0</v>
      </c>
      <c r="FT169" s="146">
        <v>0</v>
      </c>
      <c r="FU169" s="146">
        <v>0</v>
      </c>
      <c r="FV169" s="146">
        <v>0</v>
      </c>
      <c r="FW169" s="146">
        <v>0</v>
      </c>
      <c r="FX169" s="146">
        <v>0</v>
      </c>
      <c r="FY169" s="146">
        <v>0</v>
      </c>
      <c r="FZ169" s="146">
        <v>0</v>
      </c>
      <c r="GA169" s="146">
        <v>0</v>
      </c>
      <c r="GB169" s="146">
        <v>0</v>
      </c>
      <c r="GC169" s="146">
        <v>0</v>
      </c>
      <c r="GD169" s="146">
        <v>0</v>
      </c>
      <c r="GE169" s="146">
        <v>0</v>
      </c>
      <c r="GF169" s="146">
        <v>0</v>
      </c>
      <c r="GG169" s="146">
        <v>0</v>
      </c>
      <c r="GH169" s="146">
        <v>0</v>
      </c>
      <c r="GI169" s="146">
        <v>0</v>
      </c>
      <c r="GJ169" s="146">
        <v>0</v>
      </c>
      <c r="GK169" s="146">
        <v>0</v>
      </c>
      <c r="GL169" s="146">
        <v>0</v>
      </c>
      <c r="GM169" s="146">
        <v>0</v>
      </c>
      <c r="GN169" s="146">
        <v>0</v>
      </c>
      <c r="GO169" s="146">
        <v>0</v>
      </c>
      <c r="GP169" s="146">
        <v>0</v>
      </c>
      <c r="GQ169" s="146">
        <v>0</v>
      </c>
      <c r="GR169" s="146">
        <v>0</v>
      </c>
      <c r="GS169" s="146">
        <v>0</v>
      </c>
      <c r="GT169" s="146">
        <v>0</v>
      </c>
      <c r="GU169" s="146">
        <v>0</v>
      </c>
      <c r="GV169" s="146">
        <v>0</v>
      </c>
      <c r="GW169" s="146">
        <v>0</v>
      </c>
      <c r="GX169" s="146">
        <v>0</v>
      </c>
      <c r="GY169" s="146">
        <v>0</v>
      </c>
      <c r="GZ169" s="146">
        <v>0</v>
      </c>
      <c r="HA169" s="146">
        <v>0</v>
      </c>
      <c r="HB169" s="146">
        <v>0</v>
      </c>
      <c r="HC169" s="146">
        <v>0</v>
      </c>
      <c r="HD169" s="146">
        <v>0</v>
      </c>
      <c r="HE169" s="146">
        <v>0</v>
      </c>
      <c r="HF169" s="146">
        <v>0</v>
      </c>
      <c r="HG169" s="146">
        <v>0</v>
      </c>
      <c r="HH169" s="146">
        <v>0</v>
      </c>
      <c r="HI169" s="146">
        <v>0</v>
      </c>
      <c r="HJ169" s="146">
        <v>0</v>
      </c>
      <c r="HK169" s="146">
        <v>0</v>
      </c>
      <c r="HL169" s="146">
        <v>0</v>
      </c>
      <c r="HM169" s="146">
        <v>0</v>
      </c>
      <c r="HN169" s="146">
        <v>0</v>
      </c>
      <c r="HO169" s="146">
        <v>0</v>
      </c>
      <c r="HP169" s="146">
        <v>0</v>
      </c>
      <c r="HQ169" s="146">
        <v>0</v>
      </c>
      <c r="HR169" s="146">
        <v>0</v>
      </c>
      <c r="HS169" s="146">
        <v>0</v>
      </c>
      <c r="HT169" s="146">
        <v>0</v>
      </c>
      <c r="HU169" s="151"/>
      <c r="HV169" s="146">
        <v>0</v>
      </c>
      <c r="HW169" s="151"/>
      <c r="HX169" s="151"/>
      <c r="HY169" s="151"/>
      <c r="HZ169" s="151"/>
      <c r="IA169" s="151"/>
      <c r="IB169" s="151"/>
      <c r="IC169" s="151"/>
      <c r="ID169" s="151"/>
      <c r="IE169" s="151"/>
      <c r="IF169" s="151"/>
      <c r="IG169" s="151"/>
      <c r="IH169" s="151"/>
      <c r="II169" s="151"/>
      <c r="IJ169" s="151"/>
      <c r="IK169" s="151"/>
      <c r="IL169" s="151"/>
      <c r="IM169" s="151"/>
      <c r="IN169" s="151"/>
      <c r="IO169" s="151"/>
      <c r="IP169" s="151"/>
      <c r="IQ169" s="151"/>
      <c r="IR169" s="151"/>
      <c r="IS169" s="151"/>
      <c r="IT169" s="151"/>
      <c r="IU169" s="151"/>
      <c r="IV169" s="151"/>
      <c r="IW169" s="151"/>
      <c r="IX169" s="151"/>
      <c r="IY169" s="151"/>
      <c r="IZ169" s="151"/>
      <c r="JA169" s="151"/>
      <c r="JB169" s="151"/>
      <c r="JC169" s="151"/>
      <c r="JD169" s="151"/>
      <c r="JE169" s="151"/>
      <c r="JF169" s="151"/>
      <c r="JG169" s="151"/>
      <c r="JH169" s="151"/>
      <c r="JI169" s="151"/>
      <c r="JJ169" s="151"/>
      <c r="JK169" s="151"/>
      <c r="JL169" s="151"/>
      <c r="JM169" s="151"/>
      <c r="JN169" s="151"/>
      <c r="JO169" s="151"/>
      <c r="JP169" s="151"/>
      <c r="JQ169" s="151"/>
      <c r="JR169" s="151"/>
      <c r="JS169" s="151"/>
      <c r="JT169" s="151"/>
      <c r="JU169" s="151"/>
      <c r="JV169" s="151"/>
      <c r="JW169" s="151"/>
      <c r="JX169" s="151"/>
      <c r="JY169" s="151"/>
      <c r="JZ169" s="151"/>
      <c r="KA169" s="151"/>
      <c r="KB169" s="151"/>
      <c r="KC169" s="151"/>
      <c r="KD169" s="151"/>
      <c r="KE169" s="151"/>
      <c r="KF169" s="151"/>
      <c r="KG169" s="151"/>
      <c r="KH169" s="151"/>
      <c r="KI169" s="151"/>
      <c r="KJ169" s="151"/>
      <c r="KK169" s="151"/>
      <c r="KL169" s="151"/>
      <c r="KM169" s="151"/>
      <c r="KN169" s="151"/>
      <c r="KO169" s="151"/>
      <c r="KP169" s="151"/>
      <c r="KQ169" s="151"/>
      <c r="KR169" s="151"/>
      <c r="KS169" s="151"/>
      <c r="KT169" s="151"/>
      <c r="KU169" s="151"/>
      <c r="KV169" s="151"/>
      <c r="KW169" s="151"/>
      <c r="KX169" s="151"/>
      <c r="KY169" s="151"/>
      <c r="KZ169" s="151"/>
      <c r="LA169" s="151"/>
      <c r="LB169" s="151"/>
      <c r="LC169" s="151"/>
      <c r="LD169" s="151"/>
      <c r="LE169" s="151"/>
    </row>
    <row r="170" spans="1:317" x14ac:dyDescent="0.2">
      <c r="A170" s="179" t="s">
        <v>849</v>
      </c>
      <c r="B170" s="180" t="s">
        <v>1069</v>
      </c>
      <c r="C170" s="181"/>
      <c r="D170" s="182">
        <v>0</v>
      </c>
      <c r="E170" s="182">
        <v>0</v>
      </c>
      <c r="F170" s="183" t="s">
        <v>1314</v>
      </c>
      <c r="G170" s="183">
        <v>0</v>
      </c>
      <c r="H170" s="183">
        <v>0</v>
      </c>
      <c r="I170" s="183">
        <v>0</v>
      </c>
      <c r="J170" s="183">
        <v>0</v>
      </c>
      <c r="K170" s="183" t="s">
        <v>1368</v>
      </c>
      <c r="L170" s="183">
        <v>0</v>
      </c>
      <c r="M170" s="183">
        <v>0</v>
      </c>
      <c r="N170" s="183" t="s">
        <v>881</v>
      </c>
      <c r="O170" s="183">
        <v>0</v>
      </c>
      <c r="P170" s="183">
        <v>0</v>
      </c>
      <c r="Q170" s="183"/>
      <c r="R170" s="183"/>
      <c r="S170" s="183"/>
      <c r="T170" s="183"/>
      <c r="U170" s="183"/>
      <c r="V170" s="183">
        <v>0</v>
      </c>
      <c r="W170" s="183">
        <v>0</v>
      </c>
      <c r="X170" s="183">
        <v>0</v>
      </c>
      <c r="Y170" s="184">
        <v>0</v>
      </c>
      <c r="Z170" s="184">
        <v>0</v>
      </c>
      <c r="AA170" s="184">
        <v>0</v>
      </c>
      <c r="AB170" s="185" t="s">
        <v>615</v>
      </c>
      <c r="AC170" s="185" t="s">
        <v>615</v>
      </c>
      <c r="AD170" s="186" t="s">
        <v>881</v>
      </c>
      <c r="AE170" s="186" t="s">
        <v>858</v>
      </c>
      <c r="AF170" s="187">
        <v>7</v>
      </c>
      <c r="AG170" s="187">
        <v>3</v>
      </c>
      <c r="AH170" s="187">
        <v>4</v>
      </c>
      <c r="AI170" s="188">
        <v>1</v>
      </c>
      <c r="AJ170" s="188" t="s">
        <v>615</v>
      </c>
      <c r="AK170" s="187" t="s">
        <v>1738</v>
      </c>
      <c r="AL170" s="87" t="s">
        <v>615</v>
      </c>
      <c r="AM170" s="189"/>
      <c r="AN170" s="187" t="s">
        <v>615</v>
      </c>
      <c r="AO170" s="13" t="s">
        <v>615</v>
      </c>
      <c r="AP170" s="187">
        <v>0</v>
      </c>
      <c r="AQ170" s="187">
        <v>0</v>
      </c>
      <c r="AR170" s="190">
        <v>0</v>
      </c>
      <c r="AS170" s="190">
        <v>0</v>
      </c>
      <c r="AT170" s="190">
        <v>0</v>
      </c>
      <c r="AU170" s="187">
        <v>0</v>
      </c>
      <c r="AV170" s="187">
        <v>0</v>
      </c>
      <c r="AW170" s="191"/>
      <c r="AX170" s="192"/>
      <c r="AY170" s="193">
        <v>42666</v>
      </c>
      <c r="AZ170" s="193"/>
      <c r="BA170" s="193"/>
      <c r="BB170" s="194"/>
      <c r="BC170" s="194"/>
      <c r="BD170" s="195"/>
      <c r="BE170" s="195" t="s">
        <v>532</v>
      </c>
      <c r="BF170" s="195"/>
      <c r="BG170" s="195">
        <v>72</v>
      </c>
      <c r="BH170" s="196" t="s">
        <v>547</v>
      </c>
      <c r="BI170" s="197">
        <v>1</v>
      </c>
      <c r="BJ170" s="198"/>
      <c r="BK170" s="199">
        <v>0</v>
      </c>
      <c r="BL170" s="13">
        <v>0</v>
      </c>
      <c r="BM170" s="13">
        <v>0</v>
      </c>
      <c r="BN170" s="13" t="s">
        <v>616</v>
      </c>
      <c r="BO170" s="13" t="s">
        <v>616</v>
      </c>
      <c r="BP170" s="200">
        <v>0</v>
      </c>
      <c r="BQ170" s="201"/>
      <c r="BR170" s="202"/>
      <c r="BS170" s="187">
        <v>1000000000</v>
      </c>
      <c r="BT170" s="203">
        <v>0</v>
      </c>
      <c r="BU170" s="204">
        <v>0</v>
      </c>
      <c r="BV170" s="203">
        <v>0</v>
      </c>
      <c r="BW170" s="205">
        <v>0</v>
      </c>
      <c r="BX170" s="205">
        <v>0</v>
      </c>
      <c r="BY170" s="205">
        <v>0</v>
      </c>
      <c r="BZ170" s="203">
        <v>0</v>
      </c>
      <c r="CA170" s="203">
        <v>0</v>
      </c>
      <c r="CB170" s="203">
        <v>0</v>
      </c>
      <c r="CC170" s="204">
        <v>0</v>
      </c>
      <c r="CD170" s="203">
        <v>0</v>
      </c>
      <c r="CE170" s="203">
        <v>0</v>
      </c>
      <c r="CF170" s="13">
        <v>0</v>
      </c>
      <c r="CG170" s="206">
        <v>0</v>
      </c>
      <c r="CH170" s="207">
        <v>0</v>
      </c>
      <c r="CI170" s="201"/>
      <c r="CJ170" s="208"/>
      <c r="CK170" s="209" t="s">
        <v>615</v>
      </c>
      <c r="CL170" s="210" t="s">
        <v>615</v>
      </c>
      <c r="CM170" s="207">
        <v>0</v>
      </c>
      <c r="CN170" s="207">
        <v>0</v>
      </c>
      <c r="CO170" s="204">
        <v>0</v>
      </c>
      <c r="CP170" s="204">
        <v>0</v>
      </c>
      <c r="CQ170" s="211"/>
      <c r="CR170" s="204">
        <v>1</v>
      </c>
      <c r="CS170" s="212">
        <v>42558</v>
      </c>
      <c r="CT170" s="212">
        <v>42780</v>
      </c>
      <c r="CU170" s="213">
        <v>42780</v>
      </c>
      <c r="CV170" s="214">
        <v>42829</v>
      </c>
      <c r="CW170" s="214" t="s">
        <v>615</v>
      </c>
      <c r="CX170" s="214" t="s">
        <v>615</v>
      </c>
      <c r="CY170" s="204">
        <v>1</v>
      </c>
      <c r="CZ170" s="204">
        <v>0.97959183673469385</v>
      </c>
      <c r="DA170" s="203">
        <v>0</v>
      </c>
      <c r="DB170" s="204">
        <v>0.97959183673469385</v>
      </c>
      <c r="DC170" s="204">
        <v>0</v>
      </c>
      <c r="DD170" s="204">
        <v>0</v>
      </c>
      <c r="DE170" s="204">
        <v>0</v>
      </c>
      <c r="DF170" s="215">
        <v>0</v>
      </c>
      <c r="DG170" s="13" t="s">
        <v>615</v>
      </c>
      <c r="DH170" s="86">
        <v>168</v>
      </c>
      <c r="DI170" s="86"/>
      <c r="DJ170" s="86">
        <v>164</v>
      </c>
      <c r="DK170" s="86" t="s">
        <v>1623</v>
      </c>
      <c r="DL170" s="86" t="e">
        <v>#N/A</v>
      </c>
      <c r="DM170" s="86" t="e">
        <v>#N/A</v>
      </c>
      <c r="DN170" s="86" t="e">
        <v>#N/A</v>
      </c>
      <c r="DO170" s="86">
        <v>326</v>
      </c>
      <c r="DP170" s="86">
        <v>5</v>
      </c>
      <c r="DQ170" s="86">
        <v>49</v>
      </c>
      <c r="DR170" s="152">
        <v>0</v>
      </c>
      <c r="DS170" s="152">
        <v>0</v>
      </c>
      <c r="DT170" s="152">
        <v>0</v>
      </c>
      <c r="DU170" s="152">
        <v>0</v>
      </c>
      <c r="DV170" s="152">
        <v>0</v>
      </c>
      <c r="DW170" s="152">
        <v>0</v>
      </c>
      <c r="DX170" s="152">
        <v>0</v>
      </c>
      <c r="DY170" s="152">
        <v>0</v>
      </c>
      <c r="DZ170" s="152">
        <v>0</v>
      </c>
      <c r="EA170" s="152">
        <v>0</v>
      </c>
      <c r="EB170" s="152">
        <v>0</v>
      </c>
      <c r="EC170" s="152">
        <v>0</v>
      </c>
      <c r="ED170" s="152">
        <v>0</v>
      </c>
      <c r="EE170" s="152">
        <v>0</v>
      </c>
      <c r="EF170" s="152">
        <v>0</v>
      </c>
      <c r="EG170" s="152">
        <v>0</v>
      </c>
      <c r="EH170" s="152">
        <v>0</v>
      </c>
      <c r="EI170" s="152">
        <v>0</v>
      </c>
      <c r="EJ170" s="152">
        <v>0</v>
      </c>
      <c r="EK170" s="152">
        <v>0</v>
      </c>
      <c r="EL170" s="152">
        <v>0</v>
      </c>
      <c r="EM170" s="152">
        <v>0</v>
      </c>
      <c r="EN170" s="152">
        <v>0</v>
      </c>
      <c r="EO170" s="152">
        <v>0</v>
      </c>
      <c r="EP170" s="152">
        <v>0</v>
      </c>
      <c r="EQ170" s="152">
        <v>0</v>
      </c>
      <c r="ER170" s="152">
        <v>0</v>
      </c>
      <c r="ES170" s="152">
        <v>0</v>
      </c>
      <c r="ET170" s="152">
        <v>0</v>
      </c>
      <c r="EU170" s="152">
        <v>0</v>
      </c>
      <c r="EV170" s="152">
        <v>0</v>
      </c>
      <c r="EW170" s="152">
        <v>0</v>
      </c>
      <c r="EX170" s="152">
        <v>0</v>
      </c>
      <c r="EY170" s="152">
        <v>0</v>
      </c>
      <c r="EZ170" s="152">
        <v>0</v>
      </c>
      <c r="FA170" s="152">
        <v>0</v>
      </c>
      <c r="FB170" s="152">
        <v>0</v>
      </c>
      <c r="FC170" s="152">
        <v>0</v>
      </c>
      <c r="FD170" s="152">
        <v>0</v>
      </c>
      <c r="FE170" s="152">
        <v>0</v>
      </c>
      <c r="FF170" s="152">
        <v>0</v>
      </c>
      <c r="FG170" s="152">
        <v>0</v>
      </c>
      <c r="FH170" s="152">
        <v>0</v>
      </c>
      <c r="FI170" s="152">
        <v>0</v>
      </c>
      <c r="FJ170" s="152">
        <v>0</v>
      </c>
      <c r="FK170" s="152">
        <v>0</v>
      </c>
      <c r="FL170" s="152">
        <v>0</v>
      </c>
      <c r="FM170" s="152">
        <v>0</v>
      </c>
      <c r="FN170" s="152">
        <v>0</v>
      </c>
      <c r="FO170" s="152">
        <v>0</v>
      </c>
      <c r="FP170" s="152">
        <v>0</v>
      </c>
      <c r="FQ170" s="152">
        <v>0</v>
      </c>
      <c r="FR170" s="152">
        <v>0</v>
      </c>
      <c r="FS170" s="152">
        <v>0</v>
      </c>
      <c r="FT170" s="152">
        <v>0</v>
      </c>
      <c r="FU170" s="152">
        <v>0</v>
      </c>
      <c r="FV170" s="152">
        <v>0</v>
      </c>
      <c r="FW170" s="152">
        <v>0</v>
      </c>
      <c r="FX170" s="152">
        <v>0</v>
      </c>
      <c r="FY170" s="152">
        <v>0</v>
      </c>
      <c r="FZ170" s="152">
        <v>0</v>
      </c>
      <c r="GA170" s="152">
        <v>0</v>
      </c>
      <c r="GB170" s="152">
        <v>0</v>
      </c>
      <c r="GC170" s="152">
        <v>0</v>
      </c>
      <c r="GD170" s="152">
        <v>0</v>
      </c>
      <c r="GE170" s="152">
        <v>0</v>
      </c>
      <c r="GF170" s="152">
        <v>0</v>
      </c>
      <c r="GG170" s="152">
        <v>0</v>
      </c>
      <c r="GH170" s="152">
        <v>0</v>
      </c>
      <c r="GI170" s="152">
        <v>0</v>
      </c>
      <c r="GJ170" s="152">
        <v>0</v>
      </c>
      <c r="GK170" s="152">
        <v>0</v>
      </c>
      <c r="GL170" s="152">
        <v>0</v>
      </c>
      <c r="GM170" s="152">
        <v>0</v>
      </c>
      <c r="GN170" s="152">
        <v>0</v>
      </c>
      <c r="GO170" s="152">
        <v>0</v>
      </c>
      <c r="GP170" s="152">
        <v>0</v>
      </c>
      <c r="GQ170" s="152">
        <v>0</v>
      </c>
      <c r="GR170" s="152">
        <v>0</v>
      </c>
      <c r="GS170" s="152">
        <v>0</v>
      </c>
      <c r="GT170" s="152">
        <v>0</v>
      </c>
      <c r="GU170" s="152">
        <v>0</v>
      </c>
      <c r="GV170" s="152">
        <v>0</v>
      </c>
      <c r="GW170" s="152">
        <v>0</v>
      </c>
      <c r="GX170" s="152">
        <v>0</v>
      </c>
      <c r="GY170" s="152">
        <v>0</v>
      </c>
      <c r="GZ170" s="152">
        <v>0</v>
      </c>
      <c r="HA170" s="152">
        <v>0</v>
      </c>
      <c r="HB170" s="152">
        <v>0</v>
      </c>
      <c r="HC170" s="152">
        <v>0</v>
      </c>
      <c r="HD170" s="152">
        <v>0</v>
      </c>
      <c r="HE170" s="152">
        <v>0</v>
      </c>
      <c r="HF170" s="152">
        <v>0</v>
      </c>
      <c r="HG170" s="152">
        <v>0</v>
      </c>
      <c r="HH170" s="152">
        <v>0</v>
      </c>
      <c r="HI170" s="152">
        <v>0</v>
      </c>
      <c r="HJ170" s="152">
        <v>0</v>
      </c>
      <c r="HK170" s="152">
        <v>0</v>
      </c>
      <c r="HL170" s="152">
        <v>0</v>
      </c>
      <c r="HM170" s="152">
        <v>0</v>
      </c>
      <c r="HN170" s="152">
        <v>0</v>
      </c>
      <c r="HO170" s="152">
        <v>0</v>
      </c>
      <c r="HP170" s="152">
        <v>0</v>
      </c>
      <c r="HQ170" s="152">
        <v>0</v>
      </c>
      <c r="HR170" s="152">
        <v>0</v>
      </c>
      <c r="HS170" s="152">
        <v>0</v>
      </c>
      <c r="HT170" s="152">
        <v>0</v>
      </c>
      <c r="HU170" s="216"/>
      <c r="HV170" s="152">
        <v>0</v>
      </c>
      <c r="HW170" s="216"/>
      <c r="HX170" s="216"/>
      <c r="HY170" s="216"/>
      <c r="HZ170" s="216"/>
      <c r="IA170" s="216"/>
      <c r="IB170" s="216"/>
      <c r="IC170" s="216"/>
      <c r="ID170" s="216"/>
      <c r="IE170" s="216"/>
      <c r="IF170" s="216"/>
      <c r="IG170" s="216"/>
      <c r="IH170" s="216"/>
      <c r="II170" s="216"/>
      <c r="IJ170" s="216"/>
      <c r="IK170" s="216"/>
      <c r="IL170" s="216"/>
      <c r="IM170" s="216"/>
      <c r="IN170" s="216"/>
      <c r="IO170" s="216"/>
      <c r="IP170" s="216"/>
      <c r="IQ170" s="216"/>
      <c r="IR170" s="216"/>
      <c r="IS170" s="216"/>
      <c r="IT170" s="216"/>
      <c r="IU170" s="216"/>
      <c r="IV170" s="216"/>
      <c r="IW170" s="216"/>
      <c r="IX170" s="216"/>
      <c r="IY170" s="216"/>
      <c r="IZ170" s="216"/>
      <c r="JA170" s="216"/>
      <c r="JB170" s="216"/>
      <c r="JC170" s="216"/>
      <c r="JD170" s="216"/>
      <c r="JE170" s="216"/>
      <c r="JF170" s="216"/>
      <c r="JG170" s="216"/>
      <c r="JH170" s="216"/>
      <c r="JI170" s="216"/>
      <c r="JJ170" s="216"/>
      <c r="JK170" s="216"/>
      <c r="JL170" s="216"/>
      <c r="JM170" s="216"/>
      <c r="JN170" s="216"/>
      <c r="JO170" s="216"/>
      <c r="JP170" s="216"/>
      <c r="JQ170" s="216"/>
      <c r="JR170" s="216"/>
      <c r="JS170" s="216"/>
      <c r="JT170" s="216"/>
      <c r="JU170" s="216"/>
      <c r="JV170" s="216"/>
      <c r="JW170" s="216"/>
      <c r="JX170" s="216"/>
      <c r="JY170" s="216"/>
      <c r="JZ170" s="216"/>
      <c r="KA170" s="216"/>
      <c r="KB170" s="216"/>
      <c r="KC170" s="216"/>
      <c r="KD170" s="216"/>
      <c r="KE170" s="216"/>
      <c r="KF170" s="216"/>
      <c r="KG170" s="216"/>
      <c r="KH170" s="216"/>
      <c r="KI170" s="216"/>
      <c r="KJ170" s="216"/>
      <c r="KK170" s="216"/>
      <c r="KL170" s="216"/>
      <c r="KM170" s="216"/>
      <c r="KN170" s="216"/>
      <c r="KO170" s="216"/>
      <c r="KP170" s="216"/>
      <c r="KQ170" s="216"/>
      <c r="KR170" s="216"/>
      <c r="KS170" s="216"/>
      <c r="KT170" s="216"/>
      <c r="KU170" s="216"/>
      <c r="KV170" s="216"/>
      <c r="KW170" s="216"/>
      <c r="KX170" s="216"/>
      <c r="KY170" s="216"/>
      <c r="KZ170" s="216"/>
      <c r="LA170" s="216"/>
      <c r="LB170" s="216"/>
      <c r="LC170" s="216"/>
      <c r="LD170" s="216"/>
      <c r="LE170" s="216"/>
    </row>
    <row r="171" spans="1:317" x14ac:dyDescent="0.2">
      <c r="A171" s="179" t="s">
        <v>849</v>
      </c>
      <c r="B171" s="180" t="s">
        <v>1070</v>
      </c>
      <c r="C171" s="181"/>
      <c r="D171" s="182">
        <v>0</v>
      </c>
      <c r="E171" s="182">
        <v>0</v>
      </c>
      <c r="F171" s="183" t="s">
        <v>1314</v>
      </c>
      <c r="G171" s="183">
        <v>0</v>
      </c>
      <c r="H171" s="183">
        <v>0</v>
      </c>
      <c r="I171" s="183">
        <v>0</v>
      </c>
      <c r="J171" s="183">
        <v>0</v>
      </c>
      <c r="K171" s="183" t="s">
        <v>1368</v>
      </c>
      <c r="L171" s="183">
        <v>0</v>
      </c>
      <c r="M171" s="183">
        <v>0</v>
      </c>
      <c r="N171" s="183" t="s">
        <v>881</v>
      </c>
      <c r="O171" s="183">
        <v>0</v>
      </c>
      <c r="P171" s="183">
        <v>0</v>
      </c>
      <c r="Q171" s="183"/>
      <c r="R171" s="183"/>
      <c r="S171" s="183"/>
      <c r="T171" s="183"/>
      <c r="U171" s="183"/>
      <c r="V171" s="183">
        <v>0</v>
      </c>
      <c r="W171" s="183">
        <v>0</v>
      </c>
      <c r="X171" s="183">
        <v>0</v>
      </c>
      <c r="Y171" s="184">
        <v>0</v>
      </c>
      <c r="Z171" s="184">
        <v>0.33</v>
      </c>
      <c r="AA171" s="184">
        <v>0</v>
      </c>
      <c r="AB171" s="185" t="s">
        <v>615</v>
      </c>
      <c r="AC171" s="185" t="s">
        <v>615</v>
      </c>
      <c r="AD171" s="186" t="s">
        <v>881</v>
      </c>
      <c r="AE171" s="186" t="s">
        <v>858</v>
      </c>
      <c r="AF171" s="187">
        <v>7</v>
      </c>
      <c r="AG171" s="187">
        <v>3</v>
      </c>
      <c r="AH171" s="187">
        <v>4</v>
      </c>
      <c r="AI171" s="188">
        <v>1</v>
      </c>
      <c r="AJ171" s="188" t="s">
        <v>615</v>
      </c>
      <c r="AK171" s="187" t="s">
        <v>1738</v>
      </c>
      <c r="AL171" s="87" t="s">
        <v>615</v>
      </c>
      <c r="AM171" s="189"/>
      <c r="AN171" s="187" t="s">
        <v>615</v>
      </c>
      <c r="AO171" s="13" t="s">
        <v>615</v>
      </c>
      <c r="AP171" s="187">
        <v>0</v>
      </c>
      <c r="AQ171" s="187">
        <v>0</v>
      </c>
      <c r="AR171" s="190">
        <v>0</v>
      </c>
      <c r="AS171" s="190">
        <v>0</v>
      </c>
      <c r="AT171" s="190">
        <v>0</v>
      </c>
      <c r="AU171" s="187">
        <v>0</v>
      </c>
      <c r="AV171" s="187">
        <v>0</v>
      </c>
      <c r="AW171" s="191"/>
      <c r="AX171" s="192"/>
      <c r="AY171" s="193">
        <v>42666</v>
      </c>
      <c r="AZ171" s="193"/>
      <c r="BA171" s="193"/>
      <c r="BB171" s="194"/>
      <c r="BC171" s="194"/>
      <c r="BD171" s="195"/>
      <c r="BE171" s="195" t="s">
        <v>532</v>
      </c>
      <c r="BF171" s="195"/>
      <c r="BG171" s="195">
        <v>480</v>
      </c>
      <c r="BH171" s="196" t="s">
        <v>547</v>
      </c>
      <c r="BI171" s="197">
        <v>1</v>
      </c>
      <c r="BJ171" s="198"/>
      <c r="BK171" s="199">
        <v>0</v>
      </c>
      <c r="BL171" s="13">
        <v>0</v>
      </c>
      <c r="BM171" s="13">
        <v>0</v>
      </c>
      <c r="BN171" s="13" t="s">
        <v>616</v>
      </c>
      <c r="BO171" s="13" t="s">
        <v>616</v>
      </c>
      <c r="BP171" s="200">
        <v>0</v>
      </c>
      <c r="BQ171" s="201"/>
      <c r="BR171" s="202"/>
      <c r="BS171" s="187">
        <v>1000000000</v>
      </c>
      <c r="BT171" s="203">
        <v>0</v>
      </c>
      <c r="BU171" s="204">
        <v>0</v>
      </c>
      <c r="BV171" s="203">
        <v>0</v>
      </c>
      <c r="BW171" s="205">
        <v>0</v>
      </c>
      <c r="BX171" s="205">
        <v>0</v>
      </c>
      <c r="BY171" s="205">
        <v>0</v>
      </c>
      <c r="BZ171" s="203">
        <v>0</v>
      </c>
      <c r="CA171" s="203">
        <v>0</v>
      </c>
      <c r="CB171" s="203">
        <v>0</v>
      </c>
      <c r="CC171" s="204">
        <v>0</v>
      </c>
      <c r="CD171" s="203">
        <v>0</v>
      </c>
      <c r="CE171" s="203">
        <v>0</v>
      </c>
      <c r="CF171" s="13">
        <v>0</v>
      </c>
      <c r="CG171" s="206">
        <v>0</v>
      </c>
      <c r="CH171" s="207">
        <v>0</v>
      </c>
      <c r="CI171" s="201"/>
      <c r="CJ171" s="208"/>
      <c r="CK171" s="209" t="s">
        <v>615</v>
      </c>
      <c r="CL171" s="210" t="s">
        <v>615</v>
      </c>
      <c r="CM171" s="207">
        <v>0</v>
      </c>
      <c r="CN171" s="207">
        <v>0</v>
      </c>
      <c r="CO171" s="204">
        <v>0</v>
      </c>
      <c r="CP171" s="204">
        <v>0</v>
      </c>
      <c r="CQ171" s="211"/>
      <c r="CR171" s="204">
        <v>1</v>
      </c>
      <c r="CS171" s="212">
        <v>42558</v>
      </c>
      <c r="CT171" s="212">
        <v>42780</v>
      </c>
      <c r="CU171" s="213">
        <v>42780</v>
      </c>
      <c r="CV171" s="214">
        <v>42829</v>
      </c>
      <c r="CW171" s="214" t="s">
        <v>615</v>
      </c>
      <c r="CX171" s="214" t="s">
        <v>615</v>
      </c>
      <c r="CY171" s="204">
        <v>1</v>
      </c>
      <c r="CZ171" s="204">
        <v>0.97959183673469385</v>
      </c>
      <c r="DA171" s="203">
        <v>0</v>
      </c>
      <c r="DB171" s="204">
        <v>0.97959183673469385</v>
      </c>
      <c r="DC171" s="204">
        <v>0</v>
      </c>
      <c r="DD171" s="204">
        <v>0</v>
      </c>
      <c r="DE171" s="204">
        <v>0</v>
      </c>
      <c r="DF171" s="215">
        <v>0</v>
      </c>
      <c r="DG171" s="13" t="s">
        <v>615</v>
      </c>
      <c r="DH171" s="86">
        <v>169</v>
      </c>
      <c r="DI171" s="86"/>
      <c r="DJ171" s="86">
        <v>165</v>
      </c>
      <c r="DK171" s="86" t="s">
        <v>1624</v>
      </c>
      <c r="DL171" s="86" t="e">
        <v>#N/A</v>
      </c>
      <c r="DM171" s="86" t="e">
        <v>#N/A</v>
      </c>
      <c r="DN171" s="86" t="e">
        <v>#N/A</v>
      </c>
      <c r="DO171" s="86">
        <v>327</v>
      </c>
      <c r="DP171" s="86">
        <v>5</v>
      </c>
      <c r="DQ171" s="86">
        <v>49</v>
      </c>
      <c r="DR171" s="146">
        <v>0</v>
      </c>
      <c r="DS171" s="146">
        <v>0</v>
      </c>
      <c r="DT171" s="146">
        <v>0</v>
      </c>
      <c r="DU171" s="146">
        <v>0</v>
      </c>
      <c r="DV171" s="146">
        <v>0</v>
      </c>
      <c r="DW171" s="146">
        <v>0</v>
      </c>
      <c r="DX171" s="146">
        <v>0</v>
      </c>
      <c r="DY171" s="146">
        <v>0</v>
      </c>
      <c r="DZ171" s="146">
        <v>0</v>
      </c>
      <c r="EA171" s="146">
        <v>0</v>
      </c>
      <c r="EB171" s="146">
        <v>0</v>
      </c>
      <c r="EC171" s="146">
        <v>0</v>
      </c>
      <c r="ED171" s="146">
        <v>0</v>
      </c>
      <c r="EE171" s="146">
        <v>0</v>
      </c>
      <c r="EF171" s="146">
        <v>0</v>
      </c>
      <c r="EG171" s="146">
        <v>0</v>
      </c>
      <c r="EH171" s="146">
        <v>0</v>
      </c>
      <c r="EI171" s="146">
        <v>0</v>
      </c>
      <c r="EJ171" s="146">
        <v>0</v>
      </c>
      <c r="EK171" s="146">
        <v>0</v>
      </c>
      <c r="EL171" s="146">
        <v>0</v>
      </c>
      <c r="EM171" s="146">
        <v>0</v>
      </c>
      <c r="EN171" s="146">
        <v>0</v>
      </c>
      <c r="EO171" s="146">
        <v>0</v>
      </c>
      <c r="EP171" s="146">
        <v>0</v>
      </c>
      <c r="EQ171" s="146">
        <v>0</v>
      </c>
      <c r="ER171" s="146">
        <v>0</v>
      </c>
      <c r="ES171" s="146">
        <v>0</v>
      </c>
      <c r="ET171" s="146">
        <v>0</v>
      </c>
      <c r="EU171" s="146">
        <v>0</v>
      </c>
      <c r="EV171" s="146">
        <v>0</v>
      </c>
      <c r="EW171" s="146">
        <v>0</v>
      </c>
      <c r="EX171" s="146">
        <v>0</v>
      </c>
      <c r="EY171" s="146">
        <v>0</v>
      </c>
      <c r="EZ171" s="146">
        <v>0</v>
      </c>
      <c r="FA171" s="146">
        <v>0</v>
      </c>
      <c r="FB171" s="146">
        <v>0</v>
      </c>
      <c r="FC171" s="146">
        <v>0</v>
      </c>
      <c r="FD171" s="146">
        <v>0</v>
      </c>
      <c r="FE171" s="146">
        <v>0</v>
      </c>
      <c r="FF171" s="146">
        <v>0</v>
      </c>
      <c r="FG171" s="146">
        <v>0</v>
      </c>
      <c r="FH171" s="146">
        <v>0</v>
      </c>
      <c r="FI171" s="146">
        <v>0</v>
      </c>
      <c r="FJ171" s="146">
        <v>0</v>
      </c>
      <c r="FK171" s="146">
        <v>0</v>
      </c>
      <c r="FL171" s="146">
        <v>0</v>
      </c>
      <c r="FM171" s="146">
        <v>0</v>
      </c>
      <c r="FN171" s="146">
        <v>0</v>
      </c>
      <c r="FO171" s="146">
        <v>0</v>
      </c>
      <c r="FP171" s="146">
        <v>0</v>
      </c>
      <c r="FQ171" s="146">
        <v>0</v>
      </c>
      <c r="FR171" s="146">
        <v>0</v>
      </c>
      <c r="FS171" s="146">
        <v>0</v>
      </c>
      <c r="FT171" s="146">
        <v>0</v>
      </c>
      <c r="FU171" s="146">
        <v>0</v>
      </c>
      <c r="FV171" s="146">
        <v>0</v>
      </c>
      <c r="FW171" s="146">
        <v>0</v>
      </c>
      <c r="FX171" s="146">
        <v>0</v>
      </c>
      <c r="FY171" s="146">
        <v>0</v>
      </c>
      <c r="FZ171" s="146">
        <v>0</v>
      </c>
      <c r="GA171" s="146">
        <v>0</v>
      </c>
      <c r="GB171" s="146">
        <v>0</v>
      </c>
      <c r="GC171" s="146">
        <v>0</v>
      </c>
      <c r="GD171" s="146">
        <v>0</v>
      </c>
      <c r="GE171" s="146">
        <v>0</v>
      </c>
      <c r="GF171" s="146">
        <v>0</v>
      </c>
      <c r="GG171" s="146">
        <v>0</v>
      </c>
      <c r="GH171" s="146">
        <v>0</v>
      </c>
      <c r="GI171" s="146">
        <v>0</v>
      </c>
      <c r="GJ171" s="146">
        <v>0</v>
      </c>
      <c r="GK171" s="146">
        <v>0</v>
      </c>
      <c r="GL171" s="146">
        <v>0</v>
      </c>
      <c r="GM171" s="146">
        <v>0</v>
      </c>
      <c r="GN171" s="146">
        <v>0</v>
      </c>
      <c r="GO171" s="146">
        <v>0</v>
      </c>
      <c r="GP171" s="146">
        <v>0</v>
      </c>
      <c r="GQ171" s="146">
        <v>0</v>
      </c>
      <c r="GR171" s="146">
        <v>0</v>
      </c>
      <c r="GS171" s="146">
        <v>0</v>
      </c>
      <c r="GT171" s="146">
        <v>0</v>
      </c>
      <c r="GU171" s="146">
        <v>0</v>
      </c>
      <c r="GV171" s="146">
        <v>0</v>
      </c>
      <c r="GW171" s="146">
        <v>0</v>
      </c>
      <c r="GX171" s="146">
        <v>0</v>
      </c>
      <c r="GY171" s="146">
        <v>0</v>
      </c>
      <c r="GZ171" s="146">
        <v>0</v>
      </c>
      <c r="HA171" s="146">
        <v>0</v>
      </c>
      <c r="HB171" s="146">
        <v>0</v>
      </c>
      <c r="HC171" s="146">
        <v>0</v>
      </c>
      <c r="HD171" s="146">
        <v>0</v>
      </c>
      <c r="HE171" s="146">
        <v>0</v>
      </c>
      <c r="HF171" s="146">
        <v>0</v>
      </c>
      <c r="HG171" s="146">
        <v>0</v>
      </c>
      <c r="HH171" s="146">
        <v>0</v>
      </c>
      <c r="HI171" s="146">
        <v>0</v>
      </c>
      <c r="HJ171" s="146">
        <v>0</v>
      </c>
      <c r="HK171" s="146">
        <v>0</v>
      </c>
      <c r="HL171" s="146">
        <v>0</v>
      </c>
      <c r="HM171" s="146">
        <v>0</v>
      </c>
      <c r="HN171" s="146">
        <v>0</v>
      </c>
      <c r="HO171" s="146">
        <v>0</v>
      </c>
      <c r="HP171" s="146">
        <v>0</v>
      </c>
      <c r="HQ171" s="146">
        <v>0</v>
      </c>
      <c r="HR171" s="146">
        <v>0</v>
      </c>
      <c r="HS171" s="146">
        <v>0</v>
      </c>
      <c r="HT171" s="146">
        <v>0</v>
      </c>
      <c r="HU171" s="151"/>
      <c r="HV171" s="146">
        <v>0</v>
      </c>
      <c r="HW171" s="151"/>
      <c r="HX171" s="151"/>
      <c r="HY171" s="151"/>
      <c r="HZ171" s="151"/>
      <c r="IA171" s="151"/>
      <c r="IB171" s="151"/>
      <c r="IC171" s="151"/>
      <c r="ID171" s="151"/>
      <c r="IE171" s="151"/>
      <c r="IF171" s="151"/>
      <c r="IG171" s="151"/>
      <c r="IH171" s="151"/>
      <c r="II171" s="151"/>
      <c r="IJ171" s="151"/>
      <c r="IK171" s="151"/>
      <c r="IL171" s="151"/>
      <c r="IM171" s="151"/>
      <c r="IN171" s="151"/>
      <c r="IO171" s="151"/>
      <c r="IP171" s="151"/>
      <c r="IQ171" s="151"/>
      <c r="IR171" s="151"/>
      <c r="IS171" s="151"/>
      <c r="IT171" s="151"/>
      <c r="IU171" s="151"/>
      <c r="IV171" s="151"/>
      <c r="IW171" s="151"/>
      <c r="IX171" s="151"/>
      <c r="IY171" s="151"/>
      <c r="IZ171" s="151"/>
      <c r="JA171" s="151"/>
      <c r="JB171" s="151"/>
      <c r="JC171" s="151"/>
      <c r="JD171" s="151"/>
      <c r="JE171" s="151"/>
      <c r="JF171" s="151"/>
      <c r="JG171" s="151"/>
      <c r="JH171" s="151"/>
      <c r="JI171" s="151"/>
      <c r="JJ171" s="151"/>
      <c r="JK171" s="151"/>
      <c r="JL171" s="151"/>
      <c r="JM171" s="151"/>
      <c r="JN171" s="151"/>
      <c r="JO171" s="151"/>
      <c r="JP171" s="151"/>
      <c r="JQ171" s="151"/>
      <c r="JR171" s="151"/>
      <c r="JS171" s="151"/>
      <c r="JT171" s="151"/>
      <c r="JU171" s="151"/>
      <c r="JV171" s="151"/>
      <c r="JW171" s="151"/>
      <c r="JX171" s="151"/>
      <c r="JY171" s="151"/>
      <c r="JZ171" s="151"/>
      <c r="KA171" s="151"/>
      <c r="KB171" s="151"/>
      <c r="KC171" s="151"/>
      <c r="KD171" s="151"/>
      <c r="KE171" s="151"/>
      <c r="KF171" s="151"/>
      <c r="KG171" s="151"/>
      <c r="KH171" s="151"/>
      <c r="KI171" s="151"/>
      <c r="KJ171" s="151"/>
      <c r="KK171" s="151"/>
      <c r="KL171" s="151"/>
      <c r="KM171" s="151"/>
      <c r="KN171" s="151"/>
      <c r="KO171" s="151"/>
      <c r="KP171" s="151"/>
      <c r="KQ171" s="151"/>
      <c r="KR171" s="151"/>
      <c r="KS171" s="151"/>
      <c r="KT171" s="151"/>
      <c r="KU171" s="151"/>
      <c r="KV171" s="151"/>
      <c r="KW171" s="151"/>
      <c r="KX171" s="151"/>
      <c r="KY171" s="151"/>
      <c r="KZ171" s="151"/>
      <c r="LA171" s="151"/>
      <c r="LB171" s="151"/>
      <c r="LC171" s="151"/>
      <c r="LD171" s="151"/>
      <c r="LE171" s="151"/>
    </row>
    <row r="172" spans="1:317" x14ac:dyDescent="0.2">
      <c r="A172" s="179" t="s">
        <v>849</v>
      </c>
      <c r="B172" s="180" t="s">
        <v>1071</v>
      </c>
      <c r="C172" s="181"/>
      <c r="D172" s="182">
        <v>0</v>
      </c>
      <c r="E172" s="182">
        <v>0</v>
      </c>
      <c r="F172" s="183" t="s">
        <v>1314</v>
      </c>
      <c r="G172" s="183">
        <v>0</v>
      </c>
      <c r="H172" s="183">
        <v>0</v>
      </c>
      <c r="I172" s="183">
        <v>0</v>
      </c>
      <c r="J172" s="183">
        <v>0</v>
      </c>
      <c r="K172" s="183" t="s">
        <v>1368</v>
      </c>
      <c r="L172" s="183">
        <v>0</v>
      </c>
      <c r="M172" s="183">
        <v>0</v>
      </c>
      <c r="N172" s="183" t="s">
        <v>881</v>
      </c>
      <c r="O172" s="183">
        <v>0</v>
      </c>
      <c r="P172" s="183">
        <v>0</v>
      </c>
      <c r="Q172" s="183"/>
      <c r="R172" s="183"/>
      <c r="S172" s="183"/>
      <c r="T172" s="183"/>
      <c r="U172" s="183"/>
      <c r="V172" s="183">
        <v>0</v>
      </c>
      <c r="W172" s="183">
        <v>0</v>
      </c>
      <c r="X172" s="183">
        <v>0</v>
      </c>
      <c r="Y172" s="184">
        <v>0</v>
      </c>
      <c r="Z172" s="184">
        <v>0</v>
      </c>
      <c r="AA172" s="184">
        <v>0</v>
      </c>
      <c r="AB172" s="185" t="s">
        <v>615</v>
      </c>
      <c r="AC172" s="185" t="s">
        <v>615</v>
      </c>
      <c r="AD172" s="186" t="s">
        <v>881</v>
      </c>
      <c r="AE172" s="186" t="s">
        <v>858</v>
      </c>
      <c r="AF172" s="187">
        <v>7</v>
      </c>
      <c r="AG172" s="187">
        <v>3</v>
      </c>
      <c r="AH172" s="187">
        <v>4</v>
      </c>
      <c r="AI172" s="188">
        <v>1</v>
      </c>
      <c r="AJ172" s="188" t="s">
        <v>615</v>
      </c>
      <c r="AK172" s="187" t="s">
        <v>1738</v>
      </c>
      <c r="AL172" s="87" t="s">
        <v>615</v>
      </c>
      <c r="AM172" s="189"/>
      <c r="AN172" s="187" t="s">
        <v>615</v>
      </c>
      <c r="AO172" s="13" t="s">
        <v>615</v>
      </c>
      <c r="AP172" s="187">
        <v>0</v>
      </c>
      <c r="AQ172" s="187">
        <v>0</v>
      </c>
      <c r="AR172" s="190">
        <v>0</v>
      </c>
      <c r="AS172" s="190">
        <v>0</v>
      </c>
      <c r="AT172" s="190">
        <v>0</v>
      </c>
      <c r="AU172" s="187">
        <v>0</v>
      </c>
      <c r="AV172" s="187">
        <v>0</v>
      </c>
      <c r="AW172" s="191"/>
      <c r="AX172" s="192"/>
      <c r="AY172" s="193">
        <v>42666</v>
      </c>
      <c r="AZ172" s="193"/>
      <c r="BA172" s="193"/>
      <c r="BB172" s="194"/>
      <c r="BC172" s="194"/>
      <c r="BD172" s="195"/>
      <c r="BE172" s="195" t="s">
        <v>532</v>
      </c>
      <c r="BF172" s="195"/>
      <c r="BG172" s="195">
        <v>480</v>
      </c>
      <c r="BH172" s="196" t="s">
        <v>547</v>
      </c>
      <c r="BI172" s="197">
        <v>1</v>
      </c>
      <c r="BJ172" s="198"/>
      <c r="BK172" s="199">
        <v>0</v>
      </c>
      <c r="BL172" s="13">
        <v>0</v>
      </c>
      <c r="BM172" s="13">
        <v>0</v>
      </c>
      <c r="BN172" s="13" t="s">
        <v>616</v>
      </c>
      <c r="BO172" s="13" t="s">
        <v>616</v>
      </c>
      <c r="BP172" s="200">
        <v>0</v>
      </c>
      <c r="BQ172" s="201"/>
      <c r="BR172" s="202"/>
      <c r="BS172" s="187">
        <v>1000000000</v>
      </c>
      <c r="BT172" s="203">
        <v>0</v>
      </c>
      <c r="BU172" s="204">
        <v>0</v>
      </c>
      <c r="BV172" s="203">
        <v>0</v>
      </c>
      <c r="BW172" s="205">
        <v>0</v>
      </c>
      <c r="BX172" s="205">
        <v>0</v>
      </c>
      <c r="BY172" s="205">
        <v>0</v>
      </c>
      <c r="BZ172" s="203">
        <v>0</v>
      </c>
      <c r="CA172" s="203">
        <v>0</v>
      </c>
      <c r="CB172" s="203">
        <v>0</v>
      </c>
      <c r="CC172" s="204">
        <v>0</v>
      </c>
      <c r="CD172" s="203">
        <v>0</v>
      </c>
      <c r="CE172" s="203">
        <v>0</v>
      </c>
      <c r="CF172" s="13">
        <v>0</v>
      </c>
      <c r="CG172" s="206">
        <v>0</v>
      </c>
      <c r="CH172" s="207">
        <v>0</v>
      </c>
      <c r="CI172" s="201"/>
      <c r="CJ172" s="208"/>
      <c r="CK172" s="209" t="s">
        <v>615</v>
      </c>
      <c r="CL172" s="210" t="s">
        <v>615</v>
      </c>
      <c r="CM172" s="207">
        <v>0</v>
      </c>
      <c r="CN172" s="207">
        <v>0</v>
      </c>
      <c r="CO172" s="204">
        <v>0</v>
      </c>
      <c r="CP172" s="204">
        <v>0</v>
      </c>
      <c r="CQ172" s="211"/>
      <c r="CR172" s="204">
        <v>1</v>
      </c>
      <c r="CS172" s="212">
        <v>42558</v>
      </c>
      <c r="CT172" s="212">
        <v>42780</v>
      </c>
      <c r="CU172" s="213">
        <v>42780</v>
      </c>
      <c r="CV172" s="214">
        <v>42829</v>
      </c>
      <c r="CW172" s="214" t="s">
        <v>615</v>
      </c>
      <c r="CX172" s="214" t="s">
        <v>615</v>
      </c>
      <c r="CY172" s="204">
        <v>1</v>
      </c>
      <c r="CZ172" s="204">
        <v>0.97959183673469385</v>
      </c>
      <c r="DA172" s="203">
        <v>0</v>
      </c>
      <c r="DB172" s="204">
        <v>0.97959183673469385</v>
      </c>
      <c r="DC172" s="204">
        <v>0</v>
      </c>
      <c r="DD172" s="204">
        <v>0</v>
      </c>
      <c r="DE172" s="204">
        <v>0</v>
      </c>
      <c r="DF172" s="215">
        <v>0</v>
      </c>
      <c r="DG172" s="13" t="s">
        <v>615</v>
      </c>
      <c r="DH172" s="86">
        <v>170</v>
      </c>
      <c r="DI172" s="86"/>
      <c r="DJ172" s="86">
        <v>166</v>
      </c>
      <c r="DK172" s="86" t="s">
        <v>1625</v>
      </c>
      <c r="DL172" s="86" t="e">
        <v>#N/A</v>
      </c>
      <c r="DM172" s="86" t="e">
        <v>#N/A</v>
      </c>
      <c r="DN172" s="86" t="e">
        <v>#N/A</v>
      </c>
      <c r="DO172" s="86">
        <v>328</v>
      </c>
      <c r="DP172" s="86">
        <v>5</v>
      </c>
      <c r="DQ172" s="86">
        <v>49</v>
      </c>
      <c r="DR172" s="152">
        <v>0</v>
      </c>
      <c r="DS172" s="152">
        <v>0</v>
      </c>
      <c r="DT172" s="152">
        <v>0</v>
      </c>
      <c r="DU172" s="152">
        <v>0</v>
      </c>
      <c r="DV172" s="152">
        <v>0</v>
      </c>
      <c r="DW172" s="152">
        <v>0</v>
      </c>
      <c r="DX172" s="152">
        <v>0</v>
      </c>
      <c r="DY172" s="152">
        <v>0</v>
      </c>
      <c r="DZ172" s="152">
        <v>0</v>
      </c>
      <c r="EA172" s="152">
        <v>0</v>
      </c>
      <c r="EB172" s="152">
        <v>0</v>
      </c>
      <c r="EC172" s="152">
        <v>0</v>
      </c>
      <c r="ED172" s="152">
        <v>0</v>
      </c>
      <c r="EE172" s="152">
        <v>0</v>
      </c>
      <c r="EF172" s="152">
        <v>0</v>
      </c>
      <c r="EG172" s="152">
        <v>0</v>
      </c>
      <c r="EH172" s="152">
        <v>0</v>
      </c>
      <c r="EI172" s="152">
        <v>0</v>
      </c>
      <c r="EJ172" s="152">
        <v>0</v>
      </c>
      <c r="EK172" s="152">
        <v>0</v>
      </c>
      <c r="EL172" s="152">
        <v>0</v>
      </c>
      <c r="EM172" s="152">
        <v>0</v>
      </c>
      <c r="EN172" s="152">
        <v>0</v>
      </c>
      <c r="EO172" s="152">
        <v>0</v>
      </c>
      <c r="EP172" s="152">
        <v>0</v>
      </c>
      <c r="EQ172" s="152">
        <v>0</v>
      </c>
      <c r="ER172" s="152">
        <v>0</v>
      </c>
      <c r="ES172" s="152">
        <v>0</v>
      </c>
      <c r="ET172" s="152">
        <v>0</v>
      </c>
      <c r="EU172" s="152">
        <v>0</v>
      </c>
      <c r="EV172" s="152">
        <v>0</v>
      </c>
      <c r="EW172" s="152">
        <v>0</v>
      </c>
      <c r="EX172" s="152">
        <v>0</v>
      </c>
      <c r="EY172" s="152">
        <v>0</v>
      </c>
      <c r="EZ172" s="152">
        <v>0</v>
      </c>
      <c r="FA172" s="152">
        <v>0</v>
      </c>
      <c r="FB172" s="152">
        <v>0</v>
      </c>
      <c r="FC172" s="152">
        <v>0</v>
      </c>
      <c r="FD172" s="152">
        <v>0</v>
      </c>
      <c r="FE172" s="152">
        <v>0</v>
      </c>
      <c r="FF172" s="152">
        <v>0</v>
      </c>
      <c r="FG172" s="152">
        <v>0</v>
      </c>
      <c r="FH172" s="152">
        <v>0</v>
      </c>
      <c r="FI172" s="152">
        <v>0</v>
      </c>
      <c r="FJ172" s="152">
        <v>0</v>
      </c>
      <c r="FK172" s="152">
        <v>0</v>
      </c>
      <c r="FL172" s="152">
        <v>0</v>
      </c>
      <c r="FM172" s="152">
        <v>0</v>
      </c>
      <c r="FN172" s="152">
        <v>0</v>
      </c>
      <c r="FO172" s="152">
        <v>0</v>
      </c>
      <c r="FP172" s="152">
        <v>0</v>
      </c>
      <c r="FQ172" s="152">
        <v>0</v>
      </c>
      <c r="FR172" s="152">
        <v>0</v>
      </c>
      <c r="FS172" s="152">
        <v>0</v>
      </c>
      <c r="FT172" s="152">
        <v>0</v>
      </c>
      <c r="FU172" s="152">
        <v>0</v>
      </c>
      <c r="FV172" s="152">
        <v>0</v>
      </c>
      <c r="FW172" s="152">
        <v>0</v>
      </c>
      <c r="FX172" s="152">
        <v>0</v>
      </c>
      <c r="FY172" s="152">
        <v>0</v>
      </c>
      <c r="FZ172" s="152">
        <v>0</v>
      </c>
      <c r="GA172" s="152">
        <v>0</v>
      </c>
      <c r="GB172" s="152">
        <v>0</v>
      </c>
      <c r="GC172" s="152">
        <v>0</v>
      </c>
      <c r="GD172" s="152">
        <v>0</v>
      </c>
      <c r="GE172" s="152">
        <v>0</v>
      </c>
      <c r="GF172" s="152">
        <v>0</v>
      </c>
      <c r="GG172" s="152">
        <v>0</v>
      </c>
      <c r="GH172" s="152">
        <v>0</v>
      </c>
      <c r="GI172" s="152">
        <v>0</v>
      </c>
      <c r="GJ172" s="152">
        <v>0</v>
      </c>
      <c r="GK172" s="152">
        <v>0</v>
      </c>
      <c r="GL172" s="152">
        <v>0</v>
      </c>
      <c r="GM172" s="152">
        <v>0</v>
      </c>
      <c r="GN172" s="152">
        <v>0</v>
      </c>
      <c r="GO172" s="152">
        <v>0</v>
      </c>
      <c r="GP172" s="152">
        <v>0</v>
      </c>
      <c r="GQ172" s="152">
        <v>0</v>
      </c>
      <c r="GR172" s="152">
        <v>0</v>
      </c>
      <c r="GS172" s="152">
        <v>0</v>
      </c>
      <c r="GT172" s="152">
        <v>0</v>
      </c>
      <c r="GU172" s="152">
        <v>0</v>
      </c>
      <c r="GV172" s="152">
        <v>0</v>
      </c>
      <c r="GW172" s="152">
        <v>0</v>
      </c>
      <c r="GX172" s="152">
        <v>0</v>
      </c>
      <c r="GY172" s="152">
        <v>0</v>
      </c>
      <c r="GZ172" s="152">
        <v>0</v>
      </c>
      <c r="HA172" s="152">
        <v>0</v>
      </c>
      <c r="HB172" s="152">
        <v>0</v>
      </c>
      <c r="HC172" s="152">
        <v>0</v>
      </c>
      <c r="HD172" s="152">
        <v>0</v>
      </c>
      <c r="HE172" s="152">
        <v>0</v>
      </c>
      <c r="HF172" s="152">
        <v>0</v>
      </c>
      <c r="HG172" s="152">
        <v>0</v>
      </c>
      <c r="HH172" s="152">
        <v>0</v>
      </c>
      <c r="HI172" s="152">
        <v>0</v>
      </c>
      <c r="HJ172" s="152">
        <v>0</v>
      </c>
      <c r="HK172" s="152">
        <v>0</v>
      </c>
      <c r="HL172" s="152">
        <v>0</v>
      </c>
      <c r="HM172" s="152">
        <v>0</v>
      </c>
      <c r="HN172" s="152">
        <v>0</v>
      </c>
      <c r="HO172" s="152">
        <v>0</v>
      </c>
      <c r="HP172" s="152">
        <v>0</v>
      </c>
      <c r="HQ172" s="152">
        <v>0</v>
      </c>
      <c r="HR172" s="152">
        <v>0</v>
      </c>
      <c r="HS172" s="152">
        <v>0</v>
      </c>
      <c r="HT172" s="152">
        <v>0</v>
      </c>
      <c r="HU172" s="216"/>
      <c r="HV172" s="152">
        <v>0</v>
      </c>
      <c r="HW172" s="216"/>
      <c r="HX172" s="216"/>
      <c r="HY172" s="216"/>
      <c r="HZ172" s="216"/>
      <c r="IA172" s="216"/>
      <c r="IB172" s="216"/>
      <c r="IC172" s="216"/>
      <c r="ID172" s="216"/>
      <c r="IE172" s="216"/>
      <c r="IF172" s="216"/>
      <c r="IG172" s="216"/>
      <c r="IH172" s="216"/>
      <c r="II172" s="216"/>
      <c r="IJ172" s="216"/>
      <c r="IK172" s="216"/>
      <c r="IL172" s="216"/>
      <c r="IM172" s="216"/>
      <c r="IN172" s="216"/>
      <c r="IO172" s="216"/>
      <c r="IP172" s="216"/>
      <c r="IQ172" s="216"/>
      <c r="IR172" s="216"/>
      <c r="IS172" s="216"/>
      <c r="IT172" s="216"/>
      <c r="IU172" s="216"/>
      <c r="IV172" s="216"/>
      <c r="IW172" s="216"/>
      <c r="IX172" s="216"/>
      <c r="IY172" s="216"/>
      <c r="IZ172" s="216"/>
      <c r="JA172" s="216"/>
      <c r="JB172" s="216"/>
      <c r="JC172" s="216"/>
      <c r="JD172" s="216"/>
      <c r="JE172" s="216"/>
      <c r="JF172" s="216"/>
      <c r="JG172" s="216"/>
      <c r="JH172" s="216"/>
      <c r="JI172" s="216"/>
      <c r="JJ172" s="216"/>
      <c r="JK172" s="216"/>
      <c r="JL172" s="216"/>
      <c r="JM172" s="216"/>
      <c r="JN172" s="216"/>
      <c r="JO172" s="216"/>
      <c r="JP172" s="216"/>
      <c r="JQ172" s="216"/>
      <c r="JR172" s="216"/>
      <c r="JS172" s="216"/>
      <c r="JT172" s="216"/>
      <c r="JU172" s="216"/>
      <c r="JV172" s="216"/>
      <c r="JW172" s="216"/>
      <c r="JX172" s="216"/>
      <c r="JY172" s="216"/>
      <c r="JZ172" s="216"/>
      <c r="KA172" s="216"/>
      <c r="KB172" s="216"/>
      <c r="KC172" s="216"/>
      <c r="KD172" s="216"/>
      <c r="KE172" s="216"/>
      <c r="KF172" s="216"/>
      <c r="KG172" s="216"/>
      <c r="KH172" s="216"/>
      <c r="KI172" s="216"/>
      <c r="KJ172" s="216"/>
      <c r="KK172" s="216"/>
      <c r="KL172" s="216"/>
      <c r="KM172" s="216"/>
      <c r="KN172" s="216"/>
      <c r="KO172" s="216"/>
      <c r="KP172" s="216"/>
      <c r="KQ172" s="216"/>
      <c r="KR172" s="216"/>
      <c r="KS172" s="216"/>
      <c r="KT172" s="216"/>
      <c r="KU172" s="216"/>
      <c r="KV172" s="216"/>
      <c r="KW172" s="216"/>
      <c r="KX172" s="216"/>
      <c r="KY172" s="216"/>
      <c r="KZ172" s="216"/>
      <c r="LA172" s="216"/>
      <c r="LB172" s="216"/>
      <c r="LC172" s="216"/>
      <c r="LD172" s="216"/>
      <c r="LE172" s="216"/>
    </row>
    <row r="173" spans="1:317" x14ac:dyDescent="0.2">
      <c r="A173" s="179" t="s">
        <v>849</v>
      </c>
      <c r="B173" s="180" t="s">
        <v>1072</v>
      </c>
      <c r="C173" s="181"/>
      <c r="D173" s="182">
        <v>0</v>
      </c>
      <c r="E173" s="182">
        <v>0</v>
      </c>
      <c r="F173" s="183" t="s">
        <v>1314</v>
      </c>
      <c r="G173" s="183">
        <v>0</v>
      </c>
      <c r="H173" s="183">
        <v>0</v>
      </c>
      <c r="I173" s="183">
        <v>0</v>
      </c>
      <c r="J173" s="183">
        <v>0</v>
      </c>
      <c r="K173" s="183" t="s">
        <v>1368</v>
      </c>
      <c r="L173" s="183">
        <v>0</v>
      </c>
      <c r="M173" s="183">
        <v>0</v>
      </c>
      <c r="N173" s="183" t="s">
        <v>881</v>
      </c>
      <c r="O173" s="183">
        <v>0</v>
      </c>
      <c r="P173" s="183">
        <v>0</v>
      </c>
      <c r="Q173" s="183"/>
      <c r="R173" s="183"/>
      <c r="S173" s="183"/>
      <c r="T173" s="183"/>
      <c r="U173" s="183"/>
      <c r="V173" s="183">
        <v>0</v>
      </c>
      <c r="W173" s="183">
        <v>0</v>
      </c>
      <c r="X173" s="183">
        <v>0</v>
      </c>
      <c r="Y173" s="184">
        <v>0</v>
      </c>
      <c r="Z173" s="184">
        <v>0</v>
      </c>
      <c r="AA173" s="184">
        <v>0</v>
      </c>
      <c r="AB173" s="185" t="s">
        <v>615</v>
      </c>
      <c r="AC173" s="185" t="s">
        <v>615</v>
      </c>
      <c r="AD173" s="186" t="s">
        <v>881</v>
      </c>
      <c r="AE173" s="186" t="s">
        <v>858</v>
      </c>
      <c r="AF173" s="187">
        <v>7</v>
      </c>
      <c r="AG173" s="187">
        <v>3</v>
      </c>
      <c r="AH173" s="187">
        <v>4</v>
      </c>
      <c r="AI173" s="188">
        <v>1</v>
      </c>
      <c r="AJ173" s="188" t="s">
        <v>615</v>
      </c>
      <c r="AK173" s="187" t="s">
        <v>1738</v>
      </c>
      <c r="AL173" s="87" t="s">
        <v>615</v>
      </c>
      <c r="AM173" s="189"/>
      <c r="AN173" s="187" t="s">
        <v>615</v>
      </c>
      <c r="AO173" s="13" t="s">
        <v>615</v>
      </c>
      <c r="AP173" s="187">
        <v>0</v>
      </c>
      <c r="AQ173" s="187">
        <v>0</v>
      </c>
      <c r="AR173" s="190">
        <v>0</v>
      </c>
      <c r="AS173" s="190">
        <v>0</v>
      </c>
      <c r="AT173" s="190">
        <v>0</v>
      </c>
      <c r="AU173" s="187">
        <v>0</v>
      </c>
      <c r="AV173" s="187">
        <v>0</v>
      </c>
      <c r="AW173" s="191"/>
      <c r="AX173" s="192"/>
      <c r="AY173" s="193">
        <v>42666</v>
      </c>
      <c r="AZ173" s="193"/>
      <c r="BA173" s="193"/>
      <c r="BB173" s="194"/>
      <c r="BC173" s="194"/>
      <c r="BD173" s="195"/>
      <c r="BE173" s="195" t="s">
        <v>532</v>
      </c>
      <c r="BF173" s="195"/>
      <c r="BG173" s="195">
        <v>48</v>
      </c>
      <c r="BH173" s="196" t="s">
        <v>547</v>
      </c>
      <c r="BI173" s="197">
        <v>1</v>
      </c>
      <c r="BJ173" s="198"/>
      <c r="BK173" s="199">
        <v>0</v>
      </c>
      <c r="BL173" s="13">
        <v>0</v>
      </c>
      <c r="BM173" s="13">
        <v>0</v>
      </c>
      <c r="BN173" s="13" t="s">
        <v>616</v>
      </c>
      <c r="BO173" s="13" t="s">
        <v>616</v>
      </c>
      <c r="BP173" s="200">
        <v>0</v>
      </c>
      <c r="BQ173" s="201"/>
      <c r="BR173" s="202"/>
      <c r="BS173" s="187">
        <v>1000000000</v>
      </c>
      <c r="BT173" s="203">
        <v>0</v>
      </c>
      <c r="BU173" s="204">
        <v>0</v>
      </c>
      <c r="BV173" s="203">
        <v>0</v>
      </c>
      <c r="BW173" s="205">
        <v>0</v>
      </c>
      <c r="BX173" s="205">
        <v>0</v>
      </c>
      <c r="BY173" s="205">
        <v>0</v>
      </c>
      <c r="BZ173" s="203">
        <v>0</v>
      </c>
      <c r="CA173" s="203">
        <v>0</v>
      </c>
      <c r="CB173" s="203">
        <v>0</v>
      </c>
      <c r="CC173" s="204">
        <v>0</v>
      </c>
      <c r="CD173" s="203">
        <v>0</v>
      </c>
      <c r="CE173" s="203">
        <v>0</v>
      </c>
      <c r="CF173" s="13">
        <v>0</v>
      </c>
      <c r="CG173" s="206">
        <v>0</v>
      </c>
      <c r="CH173" s="207">
        <v>0</v>
      </c>
      <c r="CI173" s="201"/>
      <c r="CJ173" s="208"/>
      <c r="CK173" s="209" t="s">
        <v>615</v>
      </c>
      <c r="CL173" s="210" t="s">
        <v>615</v>
      </c>
      <c r="CM173" s="207">
        <v>0</v>
      </c>
      <c r="CN173" s="207">
        <v>0</v>
      </c>
      <c r="CO173" s="204">
        <v>0</v>
      </c>
      <c r="CP173" s="204">
        <v>0</v>
      </c>
      <c r="CQ173" s="211"/>
      <c r="CR173" s="204">
        <v>1</v>
      </c>
      <c r="CS173" s="212">
        <v>42558</v>
      </c>
      <c r="CT173" s="212">
        <v>42780</v>
      </c>
      <c r="CU173" s="213">
        <v>42780</v>
      </c>
      <c r="CV173" s="214">
        <v>42829</v>
      </c>
      <c r="CW173" s="214" t="s">
        <v>615</v>
      </c>
      <c r="CX173" s="214" t="s">
        <v>615</v>
      </c>
      <c r="CY173" s="204">
        <v>1</v>
      </c>
      <c r="CZ173" s="204">
        <v>0.97959183673469385</v>
      </c>
      <c r="DA173" s="203">
        <v>0</v>
      </c>
      <c r="DB173" s="204">
        <v>0.97959183673469385</v>
      </c>
      <c r="DC173" s="204">
        <v>0</v>
      </c>
      <c r="DD173" s="204">
        <v>0</v>
      </c>
      <c r="DE173" s="204">
        <v>0</v>
      </c>
      <c r="DF173" s="215">
        <v>0</v>
      </c>
      <c r="DG173" s="13" t="s">
        <v>615</v>
      </c>
      <c r="DH173" s="86">
        <v>171</v>
      </c>
      <c r="DI173" s="86"/>
      <c r="DJ173" s="86">
        <v>167</v>
      </c>
      <c r="DK173" s="86" t="s">
        <v>1626</v>
      </c>
      <c r="DL173" s="86" t="e">
        <v>#N/A</v>
      </c>
      <c r="DM173" s="86" t="e">
        <v>#N/A</v>
      </c>
      <c r="DN173" s="86" t="e">
        <v>#N/A</v>
      </c>
      <c r="DO173" s="86">
        <v>329</v>
      </c>
      <c r="DP173" s="86">
        <v>5</v>
      </c>
      <c r="DQ173" s="86">
        <v>49</v>
      </c>
      <c r="DR173" s="146">
        <v>0</v>
      </c>
      <c r="DS173" s="146">
        <v>0</v>
      </c>
      <c r="DT173" s="146">
        <v>0</v>
      </c>
      <c r="DU173" s="146">
        <v>0</v>
      </c>
      <c r="DV173" s="146">
        <v>0</v>
      </c>
      <c r="DW173" s="146">
        <v>0</v>
      </c>
      <c r="DX173" s="146">
        <v>0</v>
      </c>
      <c r="DY173" s="146">
        <v>0</v>
      </c>
      <c r="DZ173" s="146">
        <v>0</v>
      </c>
      <c r="EA173" s="146">
        <v>0</v>
      </c>
      <c r="EB173" s="146">
        <v>0</v>
      </c>
      <c r="EC173" s="146">
        <v>0</v>
      </c>
      <c r="ED173" s="146">
        <v>0</v>
      </c>
      <c r="EE173" s="146">
        <v>0</v>
      </c>
      <c r="EF173" s="146">
        <v>0</v>
      </c>
      <c r="EG173" s="146">
        <v>0</v>
      </c>
      <c r="EH173" s="146">
        <v>0</v>
      </c>
      <c r="EI173" s="146">
        <v>0</v>
      </c>
      <c r="EJ173" s="146">
        <v>0</v>
      </c>
      <c r="EK173" s="146">
        <v>0</v>
      </c>
      <c r="EL173" s="146">
        <v>0</v>
      </c>
      <c r="EM173" s="146">
        <v>0</v>
      </c>
      <c r="EN173" s="146">
        <v>0</v>
      </c>
      <c r="EO173" s="146">
        <v>0</v>
      </c>
      <c r="EP173" s="146">
        <v>0</v>
      </c>
      <c r="EQ173" s="146">
        <v>0</v>
      </c>
      <c r="ER173" s="146">
        <v>0</v>
      </c>
      <c r="ES173" s="146">
        <v>0</v>
      </c>
      <c r="ET173" s="146">
        <v>0</v>
      </c>
      <c r="EU173" s="146">
        <v>0</v>
      </c>
      <c r="EV173" s="146">
        <v>0</v>
      </c>
      <c r="EW173" s="146">
        <v>0</v>
      </c>
      <c r="EX173" s="146">
        <v>0</v>
      </c>
      <c r="EY173" s="146">
        <v>0</v>
      </c>
      <c r="EZ173" s="146">
        <v>0</v>
      </c>
      <c r="FA173" s="146">
        <v>0</v>
      </c>
      <c r="FB173" s="146">
        <v>0</v>
      </c>
      <c r="FC173" s="146">
        <v>0</v>
      </c>
      <c r="FD173" s="146">
        <v>0</v>
      </c>
      <c r="FE173" s="146">
        <v>0</v>
      </c>
      <c r="FF173" s="146">
        <v>0</v>
      </c>
      <c r="FG173" s="146">
        <v>0</v>
      </c>
      <c r="FH173" s="146">
        <v>0</v>
      </c>
      <c r="FI173" s="146">
        <v>0</v>
      </c>
      <c r="FJ173" s="146">
        <v>0</v>
      </c>
      <c r="FK173" s="146">
        <v>0</v>
      </c>
      <c r="FL173" s="146">
        <v>0</v>
      </c>
      <c r="FM173" s="146">
        <v>0</v>
      </c>
      <c r="FN173" s="146">
        <v>0</v>
      </c>
      <c r="FO173" s="146">
        <v>0</v>
      </c>
      <c r="FP173" s="146">
        <v>0</v>
      </c>
      <c r="FQ173" s="146">
        <v>0</v>
      </c>
      <c r="FR173" s="146">
        <v>0</v>
      </c>
      <c r="FS173" s="146">
        <v>0</v>
      </c>
      <c r="FT173" s="146">
        <v>0</v>
      </c>
      <c r="FU173" s="146">
        <v>0</v>
      </c>
      <c r="FV173" s="146">
        <v>0</v>
      </c>
      <c r="FW173" s="146">
        <v>0</v>
      </c>
      <c r="FX173" s="146">
        <v>0</v>
      </c>
      <c r="FY173" s="146">
        <v>0</v>
      </c>
      <c r="FZ173" s="146">
        <v>0</v>
      </c>
      <c r="GA173" s="146">
        <v>0</v>
      </c>
      <c r="GB173" s="146">
        <v>0</v>
      </c>
      <c r="GC173" s="146">
        <v>0</v>
      </c>
      <c r="GD173" s="146">
        <v>0</v>
      </c>
      <c r="GE173" s="146">
        <v>0</v>
      </c>
      <c r="GF173" s="146">
        <v>0</v>
      </c>
      <c r="GG173" s="146">
        <v>0</v>
      </c>
      <c r="GH173" s="146">
        <v>0</v>
      </c>
      <c r="GI173" s="146">
        <v>0</v>
      </c>
      <c r="GJ173" s="146">
        <v>0</v>
      </c>
      <c r="GK173" s="146">
        <v>0</v>
      </c>
      <c r="GL173" s="146">
        <v>0</v>
      </c>
      <c r="GM173" s="146">
        <v>0</v>
      </c>
      <c r="GN173" s="146">
        <v>0</v>
      </c>
      <c r="GO173" s="146">
        <v>0</v>
      </c>
      <c r="GP173" s="146">
        <v>0</v>
      </c>
      <c r="GQ173" s="146">
        <v>0</v>
      </c>
      <c r="GR173" s="146">
        <v>0</v>
      </c>
      <c r="GS173" s="146">
        <v>0</v>
      </c>
      <c r="GT173" s="146">
        <v>0</v>
      </c>
      <c r="GU173" s="146">
        <v>0</v>
      </c>
      <c r="GV173" s="146">
        <v>0</v>
      </c>
      <c r="GW173" s="146">
        <v>0</v>
      </c>
      <c r="GX173" s="146">
        <v>0</v>
      </c>
      <c r="GY173" s="146">
        <v>0</v>
      </c>
      <c r="GZ173" s="146">
        <v>0</v>
      </c>
      <c r="HA173" s="146">
        <v>0</v>
      </c>
      <c r="HB173" s="146">
        <v>0</v>
      </c>
      <c r="HC173" s="146">
        <v>0</v>
      </c>
      <c r="HD173" s="146">
        <v>0</v>
      </c>
      <c r="HE173" s="146">
        <v>0</v>
      </c>
      <c r="HF173" s="146">
        <v>0</v>
      </c>
      <c r="HG173" s="146">
        <v>0</v>
      </c>
      <c r="HH173" s="146">
        <v>0</v>
      </c>
      <c r="HI173" s="146">
        <v>0</v>
      </c>
      <c r="HJ173" s="146">
        <v>0</v>
      </c>
      <c r="HK173" s="146">
        <v>0</v>
      </c>
      <c r="HL173" s="146">
        <v>0</v>
      </c>
      <c r="HM173" s="146">
        <v>0</v>
      </c>
      <c r="HN173" s="146">
        <v>0</v>
      </c>
      <c r="HO173" s="146">
        <v>0</v>
      </c>
      <c r="HP173" s="146">
        <v>0</v>
      </c>
      <c r="HQ173" s="146">
        <v>0</v>
      </c>
      <c r="HR173" s="146">
        <v>0</v>
      </c>
      <c r="HS173" s="146">
        <v>0</v>
      </c>
      <c r="HT173" s="146">
        <v>0</v>
      </c>
      <c r="HU173" s="151"/>
      <c r="HV173" s="146">
        <v>0</v>
      </c>
      <c r="HW173" s="151"/>
      <c r="HX173" s="151"/>
      <c r="HY173" s="151"/>
      <c r="HZ173" s="151"/>
      <c r="IA173" s="151"/>
      <c r="IB173" s="151"/>
      <c r="IC173" s="151"/>
      <c r="ID173" s="151"/>
      <c r="IE173" s="151"/>
      <c r="IF173" s="151"/>
      <c r="IG173" s="151"/>
      <c r="IH173" s="151"/>
      <c r="II173" s="151"/>
      <c r="IJ173" s="151"/>
      <c r="IK173" s="151"/>
      <c r="IL173" s="151"/>
      <c r="IM173" s="151"/>
      <c r="IN173" s="151"/>
      <c r="IO173" s="151"/>
      <c r="IP173" s="151"/>
      <c r="IQ173" s="151"/>
      <c r="IR173" s="151"/>
      <c r="IS173" s="151"/>
      <c r="IT173" s="151"/>
      <c r="IU173" s="151"/>
      <c r="IV173" s="151"/>
      <c r="IW173" s="151"/>
      <c r="IX173" s="151"/>
      <c r="IY173" s="151"/>
      <c r="IZ173" s="151"/>
      <c r="JA173" s="151"/>
      <c r="JB173" s="151"/>
      <c r="JC173" s="151"/>
      <c r="JD173" s="151"/>
      <c r="JE173" s="151"/>
      <c r="JF173" s="151"/>
      <c r="JG173" s="151"/>
      <c r="JH173" s="151"/>
      <c r="JI173" s="151"/>
      <c r="JJ173" s="151"/>
      <c r="JK173" s="151"/>
      <c r="JL173" s="151"/>
      <c r="JM173" s="151"/>
      <c r="JN173" s="151"/>
      <c r="JO173" s="151"/>
      <c r="JP173" s="151"/>
      <c r="JQ173" s="151"/>
      <c r="JR173" s="151"/>
      <c r="JS173" s="151"/>
      <c r="JT173" s="151"/>
      <c r="JU173" s="151"/>
      <c r="JV173" s="151"/>
      <c r="JW173" s="151"/>
      <c r="JX173" s="151"/>
      <c r="JY173" s="151"/>
      <c r="JZ173" s="151"/>
      <c r="KA173" s="151"/>
      <c r="KB173" s="151"/>
      <c r="KC173" s="151"/>
      <c r="KD173" s="151"/>
      <c r="KE173" s="151"/>
      <c r="KF173" s="151"/>
      <c r="KG173" s="151"/>
      <c r="KH173" s="151"/>
      <c r="KI173" s="151"/>
      <c r="KJ173" s="151"/>
      <c r="KK173" s="151"/>
      <c r="KL173" s="151"/>
      <c r="KM173" s="151"/>
      <c r="KN173" s="151"/>
      <c r="KO173" s="151"/>
      <c r="KP173" s="151"/>
      <c r="KQ173" s="151"/>
      <c r="KR173" s="151"/>
      <c r="KS173" s="151"/>
      <c r="KT173" s="151"/>
      <c r="KU173" s="151"/>
      <c r="KV173" s="151"/>
      <c r="KW173" s="151"/>
      <c r="KX173" s="151"/>
      <c r="KY173" s="151"/>
      <c r="KZ173" s="151"/>
      <c r="LA173" s="151"/>
      <c r="LB173" s="151"/>
      <c r="LC173" s="151"/>
      <c r="LD173" s="151"/>
      <c r="LE173" s="151"/>
    </row>
    <row r="174" spans="1:317" x14ac:dyDescent="0.2">
      <c r="A174" s="179" t="s">
        <v>849</v>
      </c>
      <c r="B174" s="180" t="s">
        <v>1073</v>
      </c>
      <c r="C174" s="181"/>
      <c r="D174" s="182">
        <v>0</v>
      </c>
      <c r="E174" s="182">
        <v>0</v>
      </c>
      <c r="F174" s="183" t="s">
        <v>1314</v>
      </c>
      <c r="G174" s="183">
        <v>0</v>
      </c>
      <c r="H174" s="183">
        <v>0</v>
      </c>
      <c r="I174" s="183">
        <v>0</v>
      </c>
      <c r="J174" s="183">
        <v>0</v>
      </c>
      <c r="K174" s="183" t="s">
        <v>1368</v>
      </c>
      <c r="L174" s="183">
        <v>0</v>
      </c>
      <c r="M174" s="183">
        <v>0</v>
      </c>
      <c r="N174" s="183" t="s">
        <v>881</v>
      </c>
      <c r="O174" s="183">
        <v>0</v>
      </c>
      <c r="P174" s="183">
        <v>0</v>
      </c>
      <c r="Q174" s="183"/>
      <c r="R174" s="183"/>
      <c r="S174" s="183"/>
      <c r="T174" s="183"/>
      <c r="U174" s="183"/>
      <c r="V174" s="183">
        <v>0</v>
      </c>
      <c r="W174" s="183">
        <v>0</v>
      </c>
      <c r="X174" s="183">
        <v>0</v>
      </c>
      <c r="Y174" s="184">
        <v>0</v>
      </c>
      <c r="Z174" s="184">
        <v>0</v>
      </c>
      <c r="AA174" s="184">
        <v>0</v>
      </c>
      <c r="AB174" s="185" t="s">
        <v>615</v>
      </c>
      <c r="AC174" s="185" t="s">
        <v>615</v>
      </c>
      <c r="AD174" s="186" t="s">
        <v>881</v>
      </c>
      <c r="AE174" s="186" t="s">
        <v>858</v>
      </c>
      <c r="AF174" s="187">
        <v>7</v>
      </c>
      <c r="AG174" s="187">
        <v>3</v>
      </c>
      <c r="AH174" s="187">
        <v>4</v>
      </c>
      <c r="AI174" s="188">
        <v>1</v>
      </c>
      <c r="AJ174" s="188" t="s">
        <v>615</v>
      </c>
      <c r="AK174" s="187" t="s">
        <v>1738</v>
      </c>
      <c r="AL174" s="87" t="s">
        <v>615</v>
      </c>
      <c r="AM174" s="189"/>
      <c r="AN174" s="187" t="s">
        <v>615</v>
      </c>
      <c r="AO174" s="13" t="s">
        <v>615</v>
      </c>
      <c r="AP174" s="187">
        <v>0</v>
      </c>
      <c r="AQ174" s="187">
        <v>0</v>
      </c>
      <c r="AR174" s="190">
        <v>0</v>
      </c>
      <c r="AS174" s="190">
        <v>0</v>
      </c>
      <c r="AT174" s="190">
        <v>0</v>
      </c>
      <c r="AU174" s="187">
        <v>0</v>
      </c>
      <c r="AV174" s="187">
        <v>0</v>
      </c>
      <c r="AW174" s="191"/>
      <c r="AX174" s="192"/>
      <c r="AY174" s="193">
        <v>42666</v>
      </c>
      <c r="AZ174" s="193"/>
      <c r="BA174" s="193"/>
      <c r="BB174" s="194"/>
      <c r="BC174" s="194"/>
      <c r="BD174" s="195"/>
      <c r="BE174" s="195" t="s">
        <v>532</v>
      </c>
      <c r="BF174" s="195"/>
      <c r="BG174" s="195">
        <v>72</v>
      </c>
      <c r="BH174" s="196" t="s">
        <v>547</v>
      </c>
      <c r="BI174" s="197">
        <v>1</v>
      </c>
      <c r="BJ174" s="198"/>
      <c r="BK174" s="199">
        <v>0</v>
      </c>
      <c r="BL174" s="13">
        <v>0</v>
      </c>
      <c r="BM174" s="13">
        <v>0</v>
      </c>
      <c r="BN174" s="13" t="s">
        <v>616</v>
      </c>
      <c r="BO174" s="13" t="s">
        <v>616</v>
      </c>
      <c r="BP174" s="200">
        <v>0</v>
      </c>
      <c r="BQ174" s="201"/>
      <c r="BR174" s="202"/>
      <c r="BS174" s="187">
        <v>1000000000</v>
      </c>
      <c r="BT174" s="203">
        <v>0</v>
      </c>
      <c r="BU174" s="204">
        <v>0</v>
      </c>
      <c r="BV174" s="203">
        <v>0</v>
      </c>
      <c r="BW174" s="205">
        <v>0</v>
      </c>
      <c r="BX174" s="205">
        <v>0</v>
      </c>
      <c r="BY174" s="205">
        <v>0</v>
      </c>
      <c r="BZ174" s="203">
        <v>0</v>
      </c>
      <c r="CA174" s="203">
        <v>0</v>
      </c>
      <c r="CB174" s="203">
        <v>0</v>
      </c>
      <c r="CC174" s="204">
        <v>0</v>
      </c>
      <c r="CD174" s="203">
        <v>0</v>
      </c>
      <c r="CE174" s="203">
        <v>0</v>
      </c>
      <c r="CF174" s="13">
        <v>0</v>
      </c>
      <c r="CG174" s="206">
        <v>0</v>
      </c>
      <c r="CH174" s="207">
        <v>0</v>
      </c>
      <c r="CI174" s="201"/>
      <c r="CJ174" s="208"/>
      <c r="CK174" s="209" t="s">
        <v>615</v>
      </c>
      <c r="CL174" s="210" t="s">
        <v>615</v>
      </c>
      <c r="CM174" s="207">
        <v>0</v>
      </c>
      <c r="CN174" s="207">
        <v>0</v>
      </c>
      <c r="CO174" s="204">
        <v>0</v>
      </c>
      <c r="CP174" s="204">
        <v>0</v>
      </c>
      <c r="CQ174" s="211"/>
      <c r="CR174" s="204">
        <v>1</v>
      </c>
      <c r="CS174" s="212">
        <v>42558</v>
      </c>
      <c r="CT174" s="212">
        <v>42780</v>
      </c>
      <c r="CU174" s="213">
        <v>42780</v>
      </c>
      <c r="CV174" s="214">
        <v>42829</v>
      </c>
      <c r="CW174" s="214" t="s">
        <v>615</v>
      </c>
      <c r="CX174" s="214" t="s">
        <v>615</v>
      </c>
      <c r="CY174" s="204">
        <v>1</v>
      </c>
      <c r="CZ174" s="204">
        <v>0.97959183673469385</v>
      </c>
      <c r="DA174" s="203">
        <v>0</v>
      </c>
      <c r="DB174" s="204">
        <v>0.97959183673469385</v>
      </c>
      <c r="DC174" s="204">
        <v>0</v>
      </c>
      <c r="DD174" s="204">
        <v>0</v>
      </c>
      <c r="DE174" s="204">
        <v>0</v>
      </c>
      <c r="DF174" s="215">
        <v>0</v>
      </c>
      <c r="DG174" s="13" t="s">
        <v>615</v>
      </c>
      <c r="DH174" s="86">
        <v>172</v>
      </c>
      <c r="DI174" s="86"/>
      <c r="DJ174" s="86">
        <v>168</v>
      </c>
      <c r="DK174" s="86" t="s">
        <v>1627</v>
      </c>
      <c r="DL174" s="86" t="e">
        <v>#N/A</v>
      </c>
      <c r="DM174" s="86" t="e">
        <v>#N/A</v>
      </c>
      <c r="DN174" s="86" t="e">
        <v>#N/A</v>
      </c>
      <c r="DO174" s="86">
        <v>330</v>
      </c>
      <c r="DP174" s="86">
        <v>5</v>
      </c>
      <c r="DQ174" s="86">
        <v>49</v>
      </c>
      <c r="DR174" s="152">
        <v>0</v>
      </c>
      <c r="DS174" s="152">
        <v>0</v>
      </c>
      <c r="DT174" s="152">
        <v>0</v>
      </c>
      <c r="DU174" s="152">
        <v>0</v>
      </c>
      <c r="DV174" s="152">
        <v>0</v>
      </c>
      <c r="DW174" s="152">
        <v>0</v>
      </c>
      <c r="DX174" s="152">
        <v>0</v>
      </c>
      <c r="DY174" s="152">
        <v>0</v>
      </c>
      <c r="DZ174" s="152">
        <v>0</v>
      </c>
      <c r="EA174" s="152">
        <v>0</v>
      </c>
      <c r="EB174" s="152">
        <v>0</v>
      </c>
      <c r="EC174" s="152">
        <v>0</v>
      </c>
      <c r="ED174" s="152">
        <v>0</v>
      </c>
      <c r="EE174" s="152">
        <v>0</v>
      </c>
      <c r="EF174" s="152">
        <v>0</v>
      </c>
      <c r="EG174" s="152">
        <v>0</v>
      </c>
      <c r="EH174" s="152">
        <v>0</v>
      </c>
      <c r="EI174" s="152">
        <v>0</v>
      </c>
      <c r="EJ174" s="152">
        <v>0</v>
      </c>
      <c r="EK174" s="152">
        <v>0</v>
      </c>
      <c r="EL174" s="152">
        <v>0</v>
      </c>
      <c r="EM174" s="152">
        <v>0</v>
      </c>
      <c r="EN174" s="152">
        <v>0</v>
      </c>
      <c r="EO174" s="152">
        <v>0</v>
      </c>
      <c r="EP174" s="152">
        <v>0</v>
      </c>
      <c r="EQ174" s="152">
        <v>0</v>
      </c>
      <c r="ER174" s="152">
        <v>0</v>
      </c>
      <c r="ES174" s="152">
        <v>0</v>
      </c>
      <c r="ET174" s="152">
        <v>0</v>
      </c>
      <c r="EU174" s="152">
        <v>0</v>
      </c>
      <c r="EV174" s="152">
        <v>0</v>
      </c>
      <c r="EW174" s="152">
        <v>0</v>
      </c>
      <c r="EX174" s="152">
        <v>0</v>
      </c>
      <c r="EY174" s="152">
        <v>0</v>
      </c>
      <c r="EZ174" s="152">
        <v>0</v>
      </c>
      <c r="FA174" s="152">
        <v>0</v>
      </c>
      <c r="FB174" s="152">
        <v>0</v>
      </c>
      <c r="FC174" s="152">
        <v>0</v>
      </c>
      <c r="FD174" s="152">
        <v>0</v>
      </c>
      <c r="FE174" s="152">
        <v>0</v>
      </c>
      <c r="FF174" s="152">
        <v>0</v>
      </c>
      <c r="FG174" s="152">
        <v>0</v>
      </c>
      <c r="FH174" s="152">
        <v>0</v>
      </c>
      <c r="FI174" s="152">
        <v>0</v>
      </c>
      <c r="FJ174" s="152">
        <v>0</v>
      </c>
      <c r="FK174" s="152">
        <v>0</v>
      </c>
      <c r="FL174" s="152">
        <v>0</v>
      </c>
      <c r="FM174" s="152">
        <v>0</v>
      </c>
      <c r="FN174" s="152">
        <v>0</v>
      </c>
      <c r="FO174" s="152">
        <v>0</v>
      </c>
      <c r="FP174" s="152">
        <v>0</v>
      </c>
      <c r="FQ174" s="152">
        <v>0</v>
      </c>
      <c r="FR174" s="152">
        <v>0</v>
      </c>
      <c r="FS174" s="152">
        <v>0</v>
      </c>
      <c r="FT174" s="152">
        <v>0</v>
      </c>
      <c r="FU174" s="152">
        <v>0</v>
      </c>
      <c r="FV174" s="152">
        <v>0</v>
      </c>
      <c r="FW174" s="152">
        <v>0</v>
      </c>
      <c r="FX174" s="152">
        <v>0</v>
      </c>
      <c r="FY174" s="152">
        <v>0</v>
      </c>
      <c r="FZ174" s="152">
        <v>0</v>
      </c>
      <c r="GA174" s="152">
        <v>0</v>
      </c>
      <c r="GB174" s="152">
        <v>0</v>
      </c>
      <c r="GC174" s="152">
        <v>0</v>
      </c>
      <c r="GD174" s="152">
        <v>0</v>
      </c>
      <c r="GE174" s="152">
        <v>0</v>
      </c>
      <c r="GF174" s="152">
        <v>0</v>
      </c>
      <c r="GG174" s="152">
        <v>0</v>
      </c>
      <c r="GH174" s="152">
        <v>0</v>
      </c>
      <c r="GI174" s="152">
        <v>0</v>
      </c>
      <c r="GJ174" s="152">
        <v>0</v>
      </c>
      <c r="GK174" s="152">
        <v>0</v>
      </c>
      <c r="GL174" s="152">
        <v>0</v>
      </c>
      <c r="GM174" s="152">
        <v>0</v>
      </c>
      <c r="GN174" s="152">
        <v>0</v>
      </c>
      <c r="GO174" s="152">
        <v>0</v>
      </c>
      <c r="GP174" s="152">
        <v>0</v>
      </c>
      <c r="GQ174" s="152">
        <v>0</v>
      </c>
      <c r="GR174" s="152">
        <v>0</v>
      </c>
      <c r="GS174" s="152">
        <v>0</v>
      </c>
      <c r="GT174" s="152">
        <v>0</v>
      </c>
      <c r="GU174" s="152">
        <v>0</v>
      </c>
      <c r="GV174" s="152">
        <v>0</v>
      </c>
      <c r="GW174" s="152">
        <v>0</v>
      </c>
      <c r="GX174" s="152">
        <v>0</v>
      </c>
      <c r="GY174" s="152">
        <v>0</v>
      </c>
      <c r="GZ174" s="152">
        <v>0</v>
      </c>
      <c r="HA174" s="152">
        <v>0</v>
      </c>
      <c r="HB174" s="152">
        <v>0</v>
      </c>
      <c r="HC174" s="152">
        <v>0</v>
      </c>
      <c r="HD174" s="152">
        <v>0</v>
      </c>
      <c r="HE174" s="152">
        <v>0</v>
      </c>
      <c r="HF174" s="152">
        <v>0</v>
      </c>
      <c r="HG174" s="152">
        <v>0</v>
      </c>
      <c r="HH174" s="152">
        <v>0</v>
      </c>
      <c r="HI174" s="152">
        <v>0</v>
      </c>
      <c r="HJ174" s="152">
        <v>0</v>
      </c>
      <c r="HK174" s="152">
        <v>0</v>
      </c>
      <c r="HL174" s="152">
        <v>0</v>
      </c>
      <c r="HM174" s="152">
        <v>0</v>
      </c>
      <c r="HN174" s="152">
        <v>0</v>
      </c>
      <c r="HO174" s="152">
        <v>0</v>
      </c>
      <c r="HP174" s="152">
        <v>0</v>
      </c>
      <c r="HQ174" s="152">
        <v>0</v>
      </c>
      <c r="HR174" s="152">
        <v>0</v>
      </c>
      <c r="HS174" s="152">
        <v>0</v>
      </c>
      <c r="HT174" s="152">
        <v>0</v>
      </c>
      <c r="HU174" s="216"/>
      <c r="HV174" s="152">
        <v>0</v>
      </c>
      <c r="HW174" s="216"/>
      <c r="HX174" s="216"/>
      <c r="HY174" s="216"/>
      <c r="HZ174" s="216"/>
      <c r="IA174" s="216"/>
      <c r="IB174" s="216"/>
      <c r="IC174" s="216"/>
      <c r="ID174" s="216"/>
      <c r="IE174" s="216"/>
      <c r="IF174" s="216"/>
      <c r="IG174" s="216"/>
      <c r="IH174" s="216"/>
      <c r="II174" s="216"/>
      <c r="IJ174" s="216"/>
      <c r="IK174" s="216"/>
      <c r="IL174" s="216"/>
      <c r="IM174" s="216"/>
      <c r="IN174" s="216"/>
      <c r="IO174" s="216"/>
      <c r="IP174" s="216"/>
      <c r="IQ174" s="216"/>
      <c r="IR174" s="216"/>
      <c r="IS174" s="216"/>
      <c r="IT174" s="216"/>
      <c r="IU174" s="216"/>
      <c r="IV174" s="216"/>
      <c r="IW174" s="216"/>
      <c r="IX174" s="216"/>
      <c r="IY174" s="216"/>
      <c r="IZ174" s="216"/>
      <c r="JA174" s="216"/>
      <c r="JB174" s="216"/>
      <c r="JC174" s="216"/>
      <c r="JD174" s="216"/>
      <c r="JE174" s="216"/>
      <c r="JF174" s="216"/>
      <c r="JG174" s="216"/>
      <c r="JH174" s="216"/>
      <c r="JI174" s="216"/>
      <c r="JJ174" s="216"/>
      <c r="JK174" s="216"/>
      <c r="JL174" s="216"/>
      <c r="JM174" s="216"/>
      <c r="JN174" s="216"/>
      <c r="JO174" s="216"/>
      <c r="JP174" s="216"/>
      <c r="JQ174" s="216"/>
      <c r="JR174" s="216"/>
      <c r="JS174" s="216"/>
      <c r="JT174" s="216"/>
      <c r="JU174" s="216"/>
      <c r="JV174" s="216"/>
      <c r="JW174" s="216"/>
      <c r="JX174" s="216"/>
      <c r="JY174" s="216"/>
      <c r="JZ174" s="216"/>
      <c r="KA174" s="216"/>
      <c r="KB174" s="216"/>
      <c r="KC174" s="216"/>
      <c r="KD174" s="216"/>
      <c r="KE174" s="216"/>
      <c r="KF174" s="216"/>
      <c r="KG174" s="216"/>
      <c r="KH174" s="216"/>
      <c r="KI174" s="216"/>
      <c r="KJ174" s="216"/>
      <c r="KK174" s="216"/>
      <c r="KL174" s="216"/>
      <c r="KM174" s="216"/>
      <c r="KN174" s="216"/>
      <c r="KO174" s="216"/>
      <c r="KP174" s="216"/>
      <c r="KQ174" s="216"/>
      <c r="KR174" s="216"/>
      <c r="KS174" s="216"/>
      <c r="KT174" s="216"/>
      <c r="KU174" s="216"/>
      <c r="KV174" s="216"/>
      <c r="KW174" s="216"/>
      <c r="KX174" s="216"/>
      <c r="KY174" s="216"/>
      <c r="KZ174" s="216"/>
      <c r="LA174" s="216"/>
      <c r="LB174" s="216"/>
      <c r="LC174" s="216"/>
      <c r="LD174" s="216"/>
      <c r="LE174" s="216"/>
    </row>
    <row r="175" spans="1:317" x14ac:dyDescent="0.2">
      <c r="A175" s="179" t="s">
        <v>849</v>
      </c>
      <c r="B175" s="180" t="s">
        <v>1074</v>
      </c>
      <c r="C175" s="181"/>
      <c r="D175" s="182">
        <v>0</v>
      </c>
      <c r="E175" s="182">
        <v>0</v>
      </c>
      <c r="F175" s="183" t="s">
        <v>1314</v>
      </c>
      <c r="G175" s="183">
        <v>0</v>
      </c>
      <c r="H175" s="183">
        <v>0</v>
      </c>
      <c r="I175" s="183">
        <v>0</v>
      </c>
      <c r="J175" s="183">
        <v>0</v>
      </c>
      <c r="K175" s="183" t="s">
        <v>1368</v>
      </c>
      <c r="L175" s="183">
        <v>0</v>
      </c>
      <c r="M175" s="183">
        <v>0</v>
      </c>
      <c r="N175" s="183" t="s">
        <v>881</v>
      </c>
      <c r="O175" s="183">
        <v>0</v>
      </c>
      <c r="P175" s="183">
        <v>0</v>
      </c>
      <c r="Q175" s="183"/>
      <c r="R175" s="183"/>
      <c r="S175" s="183"/>
      <c r="T175" s="183"/>
      <c r="U175" s="183"/>
      <c r="V175" s="183">
        <v>0</v>
      </c>
      <c r="W175" s="183">
        <v>0</v>
      </c>
      <c r="X175" s="183">
        <v>0</v>
      </c>
      <c r="Y175" s="184">
        <v>0</v>
      </c>
      <c r="Z175" s="184">
        <v>0</v>
      </c>
      <c r="AA175" s="184">
        <v>0</v>
      </c>
      <c r="AB175" s="185" t="s">
        <v>615</v>
      </c>
      <c r="AC175" s="185" t="s">
        <v>615</v>
      </c>
      <c r="AD175" s="186" t="s">
        <v>881</v>
      </c>
      <c r="AE175" s="186" t="s">
        <v>858</v>
      </c>
      <c r="AF175" s="187">
        <v>7</v>
      </c>
      <c r="AG175" s="187">
        <v>3</v>
      </c>
      <c r="AH175" s="187">
        <v>4</v>
      </c>
      <c r="AI175" s="188">
        <v>1</v>
      </c>
      <c r="AJ175" s="188" t="s">
        <v>615</v>
      </c>
      <c r="AK175" s="187" t="s">
        <v>1738</v>
      </c>
      <c r="AL175" s="87" t="s">
        <v>615</v>
      </c>
      <c r="AM175" s="189"/>
      <c r="AN175" s="187" t="s">
        <v>615</v>
      </c>
      <c r="AO175" s="13" t="s">
        <v>615</v>
      </c>
      <c r="AP175" s="187">
        <v>0</v>
      </c>
      <c r="AQ175" s="187">
        <v>0</v>
      </c>
      <c r="AR175" s="190">
        <v>0</v>
      </c>
      <c r="AS175" s="190">
        <v>0</v>
      </c>
      <c r="AT175" s="190">
        <v>0</v>
      </c>
      <c r="AU175" s="187">
        <v>0</v>
      </c>
      <c r="AV175" s="187">
        <v>0</v>
      </c>
      <c r="AW175" s="191"/>
      <c r="AX175" s="192"/>
      <c r="AY175" s="193">
        <v>42666</v>
      </c>
      <c r="AZ175" s="193"/>
      <c r="BA175" s="193"/>
      <c r="BB175" s="194"/>
      <c r="BC175" s="194"/>
      <c r="BD175" s="195"/>
      <c r="BE175" s="195" t="s">
        <v>532</v>
      </c>
      <c r="BF175" s="195"/>
      <c r="BG175" s="195">
        <v>48</v>
      </c>
      <c r="BH175" s="196" t="s">
        <v>547</v>
      </c>
      <c r="BI175" s="197">
        <v>1</v>
      </c>
      <c r="BJ175" s="198"/>
      <c r="BK175" s="199">
        <v>0</v>
      </c>
      <c r="BL175" s="13">
        <v>0</v>
      </c>
      <c r="BM175" s="13">
        <v>0</v>
      </c>
      <c r="BN175" s="13" t="s">
        <v>616</v>
      </c>
      <c r="BO175" s="13" t="s">
        <v>616</v>
      </c>
      <c r="BP175" s="200">
        <v>0</v>
      </c>
      <c r="BQ175" s="201"/>
      <c r="BR175" s="202"/>
      <c r="BS175" s="187">
        <v>1000000000</v>
      </c>
      <c r="BT175" s="203">
        <v>0</v>
      </c>
      <c r="BU175" s="204">
        <v>0</v>
      </c>
      <c r="BV175" s="203">
        <v>0</v>
      </c>
      <c r="BW175" s="205">
        <v>0</v>
      </c>
      <c r="BX175" s="205">
        <v>0</v>
      </c>
      <c r="BY175" s="205">
        <v>0</v>
      </c>
      <c r="BZ175" s="203">
        <v>0</v>
      </c>
      <c r="CA175" s="203">
        <v>0</v>
      </c>
      <c r="CB175" s="203">
        <v>0</v>
      </c>
      <c r="CC175" s="204">
        <v>0</v>
      </c>
      <c r="CD175" s="203">
        <v>0</v>
      </c>
      <c r="CE175" s="203">
        <v>0</v>
      </c>
      <c r="CF175" s="13">
        <v>0</v>
      </c>
      <c r="CG175" s="206">
        <v>0</v>
      </c>
      <c r="CH175" s="207">
        <v>0</v>
      </c>
      <c r="CI175" s="201"/>
      <c r="CJ175" s="208"/>
      <c r="CK175" s="209" t="s">
        <v>615</v>
      </c>
      <c r="CL175" s="210" t="s">
        <v>615</v>
      </c>
      <c r="CM175" s="207">
        <v>0</v>
      </c>
      <c r="CN175" s="207">
        <v>0</v>
      </c>
      <c r="CO175" s="204">
        <v>0</v>
      </c>
      <c r="CP175" s="204">
        <v>0</v>
      </c>
      <c r="CQ175" s="211"/>
      <c r="CR175" s="204">
        <v>1</v>
      </c>
      <c r="CS175" s="212">
        <v>42558</v>
      </c>
      <c r="CT175" s="212">
        <v>42780</v>
      </c>
      <c r="CU175" s="213">
        <v>42780</v>
      </c>
      <c r="CV175" s="214">
        <v>42829</v>
      </c>
      <c r="CW175" s="214" t="s">
        <v>615</v>
      </c>
      <c r="CX175" s="214" t="s">
        <v>615</v>
      </c>
      <c r="CY175" s="204">
        <v>1</v>
      </c>
      <c r="CZ175" s="204">
        <v>0.97959183673469385</v>
      </c>
      <c r="DA175" s="203">
        <v>0</v>
      </c>
      <c r="DB175" s="204">
        <v>0.97959183673469385</v>
      </c>
      <c r="DC175" s="204">
        <v>0</v>
      </c>
      <c r="DD175" s="204">
        <v>0</v>
      </c>
      <c r="DE175" s="204">
        <v>0</v>
      </c>
      <c r="DF175" s="215">
        <v>0</v>
      </c>
      <c r="DG175" s="13" t="s">
        <v>615</v>
      </c>
      <c r="DH175" s="86">
        <v>173</v>
      </c>
      <c r="DI175" s="86"/>
      <c r="DJ175" s="86">
        <v>169</v>
      </c>
      <c r="DK175" s="86" t="s">
        <v>1628</v>
      </c>
      <c r="DL175" s="86" t="e">
        <v>#N/A</v>
      </c>
      <c r="DM175" s="86" t="e">
        <v>#N/A</v>
      </c>
      <c r="DN175" s="86" t="e">
        <v>#N/A</v>
      </c>
      <c r="DO175" s="86">
        <v>331</v>
      </c>
      <c r="DP175" s="86">
        <v>5</v>
      </c>
      <c r="DQ175" s="86">
        <v>49</v>
      </c>
      <c r="DR175" s="146">
        <v>0</v>
      </c>
      <c r="DS175" s="146">
        <v>0</v>
      </c>
      <c r="DT175" s="146">
        <v>0</v>
      </c>
      <c r="DU175" s="146">
        <v>0</v>
      </c>
      <c r="DV175" s="146">
        <v>0</v>
      </c>
      <c r="DW175" s="146">
        <v>0</v>
      </c>
      <c r="DX175" s="146">
        <v>0</v>
      </c>
      <c r="DY175" s="146">
        <v>0</v>
      </c>
      <c r="DZ175" s="146">
        <v>0</v>
      </c>
      <c r="EA175" s="146">
        <v>0</v>
      </c>
      <c r="EB175" s="146">
        <v>0</v>
      </c>
      <c r="EC175" s="146">
        <v>0</v>
      </c>
      <c r="ED175" s="146">
        <v>0</v>
      </c>
      <c r="EE175" s="146">
        <v>0</v>
      </c>
      <c r="EF175" s="146">
        <v>0</v>
      </c>
      <c r="EG175" s="146">
        <v>0</v>
      </c>
      <c r="EH175" s="146">
        <v>0</v>
      </c>
      <c r="EI175" s="146">
        <v>0</v>
      </c>
      <c r="EJ175" s="146">
        <v>0</v>
      </c>
      <c r="EK175" s="146">
        <v>0</v>
      </c>
      <c r="EL175" s="146">
        <v>0</v>
      </c>
      <c r="EM175" s="146">
        <v>0</v>
      </c>
      <c r="EN175" s="146">
        <v>0</v>
      </c>
      <c r="EO175" s="146">
        <v>0</v>
      </c>
      <c r="EP175" s="146">
        <v>0</v>
      </c>
      <c r="EQ175" s="146">
        <v>0</v>
      </c>
      <c r="ER175" s="146">
        <v>0</v>
      </c>
      <c r="ES175" s="146">
        <v>0</v>
      </c>
      <c r="ET175" s="146">
        <v>0</v>
      </c>
      <c r="EU175" s="146">
        <v>0</v>
      </c>
      <c r="EV175" s="146">
        <v>0</v>
      </c>
      <c r="EW175" s="146">
        <v>0</v>
      </c>
      <c r="EX175" s="146">
        <v>0</v>
      </c>
      <c r="EY175" s="146">
        <v>0</v>
      </c>
      <c r="EZ175" s="146">
        <v>0</v>
      </c>
      <c r="FA175" s="146">
        <v>0</v>
      </c>
      <c r="FB175" s="146">
        <v>0</v>
      </c>
      <c r="FC175" s="146">
        <v>0</v>
      </c>
      <c r="FD175" s="146">
        <v>0</v>
      </c>
      <c r="FE175" s="146">
        <v>0</v>
      </c>
      <c r="FF175" s="146">
        <v>0</v>
      </c>
      <c r="FG175" s="146">
        <v>0</v>
      </c>
      <c r="FH175" s="146">
        <v>0</v>
      </c>
      <c r="FI175" s="146">
        <v>0</v>
      </c>
      <c r="FJ175" s="146">
        <v>0</v>
      </c>
      <c r="FK175" s="146">
        <v>0</v>
      </c>
      <c r="FL175" s="146">
        <v>0</v>
      </c>
      <c r="FM175" s="146">
        <v>0</v>
      </c>
      <c r="FN175" s="146">
        <v>0</v>
      </c>
      <c r="FO175" s="146">
        <v>0</v>
      </c>
      <c r="FP175" s="146">
        <v>0</v>
      </c>
      <c r="FQ175" s="146">
        <v>0</v>
      </c>
      <c r="FR175" s="146">
        <v>0</v>
      </c>
      <c r="FS175" s="146">
        <v>0</v>
      </c>
      <c r="FT175" s="146">
        <v>0</v>
      </c>
      <c r="FU175" s="146">
        <v>0</v>
      </c>
      <c r="FV175" s="146">
        <v>0</v>
      </c>
      <c r="FW175" s="146">
        <v>0</v>
      </c>
      <c r="FX175" s="146">
        <v>0</v>
      </c>
      <c r="FY175" s="146">
        <v>0</v>
      </c>
      <c r="FZ175" s="146">
        <v>0</v>
      </c>
      <c r="GA175" s="146">
        <v>0</v>
      </c>
      <c r="GB175" s="146">
        <v>0</v>
      </c>
      <c r="GC175" s="146">
        <v>0</v>
      </c>
      <c r="GD175" s="146">
        <v>0</v>
      </c>
      <c r="GE175" s="146">
        <v>0</v>
      </c>
      <c r="GF175" s="146">
        <v>0</v>
      </c>
      <c r="GG175" s="146">
        <v>0</v>
      </c>
      <c r="GH175" s="146">
        <v>0</v>
      </c>
      <c r="GI175" s="146">
        <v>0</v>
      </c>
      <c r="GJ175" s="146">
        <v>0</v>
      </c>
      <c r="GK175" s="146">
        <v>0</v>
      </c>
      <c r="GL175" s="146">
        <v>0</v>
      </c>
      <c r="GM175" s="146">
        <v>0</v>
      </c>
      <c r="GN175" s="146">
        <v>0</v>
      </c>
      <c r="GO175" s="146">
        <v>0</v>
      </c>
      <c r="GP175" s="146">
        <v>0</v>
      </c>
      <c r="GQ175" s="146">
        <v>0</v>
      </c>
      <c r="GR175" s="146">
        <v>0</v>
      </c>
      <c r="GS175" s="146">
        <v>0</v>
      </c>
      <c r="GT175" s="146">
        <v>0</v>
      </c>
      <c r="GU175" s="146">
        <v>0</v>
      </c>
      <c r="GV175" s="146">
        <v>0</v>
      </c>
      <c r="GW175" s="146">
        <v>0</v>
      </c>
      <c r="GX175" s="146">
        <v>0</v>
      </c>
      <c r="GY175" s="146">
        <v>0</v>
      </c>
      <c r="GZ175" s="146">
        <v>0</v>
      </c>
      <c r="HA175" s="146">
        <v>0</v>
      </c>
      <c r="HB175" s="146">
        <v>0</v>
      </c>
      <c r="HC175" s="146">
        <v>0</v>
      </c>
      <c r="HD175" s="146">
        <v>0</v>
      </c>
      <c r="HE175" s="146">
        <v>0</v>
      </c>
      <c r="HF175" s="146">
        <v>0</v>
      </c>
      <c r="HG175" s="146">
        <v>0</v>
      </c>
      <c r="HH175" s="146">
        <v>0</v>
      </c>
      <c r="HI175" s="146">
        <v>0</v>
      </c>
      <c r="HJ175" s="146">
        <v>0</v>
      </c>
      <c r="HK175" s="146">
        <v>0</v>
      </c>
      <c r="HL175" s="146">
        <v>0</v>
      </c>
      <c r="HM175" s="146">
        <v>0</v>
      </c>
      <c r="HN175" s="146">
        <v>0</v>
      </c>
      <c r="HO175" s="146">
        <v>0</v>
      </c>
      <c r="HP175" s="146">
        <v>0</v>
      </c>
      <c r="HQ175" s="146">
        <v>0</v>
      </c>
      <c r="HR175" s="146">
        <v>0</v>
      </c>
      <c r="HS175" s="146">
        <v>0</v>
      </c>
      <c r="HT175" s="146">
        <v>0</v>
      </c>
      <c r="HU175" s="151"/>
      <c r="HV175" s="146">
        <v>0</v>
      </c>
      <c r="HW175" s="151"/>
      <c r="HX175" s="151"/>
      <c r="HY175" s="151"/>
      <c r="HZ175" s="151"/>
      <c r="IA175" s="151"/>
      <c r="IB175" s="151"/>
      <c r="IC175" s="151"/>
      <c r="ID175" s="151"/>
      <c r="IE175" s="151"/>
      <c r="IF175" s="151"/>
      <c r="IG175" s="151"/>
      <c r="IH175" s="151"/>
      <c r="II175" s="151"/>
      <c r="IJ175" s="151"/>
      <c r="IK175" s="151"/>
      <c r="IL175" s="151"/>
      <c r="IM175" s="151"/>
      <c r="IN175" s="151"/>
      <c r="IO175" s="151"/>
      <c r="IP175" s="151"/>
      <c r="IQ175" s="151"/>
      <c r="IR175" s="151"/>
      <c r="IS175" s="151"/>
      <c r="IT175" s="151"/>
      <c r="IU175" s="151"/>
      <c r="IV175" s="151"/>
      <c r="IW175" s="151"/>
      <c r="IX175" s="151"/>
      <c r="IY175" s="151"/>
      <c r="IZ175" s="151"/>
      <c r="JA175" s="151"/>
      <c r="JB175" s="151"/>
      <c r="JC175" s="151"/>
      <c r="JD175" s="151"/>
      <c r="JE175" s="151"/>
      <c r="JF175" s="151"/>
      <c r="JG175" s="151"/>
      <c r="JH175" s="151"/>
      <c r="JI175" s="151"/>
      <c r="JJ175" s="151"/>
      <c r="JK175" s="151"/>
      <c r="JL175" s="151"/>
      <c r="JM175" s="151"/>
      <c r="JN175" s="151"/>
      <c r="JO175" s="151"/>
      <c r="JP175" s="151"/>
      <c r="JQ175" s="151"/>
      <c r="JR175" s="151"/>
      <c r="JS175" s="151"/>
      <c r="JT175" s="151"/>
      <c r="JU175" s="151"/>
      <c r="JV175" s="151"/>
      <c r="JW175" s="151"/>
      <c r="JX175" s="151"/>
      <c r="JY175" s="151"/>
      <c r="JZ175" s="151"/>
      <c r="KA175" s="151"/>
      <c r="KB175" s="151"/>
      <c r="KC175" s="151"/>
      <c r="KD175" s="151"/>
      <c r="KE175" s="151"/>
      <c r="KF175" s="151"/>
      <c r="KG175" s="151"/>
      <c r="KH175" s="151"/>
      <c r="KI175" s="151"/>
      <c r="KJ175" s="151"/>
      <c r="KK175" s="151"/>
      <c r="KL175" s="151"/>
      <c r="KM175" s="151"/>
      <c r="KN175" s="151"/>
      <c r="KO175" s="151"/>
      <c r="KP175" s="151"/>
      <c r="KQ175" s="151"/>
      <c r="KR175" s="151"/>
      <c r="KS175" s="151"/>
      <c r="KT175" s="151"/>
      <c r="KU175" s="151"/>
      <c r="KV175" s="151"/>
      <c r="KW175" s="151"/>
      <c r="KX175" s="151"/>
      <c r="KY175" s="151"/>
      <c r="KZ175" s="151"/>
      <c r="LA175" s="151"/>
      <c r="LB175" s="151"/>
      <c r="LC175" s="151"/>
      <c r="LD175" s="151"/>
      <c r="LE175" s="151"/>
    </row>
    <row r="176" spans="1:317" x14ac:dyDescent="0.2">
      <c r="A176" s="179" t="s">
        <v>849</v>
      </c>
      <c r="B176" s="180" t="s">
        <v>1075</v>
      </c>
      <c r="C176" s="181"/>
      <c r="D176" s="182">
        <v>0</v>
      </c>
      <c r="E176" s="182">
        <v>0</v>
      </c>
      <c r="F176" s="183" t="s">
        <v>1314</v>
      </c>
      <c r="G176" s="183">
        <v>0</v>
      </c>
      <c r="H176" s="183">
        <v>0</v>
      </c>
      <c r="I176" s="183">
        <v>0</v>
      </c>
      <c r="J176" s="183">
        <v>0</v>
      </c>
      <c r="K176" s="183" t="s">
        <v>1368</v>
      </c>
      <c r="L176" s="183">
        <v>0</v>
      </c>
      <c r="M176" s="183">
        <v>0</v>
      </c>
      <c r="N176" s="183" t="s">
        <v>881</v>
      </c>
      <c r="O176" s="183">
        <v>0</v>
      </c>
      <c r="P176" s="183">
        <v>0</v>
      </c>
      <c r="Q176" s="183"/>
      <c r="R176" s="183"/>
      <c r="S176" s="183"/>
      <c r="T176" s="183"/>
      <c r="U176" s="183"/>
      <c r="V176" s="183">
        <v>0</v>
      </c>
      <c r="W176" s="183">
        <v>0</v>
      </c>
      <c r="X176" s="183">
        <v>0</v>
      </c>
      <c r="Y176" s="184">
        <v>0</v>
      </c>
      <c r="Z176" s="184">
        <v>0</v>
      </c>
      <c r="AA176" s="184">
        <v>0</v>
      </c>
      <c r="AB176" s="185" t="s">
        <v>615</v>
      </c>
      <c r="AC176" s="185" t="s">
        <v>615</v>
      </c>
      <c r="AD176" s="186" t="s">
        <v>881</v>
      </c>
      <c r="AE176" s="186" t="s">
        <v>858</v>
      </c>
      <c r="AF176" s="187">
        <v>7</v>
      </c>
      <c r="AG176" s="187">
        <v>3</v>
      </c>
      <c r="AH176" s="187">
        <v>4</v>
      </c>
      <c r="AI176" s="188">
        <v>1</v>
      </c>
      <c r="AJ176" s="188" t="s">
        <v>615</v>
      </c>
      <c r="AK176" s="187" t="s">
        <v>1738</v>
      </c>
      <c r="AL176" s="87" t="s">
        <v>615</v>
      </c>
      <c r="AM176" s="189"/>
      <c r="AN176" s="187" t="s">
        <v>615</v>
      </c>
      <c r="AO176" s="13" t="s">
        <v>615</v>
      </c>
      <c r="AP176" s="187">
        <v>0</v>
      </c>
      <c r="AQ176" s="187">
        <v>0</v>
      </c>
      <c r="AR176" s="190">
        <v>0</v>
      </c>
      <c r="AS176" s="190">
        <v>0</v>
      </c>
      <c r="AT176" s="190">
        <v>0</v>
      </c>
      <c r="AU176" s="187">
        <v>0</v>
      </c>
      <c r="AV176" s="187">
        <v>0</v>
      </c>
      <c r="AW176" s="191"/>
      <c r="AX176" s="192"/>
      <c r="AY176" s="193">
        <v>42666</v>
      </c>
      <c r="AZ176" s="193"/>
      <c r="BA176" s="193"/>
      <c r="BB176" s="194"/>
      <c r="BC176" s="194"/>
      <c r="BD176" s="195"/>
      <c r="BE176" s="195" t="s">
        <v>532</v>
      </c>
      <c r="BF176" s="195"/>
      <c r="BG176" s="195">
        <v>144</v>
      </c>
      <c r="BH176" s="196" t="s">
        <v>547</v>
      </c>
      <c r="BI176" s="197">
        <v>1</v>
      </c>
      <c r="BJ176" s="198"/>
      <c r="BK176" s="199">
        <v>0</v>
      </c>
      <c r="BL176" s="13">
        <v>0</v>
      </c>
      <c r="BM176" s="13">
        <v>0</v>
      </c>
      <c r="BN176" s="13" t="s">
        <v>616</v>
      </c>
      <c r="BO176" s="13" t="s">
        <v>616</v>
      </c>
      <c r="BP176" s="200">
        <v>0</v>
      </c>
      <c r="BQ176" s="201"/>
      <c r="BR176" s="202"/>
      <c r="BS176" s="187">
        <v>1000000000</v>
      </c>
      <c r="BT176" s="203">
        <v>0</v>
      </c>
      <c r="BU176" s="204">
        <v>0</v>
      </c>
      <c r="BV176" s="203">
        <v>0</v>
      </c>
      <c r="BW176" s="205">
        <v>0</v>
      </c>
      <c r="BX176" s="205">
        <v>0</v>
      </c>
      <c r="BY176" s="205">
        <v>0</v>
      </c>
      <c r="BZ176" s="203">
        <v>0</v>
      </c>
      <c r="CA176" s="203">
        <v>0</v>
      </c>
      <c r="CB176" s="203">
        <v>0</v>
      </c>
      <c r="CC176" s="204">
        <v>0</v>
      </c>
      <c r="CD176" s="203">
        <v>0</v>
      </c>
      <c r="CE176" s="203">
        <v>0</v>
      </c>
      <c r="CF176" s="13">
        <v>0</v>
      </c>
      <c r="CG176" s="206">
        <v>0</v>
      </c>
      <c r="CH176" s="207">
        <v>0</v>
      </c>
      <c r="CI176" s="201"/>
      <c r="CJ176" s="208"/>
      <c r="CK176" s="209" t="s">
        <v>615</v>
      </c>
      <c r="CL176" s="210" t="s">
        <v>615</v>
      </c>
      <c r="CM176" s="207">
        <v>0</v>
      </c>
      <c r="CN176" s="207">
        <v>0</v>
      </c>
      <c r="CO176" s="204">
        <v>0</v>
      </c>
      <c r="CP176" s="204">
        <v>0</v>
      </c>
      <c r="CQ176" s="211"/>
      <c r="CR176" s="204">
        <v>1</v>
      </c>
      <c r="CS176" s="212">
        <v>42558</v>
      </c>
      <c r="CT176" s="212">
        <v>42780</v>
      </c>
      <c r="CU176" s="213">
        <v>42780</v>
      </c>
      <c r="CV176" s="214">
        <v>42829</v>
      </c>
      <c r="CW176" s="214" t="s">
        <v>615</v>
      </c>
      <c r="CX176" s="214" t="s">
        <v>615</v>
      </c>
      <c r="CY176" s="204">
        <v>1</v>
      </c>
      <c r="CZ176" s="204">
        <v>0.97959183673469385</v>
      </c>
      <c r="DA176" s="203">
        <v>0</v>
      </c>
      <c r="DB176" s="204">
        <v>0.97959183673469385</v>
      </c>
      <c r="DC176" s="204">
        <v>0</v>
      </c>
      <c r="DD176" s="204">
        <v>0</v>
      </c>
      <c r="DE176" s="204">
        <v>0</v>
      </c>
      <c r="DF176" s="215">
        <v>0</v>
      </c>
      <c r="DG176" s="13" t="s">
        <v>615</v>
      </c>
      <c r="DH176" s="86">
        <v>174</v>
      </c>
      <c r="DI176" s="86"/>
      <c r="DJ176" s="86">
        <v>170</v>
      </c>
      <c r="DK176" s="86" t="s">
        <v>1629</v>
      </c>
      <c r="DL176" s="86" t="e">
        <v>#N/A</v>
      </c>
      <c r="DM176" s="86" t="e">
        <v>#N/A</v>
      </c>
      <c r="DN176" s="86" t="e">
        <v>#N/A</v>
      </c>
      <c r="DO176" s="86">
        <v>332</v>
      </c>
      <c r="DP176" s="86">
        <v>5</v>
      </c>
      <c r="DQ176" s="86">
        <v>49</v>
      </c>
      <c r="DR176" s="152">
        <v>0</v>
      </c>
      <c r="DS176" s="152">
        <v>0</v>
      </c>
      <c r="DT176" s="152">
        <v>0</v>
      </c>
      <c r="DU176" s="152">
        <v>0</v>
      </c>
      <c r="DV176" s="152">
        <v>0</v>
      </c>
      <c r="DW176" s="152">
        <v>0</v>
      </c>
      <c r="DX176" s="152">
        <v>0</v>
      </c>
      <c r="DY176" s="152">
        <v>0</v>
      </c>
      <c r="DZ176" s="152">
        <v>0</v>
      </c>
      <c r="EA176" s="152">
        <v>0</v>
      </c>
      <c r="EB176" s="152">
        <v>0</v>
      </c>
      <c r="EC176" s="152">
        <v>0</v>
      </c>
      <c r="ED176" s="152">
        <v>0</v>
      </c>
      <c r="EE176" s="152">
        <v>0</v>
      </c>
      <c r="EF176" s="152">
        <v>0</v>
      </c>
      <c r="EG176" s="152">
        <v>0</v>
      </c>
      <c r="EH176" s="152">
        <v>0</v>
      </c>
      <c r="EI176" s="152">
        <v>0</v>
      </c>
      <c r="EJ176" s="152">
        <v>0</v>
      </c>
      <c r="EK176" s="152">
        <v>0</v>
      </c>
      <c r="EL176" s="152">
        <v>0</v>
      </c>
      <c r="EM176" s="152">
        <v>0</v>
      </c>
      <c r="EN176" s="152">
        <v>0</v>
      </c>
      <c r="EO176" s="152">
        <v>0</v>
      </c>
      <c r="EP176" s="152">
        <v>0</v>
      </c>
      <c r="EQ176" s="152">
        <v>0</v>
      </c>
      <c r="ER176" s="152">
        <v>0</v>
      </c>
      <c r="ES176" s="152">
        <v>0</v>
      </c>
      <c r="ET176" s="152">
        <v>0</v>
      </c>
      <c r="EU176" s="152">
        <v>0</v>
      </c>
      <c r="EV176" s="152">
        <v>0</v>
      </c>
      <c r="EW176" s="152">
        <v>0</v>
      </c>
      <c r="EX176" s="152">
        <v>0</v>
      </c>
      <c r="EY176" s="152">
        <v>0</v>
      </c>
      <c r="EZ176" s="152">
        <v>0</v>
      </c>
      <c r="FA176" s="152">
        <v>0</v>
      </c>
      <c r="FB176" s="152">
        <v>0</v>
      </c>
      <c r="FC176" s="152">
        <v>0</v>
      </c>
      <c r="FD176" s="152">
        <v>0</v>
      </c>
      <c r="FE176" s="152">
        <v>0</v>
      </c>
      <c r="FF176" s="152">
        <v>0</v>
      </c>
      <c r="FG176" s="152">
        <v>0</v>
      </c>
      <c r="FH176" s="152">
        <v>0</v>
      </c>
      <c r="FI176" s="152">
        <v>0</v>
      </c>
      <c r="FJ176" s="152">
        <v>0</v>
      </c>
      <c r="FK176" s="152">
        <v>0</v>
      </c>
      <c r="FL176" s="152">
        <v>0</v>
      </c>
      <c r="FM176" s="152">
        <v>0</v>
      </c>
      <c r="FN176" s="152">
        <v>0</v>
      </c>
      <c r="FO176" s="152">
        <v>0</v>
      </c>
      <c r="FP176" s="152">
        <v>0</v>
      </c>
      <c r="FQ176" s="152">
        <v>0</v>
      </c>
      <c r="FR176" s="152">
        <v>0</v>
      </c>
      <c r="FS176" s="152">
        <v>0</v>
      </c>
      <c r="FT176" s="152">
        <v>0</v>
      </c>
      <c r="FU176" s="152">
        <v>0</v>
      </c>
      <c r="FV176" s="152">
        <v>0</v>
      </c>
      <c r="FW176" s="152">
        <v>0</v>
      </c>
      <c r="FX176" s="152">
        <v>0</v>
      </c>
      <c r="FY176" s="152">
        <v>0</v>
      </c>
      <c r="FZ176" s="152">
        <v>0</v>
      </c>
      <c r="GA176" s="152">
        <v>0</v>
      </c>
      <c r="GB176" s="152">
        <v>0</v>
      </c>
      <c r="GC176" s="152">
        <v>0</v>
      </c>
      <c r="GD176" s="152">
        <v>0</v>
      </c>
      <c r="GE176" s="152">
        <v>0</v>
      </c>
      <c r="GF176" s="152">
        <v>0</v>
      </c>
      <c r="GG176" s="152">
        <v>0</v>
      </c>
      <c r="GH176" s="152">
        <v>0</v>
      </c>
      <c r="GI176" s="152">
        <v>0</v>
      </c>
      <c r="GJ176" s="152">
        <v>0</v>
      </c>
      <c r="GK176" s="152">
        <v>0</v>
      </c>
      <c r="GL176" s="152">
        <v>0</v>
      </c>
      <c r="GM176" s="152">
        <v>0</v>
      </c>
      <c r="GN176" s="152">
        <v>0</v>
      </c>
      <c r="GO176" s="152">
        <v>0</v>
      </c>
      <c r="GP176" s="152">
        <v>0</v>
      </c>
      <c r="GQ176" s="152">
        <v>0</v>
      </c>
      <c r="GR176" s="152">
        <v>0</v>
      </c>
      <c r="GS176" s="152">
        <v>0</v>
      </c>
      <c r="GT176" s="152">
        <v>0</v>
      </c>
      <c r="GU176" s="152">
        <v>0</v>
      </c>
      <c r="GV176" s="152">
        <v>0</v>
      </c>
      <c r="GW176" s="152">
        <v>0</v>
      </c>
      <c r="GX176" s="152">
        <v>0</v>
      </c>
      <c r="GY176" s="152">
        <v>0</v>
      </c>
      <c r="GZ176" s="152">
        <v>0</v>
      </c>
      <c r="HA176" s="152">
        <v>0</v>
      </c>
      <c r="HB176" s="152">
        <v>0</v>
      </c>
      <c r="HC176" s="152">
        <v>0</v>
      </c>
      <c r="HD176" s="152">
        <v>0</v>
      </c>
      <c r="HE176" s="152">
        <v>0</v>
      </c>
      <c r="HF176" s="152">
        <v>0</v>
      </c>
      <c r="HG176" s="152">
        <v>0</v>
      </c>
      <c r="HH176" s="152">
        <v>0</v>
      </c>
      <c r="HI176" s="152">
        <v>0</v>
      </c>
      <c r="HJ176" s="152">
        <v>0</v>
      </c>
      <c r="HK176" s="152">
        <v>0</v>
      </c>
      <c r="HL176" s="152">
        <v>0</v>
      </c>
      <c r="HM176" s="152">
        <v>0</v>
      </c>
      <c r="HN176" s="152">
        <v>0</v>
      </c>
      <c r="HO176" s="152">
        <v>0</v>
      </c>
      <c r="HP176" s="152">
        <v>0</v>
      </c>
      <c r="HQ176" s="152">
        <v>0</v>
      </c>
      <c r="HR176" s="152">
        <v>0</v>
      </c>
      <c r="HS176" s="152">
        <v>0</v>
      </c>
      <c r="HT176" s="152">
        <v>0</v>
      </c>
      <c r="HU176" s="216"/>
      <c r="HV176" s="152">
        <v>0</v>
      </c>
      <c r="HW176" s="216"/>
      <c r="HX176" s="216"/>
      <c r="HY176" s="216"/>
      <c r="HZ176" s="216"/>
      <c r="IA176" s="216"/>
      <c r="IB176" s="216"/>
      <c r="IC176" s="216"/>
      <c r="ID176" s="216"/>
      <c r="IE176" s="216"/>
      <c r="IF176" s="216"/>
      <c r="IG176" s="216"/>
      <c r="IH176" s="216"/>
      <c r="II176" s="216"/>
      <c r="IJ176" s="216"/>
      <c r="IK176" s="216"/>
      <c r="IL176" s="216"/>
      <c r="IM176" s="216"/>
      <c r="IN176" s="216"/>
      <c r="IO176" s="216"/>
      <c r="IP176" s="216"/>
      <c r="IQ176" s="216"/>
      <c r="IR176" s="216"/>
      <c r="IS176" s="216"/>
      <c r="IT176" s="216"/>
      <c r="IU176" s="216"/>
      <c r="IV176" s="216"/>
      <c r="IW176" s="216"/>
      <c r="IX176" s="216"/>
      <c r="IY176" s="216"/>
      <c r="IZ176" s="216"/>
      <c r="JA176" s="216"/>
      <c r="JB176" s="216"/>
      <c r="JC176" s="216"/>
      <c r="JD176" s="216"/>
      <c r="JE176" s="216"/>
      <c r="JF176" s="216"/>
      <c r="JG176" s="216"/>
      <c r="JH176" s="216"/>
      <c r="JI176" s="216"/>
      <c r="JJ176" s="216"/>
      <c r="JK176" s="216"/>
      <c r="JL176" s="216"/>
      <c r="JM176" s="216"/>
      <c r="JN176" s="216"/>
      <c r="JO176" s="216"/>
      <c r="JP176" s="216"/>
      <c r="JQ176" s="216"/>
      <c r="JR176" s="216"/>
      <c r="JS176" s="216"/>
      <c r="JT176" s="216"/>
      <c r="JU176" s="216"/>
      <c r="JV176" s="216"/>
      <c r="JW176" s="216"/>
      <c r="JX176" s="216"/>
      <c r="JY176" s="216"/>
      <c r="JZ176" s="216"/>
      <c r="KA176" s="216"/>
      <c r="KB176" s="216"/>
      <c r="KC176" s="216"/>
      <c r="KD176" s="216"/>
      <c r="KE176" s="216"/>
      <c r="KF176" s="216"/>
      <c r="KG176" s="216"/>
      <c r="KH176" s="216"/>
      <c r="KI176" s="216"/>
      <c r="KJ176" s="216"/>
      <c r="KK176" s="216"/>
      <c r="KL176" s="216"/>
      <c r="KM176" s="216"/>
      <c r="KN176" s="216"/>
      <c r="KO176" s="216"/>
      <c r="KP176" s="216"/>
      <c r="KQ176" s="216"/>
      <c r="KR176" s="216"/>
      <c r="KS176" s="216"/>
      <c r="KT176" s="216"/>
      <c r="KU176" s="216"/>
      <c r="KV176" s="216"/>
      <c r="KW176" s="216"/>
      <c r="KX176" s="216"/>
      <c r="KY176" s="216"/>
      <c r="KZ176" s="216"/>
      <c r="LA176" s="216"/>
      <c r="LB176" s="216"/>
      <c r="LC176" s="216"/>
      <c r="LD176" s="216"/>
      <c r="LE176" s="216"/>
    </row>
    <row r="177" spans="1:317" x14ac:dyDescent="0.2">
      <c r="A177" s="179" t="s">
        <v>849</v>
      </c>
      <c r="B177" s="180" t="s">
        <v>1076</v>
      </c>
      <c r="C177" s="181"/>
      <c r="D177" s="182">
        <v>0</v>
      </c>
      <c r="E177" s="182">
        <v>0</v>
      </c>
      <c r="F177" s="183" t="s">
        <v>1314</v>
      </c>
      <c r="G177" s="183">
        <v>0</v>
      </c>
      <c r="H177" s="183">
        <v>0</v>
      </c>
      <c r="I177" s="183">
        <v>0</v>
      </c>
      <c r="J177" s="183">
        <v>0</v>
      </c>
      <c r="K177" s="183" t="s">
        <v>1368</v>
      </c>
      <c r="L177" s="183">
        <v>0</v>
      </c>
      <c r="M177" s="183">
        <v>0</v>
      </c>
      <c r="N177" s="183" t="s">
        <v>881</v>
      </c>
      <c r="O177" s="183">
        <v>0</v>
      </c>
      <c r="P177" s="183">
        <v>0</v>
      </c>
      <c r="Q177" s="183"/>
      <c r="R177" s="183"/>
      <c r="S177" s="183"/>
      <c r="T177" s="183"/>
      <c r="U177" s="183"/>
      <c r="V177" s="183">
        <v>0</v>
      </c>
      <c r="W177" s="183">
        <v>0</v>
      </c>
      <c r="X177" s="183">
        <v>0</v>
      </c>
      <c r="Y177" s="184">
        <v>0</v>
      </c>
      <c r="Z177" s="184">
        <v>0</v>
      </c>
      <c r="AA177" s="184">
        <v>0</v>
      </c>
      <c r="AB177" s="185" t="s">
        <v>615</v>
      </c>
      <c r="AC177" s="185" t="s">
        <v>615</v>
      </c>
      <c r="AD177" s="186" t="s">
        <v>881</v>
      </c>
      <c r="AE177" s="186" t="s">
        <v>858</v>
      </c>
      <c r="AF177" s="187">
        <v>7</v>
      </c>
      <c r="AG177" s="187">
        <v>3</v>
      </c>
      <c r="AH177" s="187">
        <v>4</v>
      </c>
      <c r="AI177" s="188">
        <v>1</v>
      </c>
      <c r="AJ177" s="188" t="s">
        <v>615</v>
      </c>
      <c r="AK177" s="187" t="s">
        <v>1738</v>
      </c>
      <c r="AL177" s="87" t="s">
        <v>615</v>
      </c>
      <c r="AM177" s="189"/>
      <c r="AN177" s="187" t="s">
        <v>615</v>
      </c>
      <c r="AO177" s="13" t="s">
        <v>615</v>
      </c>
      <c r="AP177" s="187">
        <v>0</v>
      </c>
      <c r="AQ177" s="187">
        <v>0</v>
      </c>
      <c r="AR177" s="190">
        <v>0</v>
      </c>
      <c r="AS177" s="190">
        <v>0</v>
      </c>
      <c r="AT177" s="190">
        <v>0</v>
      </c>
      <c r="AU177" s="187">
        <v>0</v>
      </c>
      <c r="AV177" s="187">
        <v>0</v>
      </c>
      <c r="AW177" s="191"/>
      <c r="AX177" s="192"/>
      <c r="AY177" s="193">
        <v>42666</v>
      </c>
      <c r="AZ177" s="193"/>
      <c r="BA177" s="193"/>
      <c r="BB177" s="194"/>
      <c r="BC177" s="194"/>
      <c r="BD177" s="195"/>
      <c r="BE177" s="195" t="s">
        <v>532</v>
      </c>
      <c r="BF177" s="195"/>
      <c r="BG177" s="195">
        <v>120</v>
      </c>
      <c r="BH177" s="196" t="s">
        <v>547</v>
      </c>
      <c r="BI177" s="197">
        <v>1</v>
      </c>
      <c r="BJ177" s="198"/>
      <c r="BK177" s="199">
        <v>0</v>
      </c>
      <c r="BL177" s="13">
        <v>0</v>
      </c>
      <c r="BM177" s="13">
        <v>0</v>
      </c>
      <c r="BN177" s="13" t="s">
        <v>616</v>
      </c>
      <c r="BO177" s="13" t="s">
        <v>616</v>
      </c>
      <c r="BP177" s="200">
        <v>0</v>
      </c>
      <c r="BQ177" s="201"/>
      <c r="BR177" s="202"/>
      <c r="BS177" s="187">
        <v>1000000000</v>
      </c>
      <c r="BT177" s="203">
        <v>0</v>
      </c>
      <c r="BU177" s="204">
        <v>0</v>
      </c>
      <c r="BV177" s="203">
        <v>0</v>
      </c>
      <c r="BW177" s="205">
        <v>0</v>
      </c>
      <c r="BX177" s="205">
        <v>0</v>
      </c>
      <c r="BY177" s="205">
        <v>0</v>
      </c>
      <c r="BZ177" s="203">
        <v>0</v>
      </c>
      <c r="CA177" s="203">
        <v>0</v>
      </c>
      <c r="CB177" s="203">
        <v>0</v>
      </c>
      <c r="CC177" s="204">
        <v>0</v>
      </c>
      <c r="CD177" s="203">
        <v>0</v>
      </c>
      <c r="CE177" s="203">
        <v>0</v>
      </c>
      <c r="CF177" s="13">
        <v>0</v>
      </c>
      <c r="CG177" s="206">
        <v>0</v>
      </c>
      <c r="CH177" s="207">
        <v>0</v>
      </c>
      <c r="CI177" s="201"/>
      <c r="CJ177" s="208"/>
      <c r="CK177" s="209" t="s">
        <v>615</v>
      </c>
      <c r="CL177" s="210" t="s">
        <v>615</v>
      </c>
      <c r="CM177" s="207">
        <v>0</v>
      </c>
      <c r="CN177" s="207">
        <v>0</v>
      </c>
      <c r="CO177" s="204">
        <v>0</v>
      </c>
      <c r="CP177" s="204">
        <v>0</v>
      </c>
      <c r="CQ177" s="211"/>
      <c r="CR177" s="204">
        <v>1</v>
      </c>
      <c r="CS177" s="212">
        <v>42558</v>
      </c>
      <c r="CT177" s="212">
        <v>42780</v>
      </c>
      <c r="CU177" s="213">
        <v>42780</v>
      </c>
      <c r="CV177" s="214">
        <v>42829</v>
      </c>
      <c r="CW177" s="214" t="s">
        <v>615</v>
      </c>
      <c r="CX177" s="214" t="s">
        <v>615</v>
      </c>
      <c r="CY177" s="204">
        <v>1</v>
      </c>
      <c r="CZ177" s="204">
        <v>0.97959183673469385</v>
      </c>
      <c r="DA177" s="203">
        <v>0</v>
      </c>
      <c r="DB177" s="204">
        <v>0.97959183673469385</v>
      </c>
      <c r="DC177" s="204">
        <v>0</v>
      </c>
      <c r="DD177" s="204">
        <v>0</v>
      </c>
      <c r="DE177" s="204">
        <v>0</v>
      </c>
      <c r="DF177" s="215">
        <v>0</v>
      </c>
      <c r="DG177" s="13" t="s">
        <v>615</v>
      </c>
      <c r="DH177" s="86">
        <v>175</v>
      </c>
      <c r="DI177" s="86"/>
      <c r="DJ177" s="86">
        <v>171</v>
      </c>
      <c r="DK177" s="86" t="s">
        <v>1630</v>
      </c>
      <c r="DL177" s="86" t="e">
        <v>#N/A</v>
      </c>
      <c r="DM177" s="86" t="e">
        <v>#N/A</v>
      </c>
      <c r="DN177" s="86" t="e">
        <v>#N/A</v>
      </c>
      <c r="DO177" s="86">
        <v>333</v>
      </c>
      <c r="DP177" s="86">
        <v>5</v>
      </c>
      <c r="DQ177" s="86">
        <v>49</v>
      </c>
      <c r="DR177" s="146">
        <v>0</v>
      </c>
      <c r="DS177" s="146">
        <v>0</v>
      </c>
      <c r="DT177" s="146">
        <v>0</v>
      </c>
      <c r="DU177" s="146">
        <v>0</v>
      </c>
      <c r="DV177" s="146">
        <v>0</v>
      </c>
      <c r="DW177" s="146">
        <v>0</v>
      </c>
      <c r="DX177" s="146">
        <v>0</v>
      </c>
      <c r="DY177" s="146">
        <v>0</v>
      </c>
      <c r="DZ177" s="146">
        <v>0</v>
      </c>
      <c r="EA177" s="146">
        <v>0</v>
      </c>
      <c r="EB177" s="146">
        <v>0</v>
      </c>
      <c r="EC177" s="146">
        <v>0</v>
      </c>
      <c r="ED177" s="146">
        <v>0</v>
      </c>
      <c r="EE177" s="146">
        <v>0</v>
      </c>
      <c r="EF177" s="146">
        <v>0</v>
      </c>
      <c r="EG177" s="146">
        <v>0</v>
      </c>
      <c r="EH177" s="146">
        <v>0</v>
      </c>
      <c r="EI177" s="146">
        <v>0</v>
      </c>
      <c r="EJ177" s="146">
        <v>0</v>
      </c>
      <c r="EK177" s="146">
        <v>0</v>
      </c>
      <c r="EL177" s="146">
        <v>0</v>
      </c>
      <c r="EM177" s="146">
        <v>0</v>
      </c>
      <c r="EN177" s="146">
        <v>0</v>
      </c>
      <c r="EO177" s="146">
        <v>0</v>
      </c>
      <c r="EP177" s="146">
        <v>0</v>
      </c>
      <c r="EQ177" s="146">
        <v>0</v>
      </c>
      <c r="ER177" s="146">
        <v>0</v>
      </c>
      <c r="ES177" s="146">
        <v>0</v>
      </c>
      <c r="ET177" s="146">
        <v>0</v>
      </c>
      <c r="EU177" s="146">
        <v>0</v>
      </c>
      <c r="EV177" s="146">
        <v>0</v>
      </c>
      <c r="EW177" s="146">
        <v>0</v>
      </c>
      <c r="EX177" s="146">
        <v>0</v>
      </c>
      <c r="EY177" s="146">
        <v>0</v>
      </c>
      <c r="EZ177" s="146">
        <v>0</v>
      </c>
      <c r="FA177" s="146">
        <v>0</v>
      </c>
      <c r="FB177" s="146">
        <v>0</v>
      </c>
      <c r="FC177" s="146">
        <v>0</v>
      </c>
      <c r="FD177" s="146">
        <v>0</v>
      </c>
      <c r="FE177" s="146">
        <v>0</v>
      </c>
      <c r="FF177" s="146">
        <v>0</v>
      </c>
      <c r="FG177" s="146">
        <v>0</v>
      </c>
      <c r="FH177" s="146">
        <v>0</v>
      </c>
      <c r="FI177" s="146">
        <v>0</v>
      </c>
      <c r="FJ177" s="146">
        <v>0</v>
      </c>
      <c r="FK177" s="146">
        <v>0</v>
      </c>
      <c r="FL177" s="146">
        <v>0</v>
      </c>
      <c r="FM177" s="146">
        <v>0</v>
      </c>
      <c r="FN177" s="146">
        <v>0</v>
      </c>
      <c r="FO177" s="146">
        <v>0</v>
      </c>
      <c r="FP177" s="146">
        <v>0</v>
      </c>
      <c r="FQ177" s="146">
        <v>0</v>
      </c>
      <c r="FR177" s="146">
        <v>0</v>
      </c>
      <c r="FS177" s="146">
        <v>0</v>
      </c>
      <c r="FT177" s="146">
        <v>0</v>
      </c>
      <c r="FU177" s="146">
        <v>0</v>
      </c>
      <c r="FV177" s="146">
        <v>0</v>
      </c>
      <c r="FW177" s="146">
        <v>0</v>
      </c>
      <c r="FX177" s="146">
        <v>0</v>
      </c>
      <c r="FY177" s="146">
        <v>0</v>
      </c>
      <c r="FZ177" s="146">
        <v>0</v>
      </c>
      <c r="GA177" s="146">
        <v>0</v>
      </c>
      <c r="GB177" s="146">
        <v>0</v>
      </c>
      <c r="GC177" s="146">
        <v>0</v>
      </c>
      <c r="GD177" s="146">
        <v>0</v>
      </c>
      <c r="GE177" s="146">
        <v>0</v>
      </c>
      <c r="GF177" s="146">
        <v>0</v>
      </c>
      <c r="GG177" s="146">
        <v>0</v>
      </c>
      <c r="GH177" s="146">
        <v>0</v>
      </c>
      <c r="GI177" s="146">
        <v>0</v>
      </c>
      <c r="GJ177" s="146">
        <v>0</v>
      </c>
      <c r="GK177" s="146">
        <v>0</v>
      </c>
      <c r="GL177" s="146">
        <v>0</v>
      </c>
      <c r="GM177" s="146">
        <v>0</v>
      </c>
      <c r="GN177" s="146">
        <v>0</v>
      </c>
      <c r="GO177" s="146">
        <v>0</v>
      </c>
      <c r="GP177" s="146">
        <v>0</v>
      </c>
      <c r="GQ177" s="146">
        <v>0</v>
      </c>
      <c r="GR177" s="146">
        <v>0</v>
      </c>
      <c r="GS177" s="146">
        <v>0</v>
      </c>
      <c r="GT177" s="146">
        <v>0</v>
      </c>
      <c r="GU177" s="146">
        <v>0</v>
      </c>
      <c r="GV177" s="146">
        <v>0</v>
      </c>
      <c r="GW177" s="146">
        <v>0</v>
      </c>
      <c r="GX177" s="146">
        <v>0</v>
      </c>
      <c r="GY177" s="146">
        <v>0</v>
      </c>
      <c r="GZ177" s="146">
        <v>0</v>
      </c>
      <c r="HA177" s="146">
        <v>0</v>
      </c>
      <c r="HB177" s="146">
        <v>0</v>
      </c>
      <c r="HC177" s="146">
        <v>0</v>
      </c>
      <c r="HD177" s="146">
        <v>0</v>
      </c>
      <c r="HE177" s="146">
        <v>0</v>
      </c>
      <c r="HF177" s="146">
        <v>0</v>
      </c>
      <c r="HG177" s="146">
        <v>0</v>
      </c>
      <c r="HH177" s="146">
        <v>0</v>
      </c>
      <c r="HI177" s="146">
        <v>0</v>
      </c>
      <c r="HJ177" s="146">
        <v>0</v>
      </c>
      <c r="HK177" s="146">
        <v>0</v>
      </c>
      <c r="HL177" s="146">
        <v>0</v>
      </c>
      <c r="HM177" s="146">
        <v>0</v>
      </c>
      <c r="HN177" s="146">
        <v>0</v>
      </c>
      <c r="HO177" s="146">
        <v>0</v>
      </c>
      <c r="HP177" s="146">
        <v>0</v>
      </c>
      <c r="HQ177" s="146">
        <v>0</v>
      </c>
      <c r="HR177" s="146">
        <v>0</v>
      </c>
      <c r="HS177" s="146">
        <v>0</v>
      </c>
      <c r="HT177" s="146">
        <v>0</v>
      </c>
      <c r="HU177" s="151"/>
      <c r="HV177" s="146">
        <v>0</v>
      </c>
      <c r="HW177" s="151"/>
      <c r="HX177" s="151"/>
      <c r="HY177" s="151"/>
      <c r="HZ177" s="151"/>
      <c r="IA177" s="151"/>
      <c r="IB177" s="151"/>
      <c r="IC177" s="151"/>
      <c r="ID177" s="151"/>
      <c r="IE177" s="151"/>
      <c r="IF177" s="151"/>
      <c r="IG177" s="151"/>
      <c r="IH177" s="151"/>
      <c r="II177" s="151"/>
      <c r="IJ177" s="151"/>
      <c r="IK177" s="151"/>
      <c r="IL177" s="151"/>
      <c r="IM177" s="151"/>
      <c r="IN177" s="151"/>
      <c r="IO177" s="151"/>
      <c r="IP177" s="151"/>
      <c r="IQ177" s="151"/>
      <c r="IR177" s="151"/>
      <c r="IS177" s="151"/>
      <c r="IT177" s="151"/>
      <c r="IU177" s="151"/>
      <c r="IV177" s="151"/>
      <c r="IW177" s="151"/>
      <c r="IX177" s="151"/>
      <c r="IY177" s="151"/>
      <c r="IZ177" s="151"/>
      <c r="JA177" s="151"/>
      <c r="JB177" s="151"/>
      <c r="JC177" s="151"/>
      <c r="JD177" s="151"/>
      <c r="JE177" s="151"/>
      <c r="JF177" s="151"/>
      <c r="JG177" s="151"/>
      <c r="JH177" s="151"/>
      <c r="JI177" s="151"/>
      <c r="JJ177" s="151"/>
      <c r="JK177" s="151"/>
      <c r="JL177" s="151"/>
      <c r="JM177" s="151"/>
      <c r="JN177" s="151"/>
      <c r="JO177" s="151"/>
      <c r="JP177" s="151"/>
      <c r="JQ177" s="151"/>
      <c r="JR177" s="151"/>
      <c r="JS177" s="151"/>
      <c r="JT177" s="151"/>
      <c r="JU177" s="151"/>
      <c r="JV177" s="151"/>
      <c r="JW177" s="151"/>
      <c r="JX177" s="151"/>
      <c r="JY177" s="151"/>
      <c r="JZ177" s="151"/>
      <c r="KA177" s="151"/>
      <c r="KB177" s="151"/>
      <c r="KC177" s="151"/>
      <c r="KD177" s="151"/>
      <c r="KE177" s="151"/>
      <c r="KF177" s="151"/>
      <c r="KG177" s="151"/>
      <c r="KH177" s="151"/>
      <c r="KI177" s="151"/>
      <c r="KJ177" s="151"/>
      <c r="KK177" s="151"/>
      <c r="KL177" s="151"/>
      <c r="KM177" s="151"/>
      <c r="KN177" s="151"/>
      <c r="KO177" s="151"/>
      <c r="KP177" s="151"/>
      <c r="KQ177" s="151"/>
      <c r="KR177" s="151"/>
      <c r="KS177" s="151"/>
      <c r="KT177" s="151"/>
      <c r="KU177" s="151"/>
      <c r="KV177" s="151"/>
      <c r="KW177" s="151"/>
      <c r="KX177" s="151"/>
      <c r="KY177" s="151"/>
      <c r="KZ177" s="151"/>
      <c r="LA177" s="151"/>
      <c r="LB177" s="151"/>
      <c r="LC177" s="151"/>
      <c r="LD177" s="151"/>
      <c r="LE177" s="151"/>
    </row>
    <row r="178" spans="1:317" x14ac:dyDescent="0.2">
      <c r="A178" s="179" t="s">
        <v>849</v>
      </c>
      <c r="B178" s="180" t="s">
        <v>1077</v>
      </c>
      <c r="C178" s="181"/>
      <c r="D178" s="182">
        <v>0</v>
      </c>
      <c r="E178" s="182">
        <v>0</v>
      </c>
      <c r="F178" s="183" t="s">
        <v>1314</v>
      </c>
      <c r="G178" s="183">
        <v>0</v>
      </c>
      <c r="H178" s="183">
        <v>0</v>
      </c>
      <c r="I178" s="183">
        <v>0</v>
      </c>
      <c r="J178" s="183">
        <v>0</v>
      </c>
      <c r="K178" s="183" t="s">
        <v>1368</v>
      </c>
      <c r="L178" s="183">
        <v>0</v>
      </c>
      <c r="M178" s="183">
        <v>0</v>
      </c>
      <c r="N178" s="183" t="s">
        <v>881</v>
      </c>
      <c r="O178" s="183">
        <v>0</v>
      </c>
      <c r="P178" s="183">
        <v>0</v>
      </c>
      <c r="Q178" s="183"/>
      <c r="R178" s="183"/>
      <c r="S178" s="183"/>
      <c r="T178" s="183"/>
      <c r="U178" s="183"/>
      <c r="V178" s="183">
        <v>0</v>
      </c>
      <c r="W178" s="183">
        <v>0</v>
      </c>
      <c r="X178" s="183">
        <v>0</v>
      </c>
      <c r="Y178" s="184">
        <v>0</v>
      </c>
      <c r="Z178" s="184">
        <v>0</v>
      </c>
      <c r="AA178" s="184">
        <v>0</v>
      </c>
      <c r="AB178" s="185" t="s">
        <v>615</v>
      </c>
      <c r="AC178" s="185" t="s">
        <v>615</v>
      </c>
      <c r="AD178" s="186" t="s">
        <v>881</v>
      </c>
      <c r="AE178" s="186" t="s">
        <v>858</v>
      </c>
      <c r="AF178" s="187">
        <v>7</v>
      </c>
      <c r="AG178" s="187">
        <v>3</v>
      </c>
      <c r="AH178" s="187">
        <v>4</v>
      </c>
      <c r="AI178" s="188">
        <v>1</v>
      </c>
      <c r="AJ178" s="188" t="s">
        <v>615</v>
      </c>
      <c r="AK178" s="187" t="s">
        <v>1738</v>
      </c>
      <c r="AL178" s="87" t="s">
        <v>615</v>
      </c>
      <c r="AM178" s="189"/>
      <c r="AN178" s="187" t="s">
        <v>615</v>
      </c>
      <c r="AO178" s="13" t="s">
        <v>615</v>
      </c>
      <c r="AP178" s="187">
        <v>0</v>
      </c>
      <c r="AQ178" s="187">
        <v>0</v>
      </c>
      <c r="AR178" s="190">
        <v>0</v>
      </c>
      <c r="AS178" s="190">
        <v>0</v>
      </c>
      <c r="AT178" s="190">
        <v>0</v>
      </c>
      <c r="AU178" s="187">
        <v>0</v>
      </c>
      <c r="AV178" s="187">
        <v>0</v>
      </c>
      <c r="AW178" s="191"/>
      <c r="AX178" s="192"/>
      <c r="AY178" s="193">
        <v>42666</v>
      </c>
      <c r="AZ178" s="193"/>
      <c r="BA178" s="193"/>
      <c r="BB178" s="194"/>
      <c r="BC178" s="194"/>
      <c r="BD178" s="195"/>
      <c r="BE178" s="195" t="s">
        <v>532</v>
      </c>
      <c r="BF178" s="195"/>
      <c r="BG178" s="195">
        <v>120</v>
      </c>
      <c r="BH178" s="196" t="s">
        <v>547</v>
      </c>
      <c r="BI178" s="197">
        <v>1</v>
      </c>
      <c r="BJ178" s="198"/>
      <c r="BK178" s="199">
        <v>0</v>
      </c>
      <c r="BL178" s="13">
        <v>0</v>
      </c>
      <c r="BM178" s="13">
        <v>0</v>
      </c>
      <c r="BN178" s="13" t="s">
        <v>616</v>
      </c>
      <c r="BO178" s="13" t="s">
        <v>616</v>
      </c>
      <c r="BP178" s="200">
        <v>0</v>
      </c>
      <c r="BQ178" s="201"/>
      <c r="BR178" s="202"/>
      <c r="BS178" s="187">
        <v>1000000000</v>
      </c>
      <c r="BT178" s="203">
        <v>0</v>
      </c>
      <c r="BU178" s="204">
        <v>0</v>
      </c>
      <c r="BV178" s="203">
        <v>0</v>
      </c>
      <c r="BW178" s="205">
        <v>0</v>
      </c>
      <c r="BX178" s="205">
        <v>0</v>
      </c>
      <c r="BY178" s="205">
        <v>0</v>
      </c>
      <c r="BZ178" s="203">
        <v>0</v>
      </c>
      <c r="CA178" s="203">
        <v>0</v>
      </c>
      <c r="CB178" s="203">
        <v>0</v>
      </c>
      <c r="CC178" s="204">
        <v>0</v>
      </c>
      <c r="CD178" s="203">
        <v>0</v>
      </c>
      <c r="CE178" s="203">
        <v>0</v>
      </c>
      <c r="CF178" s="13">
        <v>0</v>
      </c>
      <c r="CG178" s="206">
        <v>0</v>
      </c>
      <c r="CH178" s="207">
        <v>0</v>
      </c>
      <c r="CI178" s="201"/>
      <c r="CJ178" s="208"/>
      <c r="CK178" s="209" t="s">
        <v>615</v>
      </c>
      <c r="CL178" s="210" t="s">
        <v>615</v>
      </c>
      <c r="CM178" s="207">
        <v>0</v>
      </c>
      <c r="CN178" s="207">
        <v>0</v>
      </c>
      <c r="CO178" s="204">
        <v>0</v>
      </c>
      <c r="CP178" s="204">
        <v>0</v>
      </c>
      <c r="CQ178" s="211"/>
      <c r="CR178" s="204">
        <v>1</v>
      </c>
      <c r="CS178" s="212">
        <v>42558</v>
      </c>
      <c r="CT178" s="212">
        <v>42780</v>
      </c>
      <c r="CU178" s="213">
        <v>42780</v>
      </c>
      <c r="CV178" s="214">
        <v>42829</v>
      </c>
      <c r="CW178" s="214" t="s">
        <v>615</v>
      </c>
      <c r="CX178" s="214" t="s">
        <v>615</v>
      </c>
      <c r="CY178" s="204">
        <v>1</v>
      </c>
      <c r="CZ178" s="204">
        <v>0.97959183673469385</v>
      </c>
      <c r="DA178" s="203">
        <v>0</v>
      </c>
      <c r="DB178" s="204">
        <v>0.97959183673469385</v>
      </c>
      <c r="DC178" s="204">
        <v>0</v>
      </c>
      <c r="DD178" s="204">
        <v>0</v>
      </c>
      <c r="DE178" s="204">
        <v>0</v>
      </c>
      <c r="DF178" s="215">
        <v>0</v>
      </c>
      <c r="DG178" s="13" t="s">
        <v>615</v>
      </c>
      <c r="DH178" s="86">
        <v>176</v>
      </c>
      <c r="DI178" s="86"/>
      <c r="DJ178" s="86">
        <v>172</v>
      </c>
      <c r="DK178" s="86" t="s">
        <v>1631</v>
      </c>
      <c r="DL178" s="86" t="e">
        <v>#N/A</v>
      </c>
      <c r="DM178" s="86" t="e">
        <v>#N/A</v>
      </c>
      <c r="DN178" s="86" t="e">
        <v>#N/A</v>
      </c>
      <c r="DO178" s="86">
        <v>334</v>
      </c>
      <c r="DP178" s="86">
        <v>5</v>
      </c>
      <c r="DQ178" s="86">
        <v>49</v>
      </c>
      <c r="DR178" s="152">
        <v>0</v>
      </c>
      <c r="DS178" s="152">
        <v>0</v>
      </c>
      <c r="DT178" s="152">
        <v>0</v>
      </c>
      <c r="DU178" s="152">
        <v>0</v>
      </c>
      <c r="DV178" s="152">
        <v>0</v>
      </c>
      <c r="DW178" s="152">
        <v>0</v>
      </c>
      <c r="DX178" s="152">
        <v>0</v>
      </c>
      <c r="DY178" s="152">
        <v>0</v>
      </c>
      <c r="DZ178" s="152">
        <v>0</v>
      </c>
      <c r="EA178" s="152">
        <v>0</v>
      </c>
      <c r="EB178" s="152">
        <v>0</v>
      </c>
      <c r="EC178" s="152">
        <v>0</v>
      </c>
      <c r="ED178" s="152">
        <v>0</v>
      </c>
      <c r="EE178" s="152">
        <v>0</v>
      </c>
      <c r="EF178" s="152">
        <v>0</v>
      </c>
      <c r="EG178" s="152">
        <v>0</v>
      </c>
      <c r="EH178" s="152">
        <v>0</v>
      </c>
      <c r="EI178" s="152">
        <v>0</v>
      </c>
      <c r="EJ178" s="152">
        <v>0</v>
      </c>
      <c r="EK178" s="152">
        <v>0</v>
      </c>
      <c r="EL178" s="152">
        <v>0</v>
      </c>
      <c r="EM178" s="152">
        <v>0</v>
      </c>
      <c r="EN178" s="152">
        <v>0</v>
      </c>
      <c r="EO178" s="152">
        <v>0</v>
      </c>
      <c r="EP178" s="152">
        <v>0</v>
      </c>
      <c r="EQ178" s="152">
        <v>0</v>
      </c>
      <c r="ER178" s="152">
        <v>0</v>
      </c>
      <c r="ES178" s="152">
        <v>0</v>
      </c>
      <c r="ET178" s="152">
        <v>0</v>
      </c>
      <c r="EU178" s="152">
        <v>0</v>
      </c>
      <c r="EV178" s="152">
        <v>0</v>
      </c>
      <c r="EW178" s="152">
        <v>0</v>
      </c>
      <c r="EX178" s="152">
        <v>0</v>
      </c>
      <c r="EY178" s="152">
        <v>0</v>
      </c>
      <c r="EZ178" s="152">
        <v>0</v>
      </c>
      <c r="FA178" s="152">
        <v>0</v>
      </c>
      <c r="FB178" s="152">
        <v>0</v>
      </c>
      <c r="FC178" s="152">
        <v>0</v>
      </c>
      <c r="FD178" s="152">
        <v>0</v>
      </c>
      <c r="FE178" s="152">
        <v>0</v>
      </c>
      <c r="FF178" s="152">
        <v>0</v>
      </c>
      <c r="FG178" s="152">
        <v>0</v>
      </c>
      <c r="FH178" s="152">
        <v>0</v>
      </c>
      <c r="FI178" s="152">
        <v>0</v>
      </c>
      <c r="FJ178" s="152">
        <v>0</v>
      </c>
      <c r="FK178" s="152">
        <v>0</v>
      </c>
      <c r="FL178" s="152">
        <v>0</v>
      </c>
      <c r="FM178" s="152">
        <v>0</v>
      </c>
      <c r="FN178" s="152">
        <v>0</v>
      </c>
      <c r="FO178" s="152">
        <v>0</v>
      </c>
      <c r="FP178" s="152">
        <v>0</v>
      </c>
      <c r="FQ178" s="152">
        <v>0</v>
      </c>
      <c r="FR178" s="152">
        <v>0</v>
      </c>
      <c r="FS178" s="152">
        <v>0</v>
      </c>
      <c r="FT178" s="152">
        <v>0</v>
      </c>
      <c r="FU178" s="152">
        <v>0</v>
      </c>
      <c r="FV178" s="152">
        <v>0</v>
      </c>
      <c r="FW178" s="152">
        <v>0</v>
      </c>
      <c r="FX178" s="152">
        <v>0</v>
      </c>
      <c r="FY178" s="152">
        <v>0</v>
      </c>
      <c r="FZ178" s="152">
        <v>0</v>
      </c>
      <c r="GA178" s="152">
        <v>0</v>
      </c>
      <c r="GB178" s="152">
        <v>0</v>
      </c>
      <c r="GC178" s="152">
        <v>0</v>
      </c>
      <c r="GD178" s="152">
        <v>0</v>
      </c>
      <c r="GE178" s="152">
        <v>0</v>
      </c>
      <c r="GF178" s="152">
        <v>0</v>
      </c>
      <c r="GG178" s="152">
        <v>0</v>
      </c>
      <c r="GH178" s="152">
        <v>0</v>
      </c>
      <c r="GI178" s="152">
        <v>0</v>
      </c>
      <c r="GJ178" s="152">
        <v>0</v>
      </c>
      <c r="GK178" s="152">
        <v>0</v>
      </c>
      <c r="GL178" s="152">
        <v>0</v>
      </c>
      <c r="GM178" s="152">
        <v>0</v>
      </c>
      <c r="GN178" s="152">
        <v>0</v>
      </c>
      <c r="GO178" s="152">
        <v>0</v>
      </c>
      <c r="GP178" s="152">
        <v>0</v>
      </c>
      <c r="GQ178" s="152">
        <v>0</v>
      </c>
      <c r="GR178" s="152">
        <v>0</v>
      </c>
      <c r="GS178" s="152">
        <v>0</v>
      </c>
      <c r="GT178" s="152">
        <v>0</v>
      </c>
      <c r="GU178" s="152">
        <v>0</v>
      </c>
      <c r="GV178" s="152">
        <v>0</v>
      </c>
      <c r="GW178" s="152">
        <v>0</v>
      </c>
      <c r="GX178" s="152">
        <v>0</v>
      </c>
      <c r="GY178" s="152">
        <v>0</v>
      </c>
      <c r="GZ178" s="152">
        <v>0</v>
      </c>
      <c r="HA178" s="152">
        <v>0</v>
      </c>
      <c r="HB178" s="152">
        <v>0</v>
      </c>
      <c r="HC178" s="152">
        <v>0</v>
      </c>
      <c r="HD178" s="152">
        <v>0</v>
      </c>
      <c r="HE178" s="152">
        <v>0</v>
      </c>
      <c r="HF178" s="152">
        <v>0</v>
      </c>
      <c r="HG178" s="152">
        <v>0</v>
      </c>
      <c r="HH178" s="152">
        <v>0</v>
      </c>
      <c r="HI178" s="152">
        <v>0</v>
      </c>
      <c r="HJ178" s="152">
        <v>0</v>
      </c>
      <c r="HK178" s="152">
        <v>0</v>
      </c>
      <c r="HL178" s="152">
        <v>0</v>
      </c>
      <c r="HM178" s="152">
        <v>0</v>
      </c>
      <c r="HN178" s="152">
        <v>0</v>
      </c>
      <c r="HO178" s="152">
        <v>0</v>
      </c>
      <c r="HP178" s="152">
        <v>0</v>
      </c>
      <c r="HQ178" s="152">
        <v>0</v>
      </c>
      <c r="HR178" s="152">
        <v>0</v>
      </c>
      <c r="HS178" s="152">
        <v>0</v>
      </c>
      <c r="HT178" s="152">
        <v>0</v>
      </c>
      <c r="HU178" s="216"/>
      <c r="HV178" s="152">
        <v>0</v>
      </c>
      <c r="HW178" s="216"/>
      <c r="HX178" s="216"/>
      <c r="HY178" s="216"/>
      <c r="HZ178" s="216"/>
      <c r="IA178" s="216"/>
      <c r="IB178" s="216"/>
      <c r="IC178" s="216"/>
      <c r="ID178" s="216"/>
      <c r="IE178" s="216"/>
      <c r="IF178" s="216"/>
      <c r="IG178" s="216"/>
      <c r="IH178" s="216"/>
      <c r="II178" s="216"/>
      <c r="IJ178" s="216"/>
      <c r="IK178" s="216"/>
      <c r="IL178" s="216"/>
      <c r="IM178" s="216"/>
      <c r="IN178" s="216"/>
      <c r="IO178" s="216"/>
      <c r="IP178" s="216"/>
      <c r="IQ178" s="216"/>
      <c r="IR178" s="216"/>
      <c r="IS178" s="216"/>
      <c r="IT178" s="216"/>
      <c r="IU178" s="216"/>
      <c r="IV178" s="216"/>
      <c r="IW178" s="216"/>
      <c r="IX178" s="216"/>
      <c r="IY178" s="216"/>
      <c r="IZ178" s="216"/>
      <c r="JA178" s="216"/>
      <c r="JB178" s="216"/>
      <c r="JC178" s="216"/>
      <c r="JD178" s="216"/>
      <c r="JE178" s="216"/>
      <c r="JF178" s="216"/>
      <c r="JG178" s="216"/>
      <c r="JH178" s="216"/>
      <c r="JI178" s="216"/>
      <c r="JJ178" s="216"/>
      <c r="JK178" s="216"/>
      <c r="JL178" s="216"/>
      <c r="JM178" s="216"/>
      <c r="JN178" s="216"/>
      <c r="JO178" s="216"/>
      <c r="JP178" s="216"/>
      <c r="JQ178" s="216"/>
      <c r="JR178" s="216"/>
      <c r="JS178" s="216"/>
      <c r="JT178" s="216"/>
      <c r="JU178" s="216"/>
      <c r="JV178" s="216"/>
      <c r="JW178" s="216"/>
      <c r="JX178" s="216"/>
      <c r="JY178" s="216"/>
      <c r="JZ178" s="216"/>
      <c r="KA178" s="216"/>
      <c r="KB178" s="216"/>
      <c r="KC178" s="216"/>
      <c r="KD178" s="216"/>
      <c r="KE178" s="216"/>
      <c r="KF178" s="216"/>
      <c r="KG178" s="216"/>
      <c r="KH178" s="216"/>
      <c r="KI178" s="216"/>
      <c r="KJ178" s="216"/>
      <c r="KK178" s="216"/>
      <c r="KL178" s="216"/>
      <c r="KM178" s="216"/>
      <c r="KN178" s="216"/>
      <c r="KO178" s="216"/>
      <c r="KP178" s="216"/>
      <c r="KQ178" s="216"/>
      <c r="KR178" s="216"/>
      <c r="KS178" s="216"/>
      <c r="KT178" s="216"/>
      <c r="KU178" s="216"/>
      <c r="KV178" s="216"/>
      <c r="KW178" s="216"/>
      <c r="KX178" s="216"/>
      <c r="KY178" s="216"/>
      <c r="KZ178" s="216"/>
      <c r="LA178" s="216"/>
      <c r="LB178" s="216"/>
      <c r="LC178" s="216"/>
      <c r="LD178" s="216"/>
      <c r="LE178" s="216"/>
    </row>
    <row r="179" spans="1:317" x14ac:dyDescent="0.2">
      <c r="A179" s="179" t="s">
        <v>849</v>
      </c>
      <c r="B179" s="180" t="s">
        <v>1078</v>
      </c>
      <c r="C179" s="181"/>
      <c r="D179" s="182">
        <v>0</v>
      </c>
      <c r="E179" s="182">
        <v>0</v>
      </c>
      <c r="F179" s="183" t="s">
        <v>1314</v>
      </c>
      <c r="G179" s="183">
        <v>0</v>
      </c>
      <c r="H179" s="183">
        <v>0</v>
      </c>
      <c r="I179" s="183">
        <v>0</v>
      </c>
      <c r="J179" s="183">
        <v>0</v>
      </c>
      <c r="K179" s="183" t="s">
        <v>1368</v>
      </c>
      <c r="L179" s="183">
        <v>0</v>
      </c>
      <c r="M179" s="183">
        <v>0</v>
      </c>
      <c r="N179" s="183" t="s">
        <v>881</v>
      </c>
      <c r="O179" s="183">
        <v>0</v>
      </c>
      <c r="P179" s="183">
        <v>0</v>
      </c>
      <c r="Q179" s="183"/>
      <c r="R179" s="183"/>
      <c r="S179" s="183"/>
      <c r="T179" s="183"/>
      <c r="U179" s="183"/>
      <c r="V179" s="183">
        <v>0</v>
      </c>
      <c r="W179" s="183">
        <v>0</v>
      </c>
      <c r="X179" s="183">
        <v>0</v>
      </c>
      <c r="Y179" s="184">
        <v>0</v>
      </c>
      <c r="Z179" s="184">
        <v>0</v>
      </c>
      <c r="AA179" s="184">
        <v>0</v>
      </c>
      <c r="AB179" s="185" t="s">
        <v>615</v>
      </c>
      <c r="AC179" s="185" t="s">
        <v>615</v>
      </c>
      <c r="AD179" s="186" t="s">
        <v>881</v>
      </c>
      <c r="AE179" s="186" t="s">
        <v>858</v>
      </c>
      <c r="AF179" s="187">
        <v>7</v>
      </c>
      <c r="AG179" s="187">
        <v>3</v>
      </c>
      <c r="AH179" s="187">
        <v>4</v>
      </c>
      <c r="AI179" s="188">
        <v>1</v>
      </c>
      <c r="AJ179" s="188" t="s">
        <v>615</v>
      </c>
      <c r="AK179" s="187" t="s">
        <v>1738</v>
      </c>
      <c r="AL179" s="87" t="s">
        <v>615</v>
      </c>
      <c r="AM179" s="189"/>
      <c r="AN179" s="187" t="s">
        <v>615</v>
      </c>
      <c r="AO179" s="13" t="s">
        <v>615</v>
      </c>
      <c r="AP179" s="187">
        <v>0</v>
      </c>
      <c r="AQ179" s="187">
        <v>0</v>
      </c>
      <c r="AR179" s="190">
        <v>0</v>
      </c>
      <c r="AS179" s="190">
        <v>0</v>
      </c>
      <c r="AT179" s="190">
        <v>0</v>
      </c>
      <c r="AU179" s="187">
        <v>0</v>
      </c>
      <c r="AV179" s="187">
        <v>0</v>
      </c>
      <c r="AW179" s="191"/>
      <c r="AX179" s="192"/>
      <c r="AY179" s="193">
        <v>42666</v>
      </c>
      <c r="AZ179" s="193"/>
      <c r="BA179" s="193"/>
      <c r="BB179" s="194"/>
      <c r="BC179" s="194"/>
      <c r="BD179" s="195"/>
      <c r="BE179" s="195" t="s">
        <v>532</v>
      </c>
      <c r="BF179" s="195"/>
      <c r="BG179" s="195">
        <v>48</v>
      </c>
      <c r="BH179" s="196" t="s">
        <v>547</v>
      </c>
      <c r="BI179" s="197">
        <v>1</v>
      </c>
      <c r="BJ179" s="198"/>
      <c r="BK179" s="199">
        <v>0</v>
      </c>
      <c r="BL179" s="13">
        <v>0</v>
      </c>
      <c r="BM179" s="13">
        <v>0</v>
      </c>
      <c r="BN179" s="13" t="s">
        <v>616</v>
      </c>
      <c r="BO179" s="13" t="s">
        <v>616</v>
      </c>
      <c r="BP179" s="200">
        <v>0</v>
      </c>
      <c r="BQ179" s="201"/>
      <c r="BR179" s="202"/>
      <c r="BS179" s="187">
        <v>1000000000</v>
      </c>
      <c r="BT179" s="203">
        <v>0</v>
      </c>
      <c r="BU179" s="204">
        <v>0</v>
      </c>
      <c r="BV179" s="203">
        <v>0</v>
      </c>
      <c r="BW179" s="205">
        <v>0</v>
      </c>
      <c r="BX179" s="205">
        <v>0</v>
      </c>
      <c r="BY179" s="205">
        <v>0</v>
      </c>
      <c r="BZ179" s="203">
        <v>0</v>
      </c>
      <c r="CA179" s="203">
        <v>0</v>
      </c>
      <c r="CB179" s="203">
        <v>0</v>
      </c>
      <c r="CC179" s="204">
        <v>0</v>
      </c>
      <c r="CD179" s="203">
        <v>0</v>
      </c>
      <c r="CE179" s="203">
        <v>0</v>
      </c>
      <c r="CF179" s="13">
        <v>0</v>
      </c>
      <c r="CG179" s="206">
        <v>0</v>
      </c>
      <c r="CH179" s="207">
        <v>0</v>
      </c>
      <c r="CI179" s="201"/>
      <c r="CJ179" s="208"/>
      <c r="CK179" s="209" t="s">
        <v>615</v>
      </c>
      <c r="CL179" s="210" t="s">
        <v>615</v>
      </c>
      <c r="CM179" s="207">
        <v>0</v>
      </c>
      <c r="CN179" s="207">
        <v>0</v>
      </c>
      <c r="CO179" s="204">
        <v>0</v>
      </c>
      <c r="CP179" s="204">
        <v>0</v>
      </c>
      <c r="CQ179" s="211"/>
      <c r="CR179" s="204">
        <v>1</v>
      </c>
      <c r="CS179" s="212">
        <v>42558</v>
      </c>
      <c r="CT179" s="212">
        <v>42780</v>
      </c>
      <c r="CU179" s="213">
        <v>42780</v>
      </c>
      <c r="CV179" s="214">
        <v>42829</v>
      </c>
      <c r="CW179" s="214" t="s">
        <v>615</v>
      </c>
      <c r="CX179" s="214" t="s">
        <v>615</v>
      </c>
      <c r="CY179" s="204">
        <v>1</v>
      </c>
      <c r="CZ179" s="204">
        <v>0.97959183673469385</v>
      </c>
      <c r="DA179" s="203">
        <v>0</v>
      </c>
      <c r="DB179" s="204">
        <v>0.97959183673469385</v>
      </c>
      <c r="DC179" s="204">
        <v>0</v>
      </c>
      <c r="DD179" s="204">
        <v>0</v>
      </c>
      <c r="DE179" s="204">
        <v>0</v>
      </c>
      <c r="DF179" s="215">
        <v>0</v>
      </c>
      <c r="DG179" s="13" t="s">
        <v>615</v>
      </c>
      <c r="DH179" s="86">
        <v>177</v>
      </c>
      <c r="DI179" s="86"/>
      <c r="DJ179" s="86">
        <v>173</v>
      </c>
      <c r="DK179" s="86" t="s">
        <v>1632</v>
      </c>
      <c r="DL179" s="86" t="e">
        <v>#N/A</v>
      </c>
      <c r="DM179" s="86" t="e">
        <v>#N/A</v>
      </c>
      <c r="DN179" s="86" t="e">
        <v>#N/A</v>
      </c>
      <c r="DO179" s="86">
        <v>335</v>
      </c>
      <c r="DP179" s="86">
        <v>5</v>
      </c>
      <c r="DQ179" s="86">
        <v>49</v>
      </c>
      <c r="DR179" s="146">
        <v>0</v>
      </c>
      <c r="DS179" s="146">
        <v>0</v>
      </c>
      <c r="DT179" s="146">
        <v>0</v>
      </c>
      <c r="DU179" s="146">
        <v>0</v>
      </c>
      <c r="DV179" s="146">
        <v>0</v>
      </c>
      <c r="DW179" s="146">
        <v>0</v>
      </c>
      <c r="DX179" s="146">
        <v>0</v>
      </c>
      <c r="DY179" s="146">
        <v>0</v>
      </c>
      <c r="DZ179" s="146">
        <v>0</v>
      </c>
      <c r="EA179" s="146">
        <v>0</v>
      </c>
      <c r="EB179" s="146">
        <v>0</v>
      </c>
      <c r="EC179" s="146">
        <v>0</v>
      </c>
      <c r="ED179" s="146">
        <v>0</v>
      </c>
      <c r="EE179" s="146">
        <v>0</v>
      </c>
      <c r="EF179" s="146">
        <v>0</v>
      </c>
      <c r="EG179" s="146">
        <v>0</v>
      </c>
      <c r="EH179" s="146">
        <v>0</v>
      </c>
      <c r="EI179" s="146">
        <v>0</v>
      </c>
      <c r="EJ179" s="146">
        <v>0</v>
      </c>
      <c r="EK179" s="146">
        <v>0</v>
      </c>
      <c r="EL179" s="146">
        <v>0</v>
      </c>
      <c r="EM179" s="146">
        <v>0</v>
      </c>
      <c r="EN179" s="146">
        <v>0</v>
      </c>
      <c r="EO179" s="146">
        <v>0</v>
      </c>
      <c r="EP179" s="146">
        <v>0</v>
      </c>
      <c r="EQ179" s="146">
        <v>0</v>
      </c>
      <c r="ER179" s="146">
        <v>0</v>
      </c>
      <c r="ES179" s="146">
        <v>0</v>
      </c>
      <c r="ET179" s="146">
        <v>0</v>
      </c>
      <c r="EU179" s="146">
        <v>0</v>
      </c>
      <c r="EV179" s="146">
        <v>0</v>
      </c>
      <c r="EW179" s="146">
        <v>0</v>
      </c>
      <c r="EX179" s="146">
        <v>0</v>
      </c>
      <c r="EY179" s="146">
        <v>0</v>
      </c>
      <c r="EZ179" s="146">
        <v>0</v>
      </c>
      <c r="FA179" s="146">
        <v>0</v>
      </c>
      <c r="FB179" s="146">
        <v>0</v>
      </c>
      <c r="FC179" s="146">
        <v>0</v>
      </c>
      <c r="FD179" s="146">
        <v>0</v>
      </c>
      <c r="FE179" s="146">
        <v>0</v>
      </c>
      <c r="FF179" s="146">
        <v>0</v>
      </c>
      <c r="FG179" s="146">
        <v>0</v>
      </c>
      <c r="FH179" s="146">
        <v>0</v>
      </c>
      <c r="FI179" s="146">
        <v>0</v>
      </c>
      <c r="FJ179" s="146">
        <v>0</v>
      </c>
      <c r="FK179" s="146">
        <v>0</v>
      </c>
      <c r="FL179" s="146">
        <v>0</v>
      </c>
      <c r="FM179" s="146">
        <v>0</v>
      </c>
      <c r="FN179" s="146">
        <v>0</v>
      </c>
      <c r="FO179" s="146">
        <v>0</v>
      </c>
      <c r="FP179" s="146">
        <v>0</v>
      </c>
      <c r="FQ179" s="146">
        <v>0</v>
      </c>
      <c r="FR179" s="146">
        <v>0</v>
      </c>
      <c r="FS179" s="146">
        <v>0</v>
      </c>
      <c r="FT179" s="146">
        <v>0</v>
      </c>
      <c r="FU179" s="146">
        <v>0</v>
      </c>
      <c r="FV179" s="146">
        <v>0</v>
      </c>
      <c r="FW179" s="146">
        <v>0</v>
      </c>
      <c r="FX179" s="146">
        <v>0</v>
      </c>
      <c r="FY179" s="146">
        <v>0</v>
      </c>
      <c r="FZ179" s="146">
        <v>0</v>
      </c>
      <c r="GA179" s="146">
        <v>0</v>
      </c>
      <c r="GB179" s="146">
        <v>0</v>
      </c>
      <c r="GC179" s="146">
        <v>0</v>
      </c>
      <c r="GD179" s="146">
        <v>0</v>
      </c>
      <c r="GE179" s="146">
        <v>0</v>
      </c>
      <c r="GF179" s="146">
        <v>0</v>
      </c>
      <c r="GG179" s="146">
        <v>0</v>
      </c>
      <c r="GH179" s="146">
        <v>0</v>
      </c>
      <c r="GI179" s="146">
        <v>0</v>
      </c>
      <c r="GJ179" s="146">
        <v>0</v>
      </c>
      <c r="GK179" s="146">
        <v>0</v>
      </c>
      <c r="GL179" s="146">
        <v>0</v>
      </c>
      <c r="GM179" s="146">
        <v>0</v>
      </c>
      <c r="GN179" s="146">
        <v>0</v>
      </c>
      <c r="GO179" s="146">
        <v>0</v>
      </c>
      <c r="GP179" s="146">
        <v>0</v>
      </c>
      <c r="GQ179" s="146">
        <v>0</v>
      </c>
      <c r="GR179" s="146">
        <v>0</v>
      </c>
      <c r="GS179" s="146">
        <v>0</v>
      </c>
      <c r="GT179" s="146">
        <v>0</v>
      </c>
      <c r="GU179" s="146">
        <v>0</v>
      </c>
      <c r="GV179" s="146">
        <v>0</v>
      </c>
      <c r="GW179" s="146">
        <v>0</v>
      </c>
      <c r="GX179" s="146">
        <v>0</v>
      </c>
      <c r="GY179" s="146">
        <v>0</v>
      </c>
      <c r="GZ179" s="146">
        <v>0</v>
      </c>
      <c r="HA179" s="146">
        <v>0</v>
      </c>
      <c r="HB179" s="146">
        <v>0</v>
      </c>
      <c r="HC179" s="146">
        <v>0</v>
      </c>
      <c r="HD179" s="146">
        <v>0</v>
      </c>
      <c r="HE179" s="146">
        <v>0</v>
      </c>
      <c r="HF179" s="146">
        <v>0</v>
      </c>
      <c r="HG179" s="146">
        <v>0</v>
      </c>
      <c r="HH179" s="146">
        <v>0</v>
      </c>
      <c r="HI179" s="146">
        <v>0</v>
      </c>
      <c r="HJ179" s="146">
        <v>0</v>
      </c>
      <c r="HK179" s="146">
        <v>0</v>
      </c>
      <c r="HL179" s="146">
        <v>0</v>
      </c>
      <c r="HM179" s="146">
        <v>0</v>
      </c>
      <c r="HN179" s="146">
        <v>0</v>
      </c>
      <c r="HO179" s="146">
        <v>0</v>
      </c>
      <c r="HP179" s="146">
        <v>0</v>
      </c>
      <c r="HQ179" s="146">
        <v>0</v>
      </c>
      <c r="HR179" s="146">
        <v>0</v>
      </c>
      <c r="HS179" s="146">
        <v>0</v>
      </c>
      <c r="HT179" s="146">
        <v>0</v>
      </c>
      <c r="HU179" s="151"/>
      <c r="HV179" s="146">
        <v>0</v>
      </c>
      <c r="HW179" s="151"/>
      <c r="HX179" s="151"/>
      <c r="HY179" s="151"/>
      <c r="HZ179" s="151"/>
      <c r="IA179" s="151"/>
      <c r="IB179" s="151"/>
      <c r="IC179" s="151"/>
      <c r="ID179" s="151"/>
      <c r="IE179" s="151"/>
      <c r="IF179" s="151"/>
      <c r="IG179" s="151"/>
      <c r="IH179" s="151"/>
      <c r="II179" s="151"/>
      <c r="IJ179" s="151"/>
      <c r="IK179" s="151"/>
      <c r="IL179" s="151"/>
      <c r="IM179" s="151"/>
      <c r="IN179" s="151"/>
      <c r="IO179" s="151"/>
      <c r="IP179" s="151"/>
      <c r="IQ179" s="151"/>
      <c r="IR179" s="151"/>
      <c r="IS179" s="151"/>
      <c r="IT179" s="151"/>
      <c r="IU179" s="151"/>
      <c r="IV179" s="151"/>
      <c r="IW179" s="151"/>
      <c r="IX179" s="151"/>
      <c r="IY179" s="151"/>
      <c r="IZ179" s="151"/>
      <c r="JA179" s="151"/>
      <c r="JB179" s="151"/>
      <c r="JC179" s="151"/>
      <c r="JD179" s="151"/>
      <c r="JE179" s="151"/>
      <c r="JF179" s="151"/>
      <c r="JG179" s="151"/>
      <c r="JH179" s="151"/>
      <c r="JI179" s="151"/>
      <c r="JJ179" s="151"/>
      <c r="JK179" s="151"/>
      <c r="JL179" s="151"/>
      <c r="JM179" s="151"/>
      <c r="JN179" s="151"/>
      <c r="JO179" s="151"/>
      <c r="JP179" s="151"/>
      <c r="JQ179" s="151"/>
      <c r="JR179" s="151"/>
      <c r="JS179" s="151"/>
      <c r="JT179" s="151"/>
      <c r="JU179" s="151"/>
      <c r="JV179" s="151"/>
      <c r="JW179" s="151"/>
      <c r="JX179" s="151"/>
      <c r="JY179" s="151"/>
      <c r="JZ179" s="151"/>
      <c r="KA179" s="151"/>
      <c r="KB179" s="151"/>
      <c r="KC179" s="151"/>
      <c r="KD179" s="151"/>
      <c r="KE179" s="151"/>
      <c r="KF179" s="151"/>
      <c r="KG179" s="151"/>
      <c r="KH179" s="151"/>
      <c r="KI179" s="151"/>
      <c r="KJ179" s="151"/>
      <c r="KK179" s="151"/>
      <c r="KL179" s="151"/>
      <c r="KM179" s="151"/>
      <c r="KN179" s="151"/>
      <c r="KO179" s="151"/>
      <c r="KP179" s="151"/>
      <c r="KQ179" s="151"/>
      <c r="KR179" s="151"/>
      <c r="KS179" s="151"/>
      <c r="KT179" s="151"/>
      <c r="KU179" s="151"/>
      <c r="KV179" s="151"/>
      <c r="KW179" s="151"/>
      <c r="KX179" s="151"/>
      <c r="KY179" s="151"/>
      <c r="KZ179" s="151"/>
      <c r="LA179" s="151"/>
      <c r="LB179" s="151"/>
      <c r="LC179" s="151"/>
      <c r="LD179" s="151"/>
      <c r="LE179" s="151"/>
    </row>
    <row r="180" spans="1:317" x14ac:dyDescent="0.2">
      <c r="A180" s="179" t="s">
        <v>849</v>
      </c>
      <c r="B180" s="180" t="s">
        <v>1079</v>
      </c>
      <c r="C180" s="181"/>
      <c r="D180" s="182">
        <v>0</v>
      </c>
      <c r="E180" s="182">
        <v>0</v>
      </c>
      <c r="F180" s="183" t="s">
        <v>1314</v>
      </c>
      <c r="G180" s="183">
        <v>0</v>
      </c>
      <c r="H180" s="183">
        <v>0</v>
      </c>
      <c r="I180" s="183">
        <v>0</v>
      </c>
      <c r="J180" s="183">
        <v>0</v>
      </c>
      <c r="K180" s="183" t="s">
        <v>1368</v>
      </c>
      <c r="L180" s="183">
        <v>0</v>
      </c>
      <c r="M180" s="183">
        <v>0</v>
      </c>
      <c r="N180" s="183" t="s">
        <v>881</v>
      </c>
      <c r="O180" s="183">
        <v>0</v>
      </c>
      <c r="P180" s="183">
        <v>0</v>
      </c>
      <c r="Q180" s="183"/>
      <c r="R180" s="183"/>
      <c r="S180" s="183"/>
      <c r="T180" s="183"/>
      <c r="U180" s="183"/>
      <c r="V180" s="183">
        <v>0</v>
      </c>
      <c r="W180" s="183">
        <v>0</v>
      </c>
      <c r="X180" s="183">
        <v>0</v>
      </c>
      <c r="Y180" s="184">
        <v>0</v>
      </c>
      <c r="Z180" s="184">
        <v>0</v>
      </c>
      <c r="AA180" s="184">
        <v>0</v>
      </c>
      <c r="AB180" s="185" t="s">
        <v>615</v>
      </c>
      <c r="AC180" s="185" t="s">
        <v>615</v>
      </c>
      <c r="AD180" s="186" t="s">
        <v>881</v>
      </c>
      <c r="AE180" s="186" t="s">
        <v>858</v>
      </c>
      <c r="AF180" s="187">
        <v>7</v>
      </c>
      <c r="AG180" s="187">
        <v>3</v>
      </c>
      <c r="AH180" s="187">
        <v>4</v>
      </c>
      <c r="AI180" s="188">
        <v>1</v>
      </c>
      <c r="AJ180" s="188" t="s">
        <v>615</v>
      </c>
      <c r="AK180" s="187" t="s">
        <v>1738</v>
      </c>
      <c r="AL180" s="87" t="s">
        <v>615</v>
      </c>
      <c r="AM180" s="189"/>
      <c r="AN180" s="187" t="s">
        <v>615</v>
      </c>
      <c r="AO180" s="13" t="s">
        <v>615</v>
      </c>
      <c r="AP180" s="187">
        <v>0</v>
      </c>
      <c r="AQ180" s="187">
        <v>0</v>
      </c>
      <c r="AR180" s="190">
        <v>0</v>
      </c>
      <c r="AS180" s="190">
        <v>0</v>
      </c>
      <c r="AT180" s="190">
        <v>0</v>
      </c>
      <c r="AU180" s="187">
        <v>0</v>
      </c>
      <c r="AV180" s="187">
        <v>0</v>
      </c>
      <c r="AW180" s="191"/>
      <c r="AX180" s="192"/>
      <c r="AY180" s="193">
        <v>42666</v>
      </c>
      <c r="AZ180" s="193"/>
      <c r="BA180" s="193"/>
      <c r="BB180" s="194"/>
      <c r="BC180" s="194"/>
      <c r="BD180" s="195"/>
      <c r="BE180" s="195" t="s">
        <v>532</v>
      </c>
      <c r="BF180" s="195"/>
      <c r="BG180" s="195">
        <v>48</v>
      </c>
      <c r="BH180" s="196" t="s">
        <v>547</v>
      </c>
      <c r="BI180" s="197">
        <v>1</v>
      </c>
      <c r="BJ180" s="198"/>
      <c r="BK180" s="199">
        <v>0</v>
      </c>
      <c r="BL180" s="13">
        <v>0</v>
      </c>
      <c r="BM180" s="13">
        <v>0</v>
      </c>
      <c r="BN180" s="13" t="s">
        <v>616</v>
      </c>
      <c r="BO180" s="13" t="s">
        <v>616</v>
      </c>
      <c r="BP180" s="200">
        <v>0</v>
      </c>
      <c r="BQ180" s="201"/>
      <c r="BR180" s="202"/>
      <c r="BS180" s="187">
        <v>1000000000</v>
      </c>
      <c r="BT180" s="203">
        <v>0</v>
      </c>
      <c r="BU180" s="204">
        <v>0</v>
      </c>
      <c r="BV180" s="203">
        <v>0</v>
      </c>
      <c r="BW180" s="205">
        <v>0</v>
      </c>
      <c r="BX180" s="205">
        <v>0</v>
      </c>
      <c r="BY180" s="205">
        <v>0</v>
      </c>
      <c r="BZ180" s="203">
        <v>0</v>
      </c>
      <c r="CA180" s="203">
        <v>0</v>
      </c>
      <c r="CB180" s="203">
        <v>0</v>
      </c>
      <c r="CC180" s="204">
        <v>0</v>
      </c>
      <c r="CD180" s="203">
        <v>0</v>
      </c>
      <c r="CE180" s="203">
        <v>0</v>
      </c>
      <c r="CF180" s="13">
        <v>0</v>
      </c>
      <c r="CG180" s="206">
        <v>0</v>
      </c>
      <c r="CH180" s="207">
        <v>0</v>
      </c>
      <c r="CI180" s="201"/>
      <c r="CJ180" s="208"/>
      <c r="CK180" s="209" t="s">
        <v>615</v>
      </c>
      <c r="CL180" s="210" t="s">
        <v>615</v>
      </c>
      <c r="CM180" s="207">
        <v>0</v>
      </c>
      <c r="CN180" s="207">
        <v>0</v>
      </c>
      <c r="CO180" s="204">
        <v>0</v>
      </c>
      <c r="CP180" s="204">
        <v>0</v>
      </c>
      <c r="CQ180" s="211"/>
      <c r="CR180" s="204">
        <v>1</v>
      </c>
      <c r="CS180" s="212">
        <v>42558</v>
      </c>
      <c r="CT180" s="212">
        <v>42780</v>
      </c>
      <c r="CU180" s="213">
        <v>42780</v>
      </c>
      <c r="CV180" s="214">
        <v>42829</v>
      </c>
      <c r="CW180" s="214" t="s">
        <v>615</v>
      </c>
      <c r="CX180" s="214" t="s">
        <v>615</v>
      </c>
      <c r="CY180" s="204">
        <v>1</v>
      </c>
      <c r="CZ180" s="204">
        <v>0.97959183673469385</v>
      </c>
      <c r="DA180" s="203">
        <v>0</v>
      </c>
      <c r="DB180" s="204">
        <v>0.97959183673469385</v>
      </c>
      <c r="DC180" s="204">
        <v>0</v>
      </c>
      <c r="DD180" s="204">
        <v>0</v>
      </c>
      <c r="DE180" s="204">
        <v>0</v>
      </c>
      <c r="DF180" s="215">
        <v>0</v>
      </c>
      <c r="DG180" s="13" t="s">
        <v>615</v>
      </c>
      <c r="DH180" s="86">
        <v>178</v>
      </c>
      <c r="DI180" s="86"/>
      <c r="DJ180" s="86">
        <v>174</v>
      </c>
      <c r="DK180" s="86" t="s">
        <v>1633</v>
      </c>
      <c r="DL180" s="86" t="e">
        <v>#N/A</v>
      </c>
      <c r="DM180" s="86" t="e">
        <v>#N/A</v>
      </c>
      <c r="DN180" s="86" t="e">
        <v>#N/A</v>
      </c>
      <c r="DO180" s="86">
        <v>336</v>
      </c>
      <c r="DP180" s="86">
        <v>5</v>
      </c>
      <c r="DQ180" s="86">
        <v>49</v>
      </c>
      <c r="DR180" s="152">
        <v>0</v>
      </c>
      <c r="DS180" s="152">
        <v>0</v>
      </c>
      <c r="DT180" s="152">
        <v>0</v>
      </c>
      <c r="DU180" s="152">
        <v>0</v>
      </c>
      <c r="DV180" s="152">
        <v>0</v>
      </c>
      <c r="DW180" s="152">
        <v>0</v>
      </c>
      <c r="DX180" s="152">
        <v>0</v>
      </c>
      <c r="DY180" s="152">
        <v>0</v>
      </c>
      <c r="DZ180" s="152">
        <v>0</v>
      </c>
      <c r="EA180" s="152">
        <v>0</v>
      </c>
      <c r="EB180" s="152">
        <v>0</v>
      </c>
      <c r="EC180" s="152">
        <v>0</v>
      </c>
      <c r="ED180" s="152">
        <v>0</v>
      </c>
      <c r="EE180" s="152">
        <v>0</v>
      </c>
      <c r="EF180" s="152">
        <v>0</v>
      </c>
      <c r="EG180" s="152">
        <v>0</v>
      </c>
      <c r="EH180" s="152">
        <v>0</v>
      </c>
      <c r="EI180" s="152">
        <v>0</v>
      </c>
      <c r="EJ180" s="152">
        <v>0</v>
      </c>
      <c r="EK180" s="152">
        <v>0</v>
      </c>
      <c r="EL180" s="152">
        <v>0</v>
      </c>
      <c r="EM180" s="152">
        <v>0</v>
      </c>
      <c r="EN180" s="152">
        <v>0</v>
      </c>
      <c r="EO180" s="152">
        <v>0</v>
      </c>
      <c r="EP180" s="152">
        <v>0</v>
      </c>
      <c r="EQ180" s="152">
        <v>0</v>
      </c>
      <c r="ER180" s="152">
        <v>0</v>
      </c>
      <c r="ES180" s="152">
        <v>0</v>
      </c>
      <c r="ET180" s="152">
        <v>0</v>
      </c>
      <c r="EU180" s="152">
        <v>0</v>
      </c>
      <c r="EV180" s="152">
        <v>0</v>
      </c>
      <c r="EW180" s="152">
        <v>0</v>
      </c>
      <c r="EX180" s="152">
        <v>0</v>
      </c>
      <c r="EY180" s="152">
        <v>0</v>
      </c>
      <c r="EZ180" s="152">
        <v>0</v>
      </c>
      <c r="FA180" s="152">
        <v>0</v>
      </c>
      <c r="FB180" s="152">
        <v>0</v>
      </c>
      <c r="FC180" s="152">
        <v>0</v>
      </c>
      <c r="FD180" s="152">
        <v>0</v>
      </c>
      <c r="FE180" s="152">
        <v>0</v>
      </c>
      <c r="FF180" s="152">
        <v>0</v>
      </c>
      <c r="FG180" s="152">
        <v>0</v>
      </c>
      <c r="FH180" s="152">
        <v>0</v>
      </c>
      <c r="FI180" s="152">
        <v>0</v>
      </c>
      <c r="FJ180" s="152">
        <v>0</v>
      </c>
      <c r="FK180" s="152">
        <v>0</v>
      </c>
      <c r="FL180" s="152">
        <v>0</v>
      </c>
      <c r="FM180" s="152">
        <v>0</v>
      </c>
      <c r="FN180" s="152">
        <v>0</v>
      </c>
      <c r="FO180" s="152">
        <v>0</v>
      </c>
      <c r="FP180" s="152">
        <v>0</v>
      </c>
      <c r="FQ180" s="152">
        <v>0</v>
      </c>
      <c r="FR180" s="152">
        <v>0</v>
      </c>
      <c r="FS180" s="152">
        <v>0</v>
      </c>
      <c r="FT180" s="152">
        <v>0</v>
      </c>
      <c r="FU180" s="152">
        <v>0</v>
      </c>
      <c r="FV180" s="152">
        <v>0</v>
      </c>
      <c r="FW180" s="152">
        <v>0</v>
      </c>
      <c r="FX180" s="152">
        <v>0</v>
      </c>
      <c r="FY180" s="152">
        <v>0</v>
      </c>
      <c r="FZ180" s="152">
        <v>0</v>
      </c>
      <c r="GA180" s="152">
        <v>0</v>
      </c>
      <c r="GB180" s="152">
        <v>0</v>
      </c>
      <c r="GC180" s="152">
        <v>0</v>
      </c>
      <c r="GD180" s="152">
        <v>0</v>
      </c>
      <c r="GE180" s="152">
        <v>0</v>
      </c>
      <c r="GF180" s="152">
        <v>0</v>
      </c>
      <c r="GG180" s="152">
        <v>0</v>
      </c>
      <c r="GH180" s="152">
        <v>0</v>
      </c>
      <c r="GI180" s="152">
        <v>0</v>
      </c>
      <c r="GJ180" s="152">
        <v>0</v>
      </c>
      <c r="GK180" s="152">
        <v>0</v>
      </c>
      <c r="GL180" s="152">
        <v>0</v>
      </c>
      <c r="GM180" s="152">
        <v>0</v>
      </c>
      <c r="GN180" s="152">
        <v>0</v>
      </c>
      <c r="GO180" s="152">
        <v>0</v>
      </c>
      <c r="GP180" s="152">
        <v>0</v>
      </c>
      <c r="GQ180" s="152">
        <v>0</v>
      </c>
      <c r="GR180" s="152">
        <v>0</v>
      </c>
      <c r="GS180" s="152">
        <v>0</v>
      </c>
      <c r="GT180" s="152">
        <v>0</v>
      </c>
      <c r="GU180" s="152">
        <v>0</v>
      </c>
      <c r="GV180" s="152">
        <v>0</v>
      </c>
      <c r="GW180" s="152">
        <v>0</v>
      </c>
      <c r="GX180" s="152">
        <v>0</v>
      </c>
      <c r="GY180" s="152">
        <v>0</v>
      </c>
      <c r="GZ180" s="152">
        <v>0</v>
      </c>
      <c r="HA180" s="152">
        <v>0</v>
      </c>
      <c r="HB180" s="152">
        <v>0</v>
      </c>
      <c r="HC180" s="152">
        <v>0</v>
      </c>
      <c r="HD180" s="152">
        <v>0</v>
      </c>
      <c r="HE180" s="152">
        <v>0</v>
      </c>
      <c r="HF180" s="152">
        <v>0</v>
      </c>
      <c r="HG180" s="152">
        <v>0</v>
      </c>
      <c r="HH180" s="152">
        <v>0</v>
      </c>
      <c r="HI180" s="152">
        <v>0</v>
      </c>
      <c r="HJ180" s="152">
        <v>0</v>
      </c>
      <c r="HK180" s="152">
        <v>0</v>
      </c>
      <c r="HL180" s="152">
        <v>0</v>
      </c>
      <c r="HM180" s="152">
        <v>0</v>
      </c>
      <c r="HN180" s="152">
        <v>0</v>
      </c>
      <c r="HO180" s="152">
        <v>0</v>
      </c>
      <c r="HP180" s="152">
        <v>0</v>
      </c>
      <c r="HQ180" s="152">
        <v>0</v>
      </c>
      <c r="HR180" s="152">
        <v>0</v>
      </c>
      <c r="HS180" s="152">
        <v>0</v>
      </c>
      <c r="HT180" s="152">
        <v>0</v>
      </c>
      <c r="HU180" s="216"/>
      <c r="HV180" s="152">
        <v>0</v>
      </c>
      <c r="HW180" s="216"/>
      <c r="HX180" s="216"/>
      <c r="HY180" s="216"/>
      <c r="HZ180" s="216"/>
      <c r="IA180" s="216"/>
      <c r="IB180" s="216"/>
      <c r="IC180" s="216"/>
      <c r="ID180" s="216"/>
      <c r="IE180" s="216"/>
      <c r="IF180" s="216"/>
      <c r="IG180" s="216"/>
      <c r="IH180" s="216"/>
      <c r="II180" s="216"/>
      <c r="IJ180" s="216"/>
      <c r="IK180" s="216"/>
      <c r="IL180" s="216"/>
      <c r="IM180" s="216"/>
      <c r="IN180" s="216"/>
      <c r="IO180" s="216"/>
      <c r="IP180" s="216"/>
      <c r="IQ180" s="216"/>
      <c r="IR180" s="216"/>
      <c r="IS180" s="216"/>
      <c r="IT180" s="216"/>
      <c r="IU180" s="216"/>
      <c r="IV180" s="216"/>
      <c r="IW180" s="216"/>
      <c r="IX180" s="216"/>
      <c r="IY180" s="216"/>
      <c r="IZ180" s="216"/>
      <c r="JA180" s="216"/>
      <c r="JB180" s="216"/>
      <c r="JC180" s="216"/>
      <c r="JD180" s="216"/>
      <c r="JE180" s="216"/>
      <c r="JF180" s="216"/>
      <c r="JG180" s="216"/>
      <c r="JH180" s="216"/>
      <c r="JI180" s="216"/>
      <c r="JJ180" s="216"/>
      <c r="JK180" s="216"/>
      <c r="JL180" s="216"/>
      <c r="JM180" s="216"/>
      <c r="JN180" s="216"/>
      <c r="JO180" s="216"/>
      <c r="JP180" s="216"/>
      <c r="JQ180" s="216"/>
      <c r="JR180" s="216"/>
      <c r="JS180" s="216"/>
      <c r="JT180" s="216"/>
      <c r="JU180" s="216"/>
      <c r="JV180" s="216"/>
      <c r="JW180" s="216"/>
      <c r="JX180" s="216"/>
      <c r="JY180" s="216"/>
      <c r="JZ180" s="216"/>
      <c r="KA180" s="216"/>
      <c r="KB180" s="216"/>
      <c r="KC180" s="216"/>
      <c r="KD180" s="216"/>
      <c r="KE180" s="216"/>
      <c r="KF180" s="216"/>
      <c r="KG180" s="216"/>
      <c r="KH180" s="216"/>
      <c r="KI180" s="216"/>
      <c r="KJ180" s="216"/>
      <c r="KK180" s="216"/>
      <c r="KL180" s="216"/>
      <c r="KM180" s="216"/>
      <c r="KN180" s="216"/>
      <c r="KO180" s="216"/>
      <c r="KP180" s="216"/>
      <c r="KQ180" s="216"/>
      <c r="KR180" s="216"/>
      <c r="KS180" s="216"/>
      <c r="KT180" s="216"/>
      <c r="KU180" s="216"/>
      <c r="KV180" s="216"/>
      <c r="KW180" s="216"/>
      <c r="KX180" s="216"/>
      <c r="KY180" s="216"/>
      <c r="KZ180" s="216"/>
      <c r="LA180" s="216"/>
      <c r="LB180" s="216"/>
      <c r="LC180" s="216"/>
      <c r="LD180" s="216"/>
      <c r="LE180" s="216"/>
    </row>
    <row r="181" spans="1:317" x14ac:dyDescent="0.2">
      <c r="A181" s="179" t="s">
        <v>849</v>
      </c>
      <c r="B181" s="180" t="s">
        <v>1080</v>
      </c>
      <c r="C181" s="181"/>
      <c r="D181" s="182">
        <v>0</v>
      </c>
      <c r="E181" s="182">
        <v>0</v>
      </c>
      <c r="F181" s="183" t="s">
        <v>1314</v>
      </c>
      <c r="G181" s="183">
        <v>0</v>
      </c>
      <c r="H181" s="183">
        <v>0</v>
      </c>
      <c r="I181" s="183">
        <v>0</v>
      </c>
      <c r="J181" s="183">
        <v>0</v>
      </c>
      <c r="K181" s="183" t="s">
        <v>1368</v>
      </c>
      <c r="L181" s="183">
        <v>0</v>
      </c>
      <c r="M181" s="183">
        <v>0</v>
      </c>
      <c r="N181" s="183" t="s">
        <v>881</v>
      </c>
      <c r="O181" s="183">
        <v>0</v>
      </c>
      <c r="P181" s="183">
        <v>0</v>
      </c>
      <c r="Q181" s="183"/>
      <c r="R181" s="183"/>
      <c r="S181" s="183"/>
      <c r="T181" s="183"/>
      <c r="U181" s="183"/>
      <c r="V181" s="183">
        <v>0</v>
      </c>
      <c r="W181" s="183">
        <v>0</v>
      </c>
      <c r="X181" s="183">
        <v>0</v>
      </c>
      <c r="Y181" s="184">
        <v>0</v>
      </c>
      <c r="Z181" s="184">
        <v>0</v>
      </c>
      <c r="AA181" s="184">
        <v>0</v>
      </c>
      <c r="AB181" s="185" t="s">
        <v>615</v>
      </c>
      <c r="AC181" s="185" t="s">
        <v>615</v>
      </c>
      <c r="AD181" s="186" t="s">
        <v>881</v>
      </c>
      <c r="AE181" s="186" t="s">
        <v>858</v>
      </c>
      <c r="AF181" s="187">
        <v>7</v>
      </c>
      <c r="AG181" s="187">
        <v>3</v>
      </c>
      <c r="AH181" s="187">
        <v>4</v>
      </c>
      <c r="AI181" s="188">
        <v>1</v>
      </c>
      <c r="AJ181" s="188" t="s">
        <v>615</v>
      </c>
      <c r="AK181" s="187" t="s">
        <v>1738</v>
      </c>
      <c r="AL181" s="87" t="s">
        <v>615</v>
      </c>
      <c r="AM181" s="189"/>
      <c r="AN181" s="187" t="s">
        <v>615</v>
      </c>
      <c r="AO181" s="13" t="s">
        <v>615</v>
      </c>
      <c r="AP181" s="187">
        <v>0</v>
      </c>
      <c r="AQ181" s="187">
        <v>0</v>
      </c>
      <c r="AR181" s="190">
        <v>0</v>
      </c>
      <c r="AS181" s="190">
        <v>0</v>
      </c>
      <c r="AT181" s="190">
        <v>0</v>
      </c>
      <c r="AU181" s="187">
        <v>0</v>
      </c>
      <c r="AV181" s="187">
        <v>0</v>
      </c>
      <c r="AW181" s="191"/>
      <c r="AX181" s="192"/>
      <c r="AY181" s="193">
        <v>42666</v>
      </c>
      <c r="AZ181" s="193"/>
      <c r="BA181" s="193"/>
      <c r="BB181" s="194"/>
      <c r="BC181" s="194"/>
      <c r="BD181" s="195"/>
      <c r="BE181" s="195" t="s">
        <v>532</v>
      </c>
      <c r="BF181" s="195"/>
      <c r="BG181" s="195">
        <v>120</v>
      </c>
      <c r="BH181" s="196" t="s">
        <v>547</v>
      </c>
      <c r="BI181" s="197">
        <v>1</v>
      </c>
      <c r="BJ181" s="198"/>
      <c r="BK181" s="199">
        <v>0</v>
      </c>
      <c r="BL181" s="13">
        <v>0</v>
      </c>
      <c r="BM181" s="13">
        <v>0</v>
      </c>
      <c r="BN181" s="13" t="s">
        <v>616</v>
      </c>
      <c r="BO181" s="13" t="s">
        <v>616</v>
      </c>
      <c r="BP181" s="200">
        <v>0</v>
      </c>
      <c r="BQ181" s="201"/>
      <c r="BR181" s="202"/>
      <c r="BS181" s="187">
        <v>1000000000</v>
      </c>
      <c r="BT181" s="203">
        <v>0</v>
      </c>
      <c r="BU181" s="204">
        <v>0</v>
      </c>
      <c r="BV181" s="203">
        <v>0</v>
      </c>
      <c r="BW181" s="205">
        <v>0</v>
      </c>
      <c r="BX181" s="205">
        <v>0</v>
      </c>
      <c r="BY181" s="205">
        <v>0</v>
      </c>
      <c r="BZ181" s="203">
        <v>0</v>
      </c>
      <c r="CA181" s="203">
        <v>0</v>
      </c>
      <c r="CB181" s="203">
        <v>0</v>
      </c>
      <c r="CC181" s="204">
        <v>0</v>
      </c>
      <c r="CD181" s="203">
        <v>0</v>
      </c>
      <c r="CE181" s="203">
        <v>0</v>
      </c>
      <c r="CF181" s="13">
        <v>0</v>
      </c>
      <c r="CG181" s="206">
        <v>0</v>
      </c>
      <c r="CH181" s="207">
        <v>0</v>
      </c>
      <c r="CI181" s="201"/>
      <c r="CJ181" s="208"/>
      <c r="CK181" s="209" t="s">
        <v>615</v>
      </c>
      <c r="CL181" s="210" t="s">
        <v>615</v>
      </c>
      <c r="CM181" s="207">
        <v>0</v>
      </c>
      <c r="CN181" s="207">
        <v>0</v>
      </c>
      <c r="CO181" s="204">
        <v>0</v>
      </c>
      <c r="CP181" s="204">
        <v>0</v>
      </c>
      <c r="CQ181" s="211"/>
      <c r="CR181" s="204">
        <v>1</v>
      </c>
      <c r="CS181" s="212">
        <v>42558</v>
      </c>
      <c r="CT181" s="212">
        <v>42780</v>
      </c>
      <c r="CU181" s="213">
        <v>42780</v>
      </c>
      <c r="CV181" s="214">
        <v>42829</v>
      </c>
      <c r="CW181" s="214" t="s">
        <v>615</v>
      </c>
      <c r="CX181" s="214" t="s">
        <v>615</v>
      </c>
      <c r="CY181" s="204">
        <v>1</v>
      </c>
      <c r="CZ181" s="204">
        <v>0.97959183673469385</v>
      </c>
      <c r="DA181" s="203">
        <v>0</v>
      </c>
      <c r="DB181" s="204">
        <v>0.97959183673469385</v>
      </c>
      <c r="DC181" s="204">
        <v>0</v>
      </c>
      <c r="DD181" s="204">
        <v>0</v>
      </c>
      <c r="DE181" s="204">
        <v>0</v>
      </c>
      <c r="DF181" s="215">
        <v>0</v>
      </c>
      <c r="DG181" s="13" t="s">
        <v>615</v>
      </c>
      <c r="DH181" s="86">
        <v>179</v>
      </c>
      <c r="DI181" s="86"/>
      <c r="DJ181" s="86">
        <v>175</v>
      </c>
      <c r="DK181" s="86" t="s">
        <v>1634</v>
      </c>
      <c r="DL181" s="86" t="e">
        <v>#N/A</v>
      </c>
      <c r="DM181" s="86" t="e">
        <v>#N/A</v>
      </c>
      <c r="DN181" s="86" t="e">
        <v>#N/A</v>
      </c>
      <c r="DO181" s="86">
        <v>337</v>
      </c>
      <c r="DP181" s="86">
        <v>5</v>
      </c>
      <c r="DQ181" s="86">
        <v>49</v>
      </c>
      <c r="DR181" s="146">
        <v>0</v>
      </c>
      <c r="DS181" s="146">
        <v>0</v>
      </c>
      <c r="DT181" s="146">
        <v>0</v>
      </c>
      <c r="DU181" s="146">
        <v>0</v>
      </c>
      <c r="DV181" s="146">
        <v>0</v>
      </c>
      <c r="DW181" s="146">
        <v>0</v>
      </c>
      <c r="DX181" s="146">
        <v>0</v>
      </c>
      <c r="DY181" s="146">
        <v>0</v>
      </c>
      <c r="DZ181" s="146">
        <v>0</v>
      </c>
      <c r="EA181" s="146">
        <v>0</v>
      </c>
      <c r="EB181" s="146">
        <v>0</v>
      </c>
      <c r="EC181" s="146">
        <v>0</v>
      </c>
      <c r="ED181" s="146">
        <v>0</v>
      </c>
      <c r="EE181" s="146">
        <v>0</v>
      </c>
      <c r="EF181" s="146">
        <v>0</v>
      </c>
      <c r="EG181" s="146">
        <v>0</v>
      </c>
      <c r="EH181" s="146">
        <v>0</v>
      </c>
      <c r="EI181" s="146">
        <v>0</v>
      </c>
      <c r="EJ181" s="146">
        <v>0</v>
      </c>
      <c r="EK181" s="146">
        <v>0</v>
      </c>
      <c r="EL181" s="146">
        <v>0</v>
      </c>
      <c r="EM181" s="146">
        <v>0</v>
      </c>
      <c r="EN181" s="146">
        <v>0</v>
      </c>
      <c r="EO181" s="146">
        <v>0</v>
      </c>
      <c r="EP181" s="146">
        <v>0</v>
      </c>
      <c r="EQ181" s="146">
        <v>0</v>
      </c>
      <c r="ER181" s="146">
        <v>0</v>
      </c>
      <c r="ES181" s="146">
        <v>0</v>
      </c>
      <c r="ET181" s="146">
        <v>0</v>
      </c>
      <c r="EU181" s="146">
        <v>0</v>
      </c>
      <c r="EV181" s="146">
        <v>0</v>
      </c>
      <c r="EW181" s="146">
        <v>0</v>
      </c>
      <c r="EX181" s="146">
        <v>0</v>
      </c>
      <c r="EY181" s="146">
        <v>0</v>
      </c>
      <c r="EZ181" s="146">
        <v>0</v>
      </c>
      <c r="FA181" s="146">
        <v>0</v>
      </c>
      <c r="FB181" s="146">
        <v>0</v>
      </c>
      <c r="FC181" s="146">
        <v>0</v>
      </c>
      <c r="FD181" s="146">
        <v>0</v>
      </c>
      <c r="FE181" s="146">
        <v>0</v>
      </c>
      <c r="FF181" s="146">
        <v>0</v>
      </c>
      <c r="FG181" s="146">
        <v>0</v>
      </c>
      <c r="FH181" s="146">
        <v>0</v>
      </c>
      <c r="FI181" s="146">
        <v>0</v>
      </c>
      <c r="FJ181" s="146">
        <v>0</v>
      </c>
      <c r="FK181" s="146">
        <v>0</v>
      </c>
      <c r="FL181" s="146">
        <v>0</v>
      </c>
      <c r="FM181" s="146">
        <v>0</v>
      </c>
      <c r="FN181" s="146">
        <v>0</v>
      </c>
      <c r="FO181" s="146">
        <v>0</v>
      </c>
      <c r="FP181" s="146">
        <v>0</v>
      </c>
      <c r="FQ181" s="146">
        <v>0</v>
      </c>
      <c r="FR181" s="146">
        <v>0</v>
      </c>
      <c r="FS181" s="146">
        <v>0</v>
      </c>
      <c r="FT181" s="146">
        <v>0</v>
      </c>
      <c r="FU181" s="146">
        <v>0</v>
      </c>
      <c r="FV181" s="146">
        <v>0</v>
      </c>
      <c r="FW181" s="146">
        <v>0</v>
      </c>
      <c r="FX181" s="146">
        <v>0</v>
      </c>
      <c r="FY181" s="146">
        <v>0</v>
      </c>
      <c r="FZ181" s="146">
        <v>0</v>
      </c>
      <c r="GA181" s="146">
        <v>0</v>
      </c>
      <c r="GB181" s="146">
        <v>0</v>
      </c>
      <c r="GC181" s="146">
        <v>0</v>
      </c>
      <c r="GD181" s="146">
        <v>0</v>
      </c>
      <c r="GE181" s="146">
        <v>0</v>
      </c>
      <c r="GF181" s="146">
        <v>0</v>
      </c>
      <c r="GG181" s="146">
        <v>0</v>
      </c>
      <c r="GH181" s="146">
        <v>0</v>
      </c>
      <c r="GI181" s="146">
        <v>0</v>
      </c>
      <c r="GJ181" s="146">
        <v>0</v>
      </c>
      <c r="GK181" s="146">
        <v>0</v>
      </c>
      <c r="GL181" s="146">
        <v>0</v>
      </c>
      <c r="GM181" s="146">
        <v>0</v>
      </c>
      <c r="GN181" s="146">
        <v>0</v>
      </c>
      <c r="GO181" s="146">
        <v>0</v>
      </c>
      <c r="GP181" s="146">
        <v>0</v>
      </c>
      <c r="GQ181" s="146">
        <v>0</v>
      </c>
      <c r="GR181" s="146">
        <v>0</v>
      </c>
      <c r="GS181" s="146">
        <v>0</v>
      </c>
      <c r="GT181" s="146">
        <v>0</v>
      </c>
      <c r="GU181" s="146">
        <v>0</v>
      </c>
      <c r="GV181" s="146">
        <v>0</v>
      </c>
      <c r="GW181" s="146">
        <v>0</v>
      </c>
      <c r="GX181" s="146">
        <v>0</v>
      </c>
      <c r="GY181" s="146">
        <v>0</v>
      </c>
      <c r="GZ181" s="146">
        <v>0</v>
      </c>
      <c r="HA181" s="146">
        <v>0</v>
      </c>
      <c r="HB181" s="146">
        <v>0</v>
      </c>
      <c r="HC181" s="146">
        <v>0</v>
      </c>
      <c r="HD181" s="146">
        <v>0</v>
      </c>
      <c r="HE181" s="146">
        <v>0</v>
      </c>
      <c r="HF181" s="146">
        <v>0</v>
      </c>
      <c r="HG181" s="146">
        <v>0</v>
      </c>
      <c r="HH181" s="146">
        <v>0</v>
      </c>
      <c r="HI181" s="146">
        <v>0</v>
      </c>
      <c r="HJ181" s="146">
        <v>0</v>
      </c>
      <c r="HK181" s="146">
        <v>0</v>
      </c>
      <c r="HL181" s="146">
        <v>0</v>
      </c>
      <c r="HM181" s="146">
        <v>0</v>
      </c>
      <c r="HN181" s="146">
        <v>0</v>
      </c>
      <c r="HO181" s="146">
        <v>0</v>
      </c>
      <c r="HP181" s="146">
        <v>0</v>
      </c>
      <c r="HQ181" s="146">
        <v>0</v>
      </c>
      <c r="HR181" s="146">
        <v>0</v>
      </c>
      <c r="HS181" s="146">
        <v>0</v>
      </c>
      <c r="HT181" s="146">
        <v>0</v>
      </c>
      <c r="HU181" s="151"/>
      <c r="HV181" s="146">
        <v>0</v>
      </c>
      <c r="HW181" s="151"/>
      <c r="HX181" s="151"/>
      <c r="HY181" s="151"/>
      <c r="HZ181" s="151"/>
      <c r="IA181" s="151"/>
      <c r="IB181" s="151"/>
      <c r="IC181" s="151"/>
      <c r="ID181" s="151"/>
      <c r="IE181" s="151"/>
      <c r="IF181" s="151"/>
      <c r="IG181" s="151"/>
      <c r="IH181" s="151"/>
      <c r="II181" s="151"/>
      <c r="IJ181" s="151"/>
      <c r="IK181" s="151"/>
      <c r="IL181" s="151"/>
      <c r="IM181" s="151"/>
      <c r="IN181" s="151"/>
      <c r="IO181" s="151"/>
      <c r="IP181" s="151"/>
      <c r="IQ181" s="151"/>
      <c r="IR181" s="151"/>
      <c r="IS181" s="151"/>
      <c r="IT181" s="151"/>
      <c r="IU181" s="151"/>
      <c r="IV181" s="151"/>
      <c r="IW181" s="151"/>
      <c r="IX181" s="151"/>
      <c r="IY181" s="151"/>
      <c r="IZ181" s="151"/>
      <c r="JA181" s="151"/>
      <c r="JB181" s="151"/>
      <c r="JC181" s="151"/>
      <c r="JD181" s="151"/>
      <c r="JE181" s="151"/>
      <c r="JF181" s="151"/>
      <c r="JG181" s="151"/>
      <c r="JH181" s="151"/>
      <c r="JI181" s="151"/>
      <c r="JJ181" s="151"/>
      <c r="JK181" s="151"/>
      <c r="JL181" s="151"/>
      <c r="JM181" s="151"/>
      <c r="JN181" s="151"/>
      <c r="JO181" s="151"/>
      <c r="JP181" s="151"/>
      <c r="JQ181" s="151"/>
      <c r="JR181" s="151"/>
      <c r="JS181" s="151"/>
      <c r="JT181" s="151"/>
      <c r="JU181" s="151"/>
      <c r="JV181" s="151"/>
      <c r="JW181" s="151"/>
      <c r="JX181" s="151"/>
      <c r="JY181" s="151"/>
      <c r="JZ181" s="151"/>
      <c r="KA181" s="151"/>
      <c r="KB181" s="151"/>
      <c r="KC181" s="151"/>
      <c r="KD181" s="151"/>
      <c r="KE181" s="151"/>
      <c r="KF181" s="151"/>
      <c r="KG181" s="151"/>
      <c r="KH181" s="151"/>
      <c r="KI181" s="151"/>
      <c r="KJ181" s="151"/>
      <c r="KK181" s="151"/>
      <c r="KL181" s="151"/>
      <c r="KM181" s="151"/>
      <c r="KN181" s="151"/>
      <c r="KO181" s="151"/>
      <c r="KP181" s="151"/>
      <c r="KQ181" s="151"/>
      <c r="KR181" s="151"/>
      <c r="KS181" s="151"/>
      <c r="KT181" s="151"/>
      <c r="KU181" s="151"/>
      <c r="KV181" s="151"/>
      <c r="KW181" s="151"/>
      <c r="KX181" s="151"/>
      <c r="KY181" s="151"/>
      <c r="KZ181" s="151"/>
      <c r="LA181" s="151"/>
      <c r="LB181" s="151"/>
      <c r="LC181" s="151"/>
      <c r="LD181" s="151"/>
      <c r="LE181" s="151"/>
    </row>
    <row r="182" spans="1:317" x14ac:dyDescent="0.2">
      <c r="A182" s="179" t="s">
        <v>849</v>
      </c>
      <c r="B182" s="180" t="s">
        <v>1081</v>
      </c>
      <c r="C182" s="181"/>
      <c r="D182" s="182">
        <v>0</v>
      </c>
      <c r="E182" s="182">
        <v>0</v>
      </c>
      <c r="F182" s="183" t="s">
        <v>1314</v>
      </c>
      <c r="G182" s="183">
        <v>0</v>
      </c>
      <c r="H182" s="183">
        <v>0</v>
      </c>
      <c r="I182" s="183">
        <v>0</v>
      </c>
      <c r="J182" s="183">
        <v>0</v>
      </c>
      <c r="K182" s="183" t="s">
        <v>1368</v>
      </c>
      <c r="L182" s="183">
        <v>0</v>
      </c>
      <c r="M182" s="183">
        <v>0</v>
      </c>
      <c r="N182" s="183" t="s">
        <v>881</v>
      </c>
      <c r="O182" s="183">
        <v>0</v>
      </c>
      <c r="P182" s="183">
        <v>0</v>
      </c>
      <c r="Q182" s="183"/>
      <c r="R182" s="183"/>
      <c r="S182" s="183"/>
      <c r="T182" s="183"/>
      <c r="U182" s="183"/>
      <c r="V182" s="183">
        <v>0</v>
      </c>
      <c r="W182" s="183">
        <v>0</v>
      </c>
      <c r="X182" s="183">
        <v>0</v>
      </c>
      <c r="Y182" s="184">
        <v>0</v>
      </c>
      <c r="Z182" s="184">
        <v>0</v>
      </c>
      <c r="AA182" s="184">
        <v>0</v>
      </c>
      <c r="AB182" s="185" t="s">
        <v>615</v>
      </c>
      <c r="AC182" s="185" t="s">
        <v>615</v>
      </c>
      <c r="AD182" s="186" t="s">
        <v>881</v>
      </c>
      <c r="AE182" s="186" t="s">
        <v>858</v>
      </c>
      <c r="AF182" s="187">
        <v>7</v>
      </c>
      <c r="AG182" s="187">
        <v>3</v>
      </c>
      <c r="AH182" s="187">
        <v>4</v>
      </c>
      <c r="AI182" s="188">
        <v>1</v>
      </c>
      <c r="AJ182" s="188" t="s">
        <v>615</v>
      </c>
      <c r="AK182" s="187" t="s">
        <v>1738</v>
      </c>
      <c r="AL182" s="87" t="s">
        <v>615</v>
      </c>
      <c r="AM182" s="189"/>
      <c r="AN182" s="187" t="s">
        <v>615</v>
      </c>
      <c r="AO182" s="13" t="s">
        <v>615</v>
      </c>
      <c r="AP182" s="187">
        <v>0</v>
      </c>
      <c r="AQ182" s="187">
        <v>0</v>
      </c>
      <c r="AR182" s="190">
        <v>0</v>
      </c>
      <c r="AS182" s="190">
        <v>0</v>
      </c>
      <c r="AT182" s="190">
        <v>0</v>
      </c>
      <c r="AU182" s="187">
        <v>0</v>
      </c>
      <c r="AV182" s="187">
        <v>0</v>
      </c>
      <c r="AW182" s="191"/>
      <c r="AX182" s="192"/>
      <c r="AY182" s="193">
        <v>42666</v>
      </c>
      <c r="AZ182" s="193"/>
      <c r="BA182" s="193"/>
      <c r="BB182" s="194"/>
      <c r="BC182" s="194"/>
      <c r="BD182" s="195"/>
      <c r="BE182" s="195" t="s">
        <v>532</v>
      </c>
      <c r="BF182" s="195"/>
      <c r="BG182" s="195">
        <v>480</v>
      </c>
      <c r="BH182" s="196" t="s">
        <v>547</v>
      </c>
      <c r="BI182" s="197">
        <v>1</v>
      </c>
      <c r="BJ182" s="198"/>
      <c r="BK182" s="199">
        <v>0</v>
      </c>
      <c r="BL182" s="13">
        <v>0</v>
      </c>
      <c r="BM182" s="13">
        <v>0</v>
      </c>
      <c r="BN182" s="13" t="s">
        <v>616</v>
      </c>
      <c r="BO182" s="13" t="s">
        <v>616</v>
      </c>
      <c r="BP182" s="200">
        <v>0</v>
      </c>
      <c r="BQ182" s="201"/>
      <c r="BR182" s="202"/>
      <c r="BS182" s="187">
        <v>1000000000</v>
      </c>
      <c r="BT182" s="203">
        <v>0</v>
      </c>
      <c r="BU182" s="204">
        <v>0</v>
      </c>
      <c r="BV182" s="203">
        <v>0</v>
      </c>
      <c r="BW182" s="205">
        <v>0</v>
      </c>
      <c r="BX182" s="205">
        <v>0</v>
      </c>
      <c r="BY182" s="205">
        <v>0</v>
      </c>
      <c r="BZ182" s="203">
        <v>0</v>
      </c>
      <c r="CA182" s="203">
        <v>0</v>
      </c>
      <c r="CB182" s="203">
        <v>0</v>
      </c>
      <c r="CC182" s="204">
        <v>0</v>
      </c>
      <c r="CD182" s="203">
        <v>0</v>
      </c>
      <c r="CE182" s="203">
        <v>0</v>
      </c>
      <c r="CF182" s="13">
        <v>0</v>
      </c>
      <c r="CG182" s="206">
        <v>0</v>
      </c>
      <c r="CH182" s="207">
        <v>0</v>
      </c>
      <c r="CI182" s="201"/>
      <c r="CJ182" s="208"/>
      <c r="CK182" s="209" t="s">
        <v>615</v>
      </c>
      <c r="CL182" s="210" t="s">
        <v>615</v>
      </c>
      <c r="CM182" s="207">
        <v>0</v>
      </c>
      <c r="CN182" s="207">
        <v>0</v>
      </c>
      <c r="CO182" s="204">
        <v>0</v>
      </c>
      <c r="CP182" s="204">
        <v>0</v>
      </c>
      <c r="CQ182" s="211"/>
      <c r="CR182" s="204">
        <v>1</v>
      </c>
      <c r="CS182" s="212">
        <v>42558</v>
      </c>
      <c r="CT182" s="212">
        <v>42780</v>
      </c>
      <c r="CU182" s="213">
        <v>42780</v>
      </c>
      <c r="CV182" s="214">
        <v>42829</v>
      </c>
      <c r="CW182" s="214" t="s">
        <v>615</v>
      </c>
      <c r="CX182" s="214" t="s">
        <v>615</v>
      </c>
      <c r="CY182" s="204">
        <v>1</v>
      </c>
      <c r="CZ182" s="204">
        <v>0.97959183673469385</v>
      </c>
      <c r="DA182" s="203">
        <v>0</v>
      </c>
      <c r="DB182" s="204">
        <v>0.97959183673469385</v>
      </c>
      <c r="DC182" s="204">
        <v>0</v>
      </c>
      <c r="DD182" s="204">
        <v>0</v>
      </c>
      <c r="DE182" s="204">
        <v>0</v>
      </c>
      <c r="DF182" s="215">
        <v>0</v>
      </c>
      <c r="DG182" s="13" t="s">
        <v>615</v>
      </c>
      <c r="DH182" s="86">
        <v>180</v>
      </c>
      <c r="DI182" s="86"/>
      <c r="DJ182" s="86">
        <v>176</v>
      </c>
      <c r="DK182" s="86" t="s">
        <v>1635</v>
      </c>
      <c r="DL182" s="86" t="e">
        <v>#N/A</v>
      </c>
      <c r="DM182" s="86" t="e">
        <v>#N/A</v>
      </c>
      <c r="DN182" s="86" t="e">
        <v>#N/A</v>
      </c>
      <c r="DO182" s="86">
        <v>338</v>
      </c>
      <c r="DP182" s="86">
        <v>5</v>
      </c>
      <c r="DQ182" s="86">
        <v>49</v>
      </c>
      <c r="DR182" s="152">
        <v>0</v>
      </c>
      <c r="DS182" s="152">
        <v>0</v>
      </c>
      <c r="DT182" s="152">
        <v>0</v>
      </c>
      <c r="DU182" s="152">
        <v>0</v>
      </c>
      <c r="DV182" s="152">
        <v>0</v>
      </c>
      <c r="DW182" s="152">
        <v>0</v>
      </c>
      <c r="DX182" s="152">
        <v>0</v>
      </c>
      <c r="DY182" s="152">
        <v>0</v>
      </c>
      <c r="DZ182" s="152">
        <v>0</v>
      </c>
      <c r="EA182" s="152">
        <v>0</v>
      </c>
      <c r="EB182" s="152">
        <v>0</v>
      </c>
      <c r="EC182" s="152">
        <v>0</v>
      </c>
      <c r="ED182" s="152">
        <v>0</v>
      </c>
      <c r="EE182" s="152">
        <v>0</v>
      </c>
      <c r="EF182" s="152">
        <v>0</v>
      </c>
      <c r="EG182" s="152">
        <v>0</v>
      </c>
      <c r="EH182" s="152">
        <v>0</v>
      </c>
      <c r="EI182" s="152">
        <v>0</v>
      </c>
      <c r="EJ182" s="152">
        <v>0</v>
      </c>
      <c r="EK182" s="152">
        <v>0</v>
      </c>
      <c r="EL182" s="152">
        <v>0</v>
      </c>
      <c r="EM182" s="152">
        <v>0</v>
      </c>
      <c r="EN182" s="152">
        <v>0</v>
      </c>
      <c r="EO182" s="152">
        <v>0</v>
      </c>
      <c r="EP182" s="152">
        <v>0</v>
      </c>
      <c r="EQ182" s="152">
        <v>0</v>
      </c>
      <c r="ER182" s="152">
        <v>0</v>
      </c>
      <c r="ES182" s="152">
        <v>0</v>
      </c>
      <c r="ET182" s="152">
        <v>0</v>
      </c>
      <c r="EU182" s="152">
        <v>0</v>
      </c>
      <c r="EV182" s="152">
        <v>0</v>
      </c>
      <c r="EW182" s="152">
        <v>0</v>
      </c>
      <c r="EX182" s="152">
        <v>0</v>
      </c>
      <c r="EY182" s="152">
        <v>0</v>
      </c>
      <c r="EZ182" s="152">
        <v>0</v>
      </c>
      <c r="FA182" s="152">
        <v>0</v>
      </c>
      <c r="FB182" s="152">
        <v>0</v>
      </c>
      <c r="FC182" s="152">
        <v>0</v>
      </c>
      <c r="FD182" s="152">
        <v>0</v>
      </c>
      <c r="FE182" s="152">
        <v>0</v>
      </c>
      <c r="FF182" s="152">
        <v>0</v>
      </c>
      <c r="FG182" s="152">
        <v>0</v>
      </c>
      <c r="FH182" s="152">
        <v>0</v>
      </c>
      <c r="FI182" s="152">
        <v>0</v>
      </c>
      <c r="FJ182" s="152">
        <v>0</v>
      </c>
      <c r="FK182" s="152">
        <v>0</v>
      </c>
      <c r="FL182" s="152">
        <v>0</v>
      </c>
      <c r="FM182" s="152">
        <v>0</v>
      </c>
      <c r="FN182" s="152">
        <v>0</v>
      </c>
      <c r="FO182" s="152">
        <v>0</v>
      </c>
      <c r="FP182" s="152">
        <v>0</v>
      </c>
      <c r="FQ182" s="152">
        <v>0</v>
      </c>
      <c r="FR182" s="152">
        <v>0</v>
      </c>
      <c r="FS182" s="152">
        <v>0</v>
      </c>
      <c r="FT182" s="152">
        <v>0</v>
      </c>
      <c r="FU182" s="152">
        <v>0</v>
      </c>
      <c r="FV182" s="152">
        <v>0</v>
      </c>
      <c r="FW182" s="152">
        <v>0</v>
      </c>
      <c r="FX182" s="152">
        <v>0</v>
      </c>
      <c r="FY182" s="152">
        <v>0</v>
      </c>
      <c r="FZ182" s="152">
        <v>0</v>
      </c>
      <c r="GA182" s="152">
        <v>0</v>
      </c>
      <c r="GB182" s="152">
        <v>0</v>
      </c>
      <c r="GC182" s="152">
        <v>0</v>
      </c>
      <c r="GD182" s="152">
        <v>0</v>
      </c>
      <c r="GE182" s="152">
        <v>0</v>
      </c>
      <c r="GF182" s="152">
        <v>0</v>
      </c>
      <c r="GG182" s="152">
        <v>0</v>
      </c>
      <c r="GH182" s="152">
        <v>0</v>
      </c>
      <c r="GI182" s="152">
        <v>0</v>
      </c>
      <c r="GJ182" s="152">
        <v>0</v>
      </c>
      <c r="GK182" s="152">
        <v>0</v>
      </c>
      <c r="GL182" s="152">
        <v>0</v>
      </c>
      <c r="GM182" s="152">
        <v>0</v>
      </c>
      <c r="GN182" s="152">
        <v>0</v>
      </c>
      <c r="GO182" s="152">
        <v>0</v>
      </c>
      <c r="GP182" s="152">
        <v>0</v>
      </c>
      <c r="GQ182" s="152">
        <v>0</v>
      </c>
      <c r="GR182" s="152">
        <v>0</v>
      </c>
      <c r="GS182" s="152">
        <v>0</v>
      </c>
      <c r="GT182" s="152">
        <v>0</v>
      </c>
      <c r="GU182" s="152">
        <v>0</v>
      </c>
      <c r="GV182" s="152">
        <v>0</v>
      </c>
      <c r="GW182" s="152">
        <v>0</v>
      </c>
      <c r="GX182" s="152">
        <v>0</v>
      </c>
      <c r="GY182" s="152">
        <v>0</v>
      </c>
      <c r="GZ182" s="152">
        <v>0</v>
      </c>
      <c r="HA182" s="152">
        <v>0</v>
      </c>
      <c r="HB182" s="152">
        <v>0</v>
      </c>
      <c r="HC182" s="152">
        <v>0</v>
      </c>
      <c r="HD182" s="152">
        <v>0</v>
      </c>
      <c r="HE182" s="152">
        <v>0</v>
      </c>
      <c r="HF182" s="152">
        <v>0</v>
      </c>
      <c r="HG182" s="152">
        <v>0</v>
      </c>
      <c r="HH182" s="152">
        <v>0</v>
      </c>
      <c r="HI182" s="152">
        <v>0</v>
      </c>
      <c r="HJ182" s="152">
        <v>0</v>
      </c>
      <c r="HK182" s="152">
        <v>0</v>
      </c>
      <c r="HL182" s="152">
        <v>0</v>
      </c>
      <c r="HM182" s="152">
        <v>0</v>
      </c>
      <c r="HN182" s="152">
        <v>0</v>
      </c>
      <c r="HO182" s="152">
        <v>0</v>
      </c>
      <c r="HP182" s="152">
        <v>0</v>
      </c>
      <c r="HQ182" s="152">
        <v>0</v>
      </c>
      <c r="HR182" s="152">
        <v>0</v>
      </c>
      <c r="HS182" s="152">
        <v>0</v>
      </c>
      <c r="HT182" s="152">
        <v>0</v>
      </c>
      <c r="HU182" s="216"/>
      <c r="HV182" s="152">
        <v>0</v>
      </c>
      <c r="HW182" s="216"/>
      <c r="HX182" s="216"/>
      <c r="HY182" s="216"/>
      <c r="HZ182" s="216"/>
      <c r="IA182" s="216"/>
      <c r="IB182" s="216"/>
      <c r="IC182" s="216"/>
      <c r="ID182" s="216"/>
      <c r="IE182" s="216"/>
      <c r="IF182" s="216"/>
      <c r="IG182" s="216"/>
      <c r="IH182" s="216"/>
      <c r="II182" s="216"/>
      <c r="IJ182" s="216"/>
      <c r="IK182" s="216"/>
      <c r="IL182" s="216"/>
      <c r="IM182" s="216"/>
      <c r="IN182" s="216"/>
      <c r="IO182" s="216"/>
      <c r="IP182" s="216"/>
      <c r="IQ182" s="216"/>
      <c r="IR182" s="216"/>
      <c r="IS182" s="216"/>
      <c r="IT182" s="216"/>
      <c r="IU182" s="216"/>
      <c r="IV182" s="216"/>
      <c r="IW182" s="216"/>
      <c r="IX182" s="216"/>
      <c r="IY182" s="216"/>
      <c r="IZ182" s="216"/>
      <c r="JA182" s="216"/>
      <c r="JB182" s="216"/>
      <c r="JC182" s="216"/>
      <c r="JD182" s="216"/>
      <c r="JE182" s="216"/>
      <c r="JF182" s="216"/>
      <c r="JG182" s="216"/>
      <c r="JH182" s="216"/>
      <c r="JI182" s="216"/>
      <c r="JJ182" s="216"/>
      <c r="JK182" s="216"/>
      <c r="JL182" s="216"/>
      <c r="JM182" s="216"/>
      <c r="JN182" s="216"/>
      <c r="JO182" s="216"/>
      <c r="JP182" s="216"/>
      <c r="JQ182" s="216"/>
      <c r="JR182" s="216"/>
      <c r="JS182" s="216"/>
      <c r="JT182" s="216"/>
      <c r="JU182" s="216"/>
      <c r="JV182" s="216"/>
      <c r="JW182" s="216"/>
      <c r="JX182" s="216"/>
      <c r="JY182" s="216"/>
      <c r="JZ182" s="216"/>
      <c r="KA182" s="216"/>
      <c r="KB182" s="216"/>
      <c r="KC182" s="216"/>
      <c r="KD182" s="216"/>
      <c r="KE182" s="216"/>
      <c r="KF182" s="216"/>
      <c r="KG182" s="216"/>
      <c r="KH182" s="216"/>
      <c r="KI182" s="216"/>
      <c r="KJ182" s="216"/>
      <c r="KK182" s="216"/>
      <c r="KL182" s="216"/>
      <c r="KM182" s="216"/>
      <c r="KN182" s="216"/>
      <c r="KO182" s="216"/>
      <c r="KP182" s="216"/>
      <c r="KQ182" s="216"/>
      <c r="KR182" s="216"/>
      <c r="KS182" s="216"/>
      <c r="KT182" s="216"/>
      <c r="KU182" s="216"/>
      <c r="KV182" s="216"/>
      <c r="KW182" s="216"/>
      <c r="KX182" s="216"/>
      <c r="KY182" s="216"/>
      <c r="KZ182" s="216"/>
      <c r="LA182" s="216"/>
      <c r="LB182" s="216"/>
      <c r="LC182" s="216"/>
      <c r="LD182" s="216"/>
      <c r="LE182" s="216"/>
    </row>
    <row r="183" spans="1:317" x14ac:dyDescent="0.2">
      <c r="A183" s="179" t="s">
        <v>849</v>
      </c>
      <c r="B183" s="180" t="s">
        <v>1082</v>
      </c>
      <c r="C183" s="181"/>
      <c r="D183" s="182">
        <v>0</v>
      </c>
      <c r="E183" s="182">
        <v>0</v>
      </c>
      <c r="F183" s="183" t="s">
        <v>1314</v>
      </c>
      <c r="G183" s="183">
        <v>0</v>
      </c>
      <c r="H183" s="183">
        <v>0</v>
      </c>
      <c r="I183" s="183">
        <v>0</v>
      </c>
      <c r="J183" s="183">
        <v>0</v>
      </c>
      <c r="K183" s="183" t="s">
        <v>1368</v>
      </c>
      <c r="L183" s="183">
        <v>0</v>
      </c>
      <c r="M183" s="183">
        <v>0</v>
      </c>
      <c r="N183" s="183" t="s">
        <v>881</v>
      </c>
      <c r="O183" s="183">
        <v>0</v>
      </c>
      <c r="P183" s="183">
        <v>0</v>
      </c>
      <c r="Q183" s="183"/>
      <c r="R183" s="183"/>
      <c r="S183" s="183"/>
      <c r="T183" s="183"/>
      <c r="U183" s="183"/>
      <c r="V183" s="183">
        <v>0</v>
      </c>
      <c r="W183" s="183">
        <v>0</v>
      </c>
      <c r="X183" s="183">
        <v>0</v>
      </c>
      <c r="Y183" s="184">
        <v>0</v>
      </c>
      <c r="Z183" s="184">
        <v>0</v>
      </c>
      <c r="AA183" s="184">
        <v>0</v>
      </c>
      <c r="AB183" s="185" t="s">
        <v>615</v>
      </c>
      <c r="AC183" s="185" t="s">
        <v>615</v>
      </c>
      <c r="AD183" s="186" t="s">
        <v>881</v>
      </c>
      <c r="AE183" s="186" t="s">
        <v>858</v>
      </c>
      <c r="AF183" s="187">
        <v>7</v>
      </c>
      <c r="AG183" s="187">
        <v>3</v>
      </c>
      <c r="AH183" s="187">
        <v>4</v>
      </c>
      <c r="AI183" s="188">
        <v>1</v>
      </c>
      <c r="AJ183" s="188" t="s">
        <v>615</v>
      </c>
      <c r="AK183" s="187" t="s">
        <v>1738</v>
      </c>
      <c r="AL183" s="87" t="s">
        <v>615</v>
      </c>
      <c r="AM183" s="189"/>
      <c r="AN183" s="187" t="s">
        <v>615</v>
      </c>
      <c r="AO183" s="13" t="s">
        <v>615</v>
      </c>
      <c r="AP183" s="187">
        <v>0</v>
      </c>
      <c r="AQ183" s="187">
        <v>0</v>
      </c>
      <c r="AR183" s="190">
        <v>0</v>
      </c>
      <c r="AS183" s="190">
        <v>0</v>
      </c>
      <c r="AT183" s="190">
        <v>0</v>
      </c>
      <c r="AU183" s="187">
        <v>0</v>
      </c>
      <c r="AV183" s="187">
        <v>0</v>
      </c>
      <c r="AW183" s="191"/>
      <c r="AX183" s="192"/>
      <c r="AY183" s="193">
        <v>42666</v>
      </c>
      <c r="AZ183" s="193"/>
      <c r="BA183" s="193"/>
      <c r="BB183" s="194"/>
      <c r="BC183" s="194"/>
      <c r="BD183" s="195"/>
      <c r="BE183" s="195" t="s">
        <v>532</v>
      </c>
      <c r="BF183" s="195"/>
      <c r="BG183" s="195">
        <v>48</v>
      </c>
      <c r="BH183" s="196" t="s">
        <v>547</v>
      </c>
      <c r="BI183" s="197">
        <v>1</v>
      </c>
      <c r="BJ183" s="198"/>
      <c r="BK183" s="199">
        <v>0</v>
      </c>
      <c r="BL183" s="13">
        <v>0</v>
      </c>
      <c r="BM183" s="13">
        <v>0</v>
      </c>
      <c r="BN183" s="13" t="s">
        <v>616</v>
      </c>
      <c r="BO183" s="13" t="s">
        <v>616</v>
      </c>
      <c r="BP183" s="200">
        <v>0</v>
      </c>
      <c r="BQ183" s="201"/>
      <c r="BR183" s="202"/>
      <c r="BS183" s="187">
        <v>1000000000</v>
      </c>
      <c r="BT183" s="203">
        <v>0</v>
      </c>
      <c r="BU183" s="204">
        <v>0</v>
      </c>
      <c r="BV183" s="203">
        <v>0</v>
      </c>
      <c r="BW183" s="205">
        <v>0</v>
      </c>
      <c r="BX183" s="205">
        <v>0</v>
      </c>
      <c r="BY183" s="205">
        <v>0</v>
      </c>
      <c r="BZ183" s="203">
        <v>0</v>
      </c>
      <c r="CA183" s="203">
        <v>0</v>
      </c>
      <c r="CB183" s="203">
        <v>0</v>
      </c>
      <c r="CC183" s="204">
        <v>0</v>
      </c>
      <c r="CD183" s="203">
        <v>0</v>
      </c>
      <c r="CE183" s="203">
        <v>0</v>
      </c>
      <c r="CF183" s="13">
        <v>0</v>
      </c>
      <c r="CG183" s="206">
        <v>0</v>
      </c>
      <c r="CH183" s="207">
        <v>0</v>
      </c>
      <c r="CI183" s="201"/>
      <c r="CJ183" s="208"/>
      <c r="CK183" s="209" t="s">
        <v>615</v>
      </c>
      <c r="CL183" s="210" t="s">
        <v>615</v>
      </c>
      <c r="CM183" s="207">
        <v>0</v>
      </c>
      <c r="CN183" s="207">
        <v>0</v>
      </c>
      <c r="CO183" s="204">
        <v>0</v>
      </c>
      <c r="CP183" s="204">
        <v>0</v>
      </c>
      <c r="CQ183" s="211"/>
      <c r="CR183" s="204">
        <v>1</v>
      </c>
      <c r="CS183" s="212">
        <v>42558</v>
      </c>
      <c r="CT183" s="212">
        <v>42780</v>
      </c>
      <c r="CU183" s="213">
        <v>42780</v>
      </c>
      <c r="CV183" s="214">
        <v>42829</v>
      </c>
      <c r="CW183" s="214" t="s">
        <v>615</v>
      </c>
      <c r="CX183" s="214" t="s">
        <v>615</v>
      </c>
      <c r="CY183" s="204">
        <v>1</v>
      </c>
      <c r="CZ183" s="204">
        <v>0.97959183673469385</v>
      </c>
      <c r="DA183" s="203">
        <v>0</v>
      </c>
      <c r="DB183" s="204">
        <v>0.97959183673469385</v>
      </c>
      <c r="DC183" s="204">
        <v>0</v>
      </c>
      <c r="DD183" s="204">
        <v>0</v>
      </c>
      <c r="DE183" s="204">
        <v>0</v>
      </c>
      <c r="DF183" s="215">
        <v>0</v>
      </c>
      <c r="DG183" s="13" t="s">
        <v>615</v>
      </c>
      <c r="DH183" s="86">
        <v>181</v>
      </c>
      <c r="DI183" s="86"/>
      <c r="DJ183" s="86">
        <v>177</v>
      </c>
      <c r="DK183" s="86" t="s">
        <v>1636</v>
      </c>
      <c r="DL183" s="86" t="e">
        <v>#N/A</v>
      </c>
      <c r="DM183" s="86" t="e">
        <v>#N/A</v>
      </c>
      <c r="DN183" s="86" t="e">
        <v>#N/A</v>
      </c>
      <c r="DO183" s="86">
        <v>339</v>
      </c>
      <c r="DP183" s="86">
        <v>5</v>
      </c>
      <c r="DQ183" s="86">
        <v>49</v>
      </c>
      <c r="DR183" s="146">
        <v>0</v>
      </c>
      <c r="DS183" s="146">
        <v>0</v>
      </c>
      <c r="DT183" s="146">
        <v>0</v>
      </c>
      <c r="DU183" s="146">
        <v>0</v>
      </c>
      <c r="DV183" s="146">
        <v>0</v>
      </c>
      <c r="DW183" s="146">
        <v>0</v>
      </c>
      <c r="DX183" s="146">
        <v>0</v>
      </c>
      <c r="DY183" s="146">
        <v>0</v>
      </c>
      <c r="DZ183" s="146">
        <v>0</v>
      </c>
      <c r="EA183" s="146">
        <v>0</v>
      </c>
      <c r="EB183" s="146">
        <v>0</v>
      </c>
      <c r="EC183" s="146">
        <v>0</v>
      </c>
      <c r="ED183" s="146">
        <v>0</v>
      </c>
      <c r="EE183" s="146">
        <v>0</v>
      </c>
      <c r="EF183" s="146">
        <v>0</v>
      </c>
      <c r="EG183" s="146">
        <v>0</v>
      </c>
      <c r="EH183" s="146">
        <v>0</v>
      </c>
      <c r="EI183" s="146">
        <v>0</v>
      </c>
      <c r="EJ183" s="146">
        <v>0</v>
      </c>
      <c r="EK183" s="146">
        <v>0</v>
      </c>
      <c r="EL183" s="146">
        <v>0</v>
      </c>
      <c r="EM183" s="146">
        <v>0</v>
      </c>
      <c r="EN183" s="146">
        <v>0</v>
      </c>
      <c r="EO183" s="146">
        <v>0</v>
      </c>
      <c r="EP183" s="146">
        <v>0</v>
      </c>
      <c r="EQ183" s="146">
        <v>0</v>
      </c>
      <c r="ER183" s="146">
        <v>0</v>
      </c>
      <c r="ES183" s="146">
        <v>0</v>
      </c>
      <c r="ET183" s="146">
        <v>0</v>
      </c>
      <c r="EU183" s="146">
        <v>0</v>
      </c>
      <c r="EV183" s="146">
        <v>0</v>
      </c>
      <c r="EW183" s="146">
        <v>0</v>
      </c>
      <c r="EX183" s="146">
        <v>0</v>
      </c>
      <c r="EY183" s="146">
        <v>0</v>
      </c>
      <c r="EZ183" s="146">
        <v>0</v>
      </c>
      <c r="FA183" s="146">
        <v>0</v>
      </c>
      <c r="FB183" s="146">
        <v>0</v>
      </c>
      <c r="FC183" s="146">
        <v>0</v>
      </c>
      <c r="FD183" s="146">
        <v>0</v>
      </c>
      <c r="FE183" s="146">
        <v>0</v>
      </c>
      <c r="FF183" s="146">
        <v>0</v>
      </c>
      <c r="FG183" s="146">
        <v>0</v>
      </c>
      <c r="FH183" s="146">
        <v>0</v>
      </c>
      <c r="FI183" s="146">
        <v>0</v>
      </c>
      <c r="FJ183" s="146">
        <v>0</v>
      </c>
      <c r="FK183" s="146">
        <v>0</v>
      </c>
      <c r="FL183" s="146">
        <v>0</v>
      </c>
      <c r="FM183" s="146">
        <v>0</v>
      </c>
      <c r="FN183" s="146">
        <v>0</v>
      </c>
      <c r="FO183" s="146">
        <v>0</v>
      </c>
      <c r="FP183" s="146">
        <v>0</v>
      </c>
      <c r="FQ183" s="146">
        <v>0</v>
      </c>
      <c r="FR183" s="146">
        <v>0</v>
      </c>
      <c r="FS183" s="146">
        <v>0</v>
      </c>
      <c r="FT183" s="146">
        <v>0</v>
      </c>
      <c r="FU183" s="146">
        <v>0</v>
      </c>
      <c r="FV183" s="146">
        <v>0</v>
      </c>
      <c r="FW183" s="146">
        <v>0</v>
      </c>
      <c r="FX183" s="146">
        <v>0</v>
      </c>
      <c r="FY183" s="146">
        <v>0</v>
      </c>
      <c r="FZ183" s="146">
        <v>0</v>
      </c>
      <c r="GA183" s="146">
        <v>0</v>
      </c>
      <c r="GB183" s="146">
        <v>0</v>
      </c>
      <c r="GC183" s="146">
        <v>0</v>
      </c>
      <c r="GD183" s="146">
        <v>0</v>
      </c>
      <c r="GE183" s="146">
        <v>0</v>
      </c>
      <c r="GF183" s="146">
        <v>0</v>
      </c>
      <c r="GG183" s="146">
        <v>0</v>
      </c>
      <c r="GH183" s="146">
        <v>0</v>
      </c>
      <c r="GI183" s="146">
        <v>0</v>
      </c>
      <c r="GJ183" s="146">
        <v>0</v>
      </c>
      <c r="GK183" s="146">
        <v>0</v>
      </c>
      <c r="GL183" s="146">
        <v>0</v>
      </c>
      <c r="GM183" s="146">
        <v>0</v>
      </c>
      <c r="GN183" s="146">
        <v>0</v>
      </c>
      <c r="GO183" s="146">
        <v>0</v>
      </c>
      <c r="GP183" s="146">
        <v>0</v>
      </c>
      <c r="GQ183" s="146">
        <v>0</v>
      </c>
      <c r="GR183" s="146">
        <v>0</v>
      </c>
      <c r="GS183" s="146">
        <v>0</v>
      </c>
      <c r="GT183" s="146">
        <v>0</v>
      </c>
      <c r="GU183" s="146">
        <v>0</v>
      </c>
      <c r="GV183" s="146">
        <v>0</v>
      </c>
      <c r="GW183" s="146">
        <v>0</v>
      </c>
      <c r="GX183" s="146">
        <v>0</v>
      </c>
      <c r="GY183" s="146">
        <v>0</v>
      </c>
      <c r="GZ183" s="146">
        <v>0</v>
      </c>
      <c r="HA183" s="146">
        <v>0</v>
      </c>
      <c r="HB183" s="146">
        <v>0</v>
      </c>
      <c r="HC183" s="146">
        <v>0</v>
      </c>
      <c r="HD183" s="146">
        <v>0</v>
      </c>
      <c r="HE183" s="146">
        <v>0</v>
      </c>
      <c r="HF183" s="146">
        <v>0</v>
      </c>
      <c r="HG183" s="146">
        <v>0</v>
      </c>
      <c r="HH183" s="146">
        <v>0</v>
      </c>
      <c r="HI183" s="146">
        <v>0</v>
      </c>
      <c r="HJ183" s="146">
        <v>0</v>
      </c>
      <c r="HK183" s="146">
        <v>0</v>
      </c>
      <c r="HL183" s="146">
        <v>0</v>
      </c>
      <c r="HM183" s="146">
        <v>0</v>
      </c>
      <c r="HN183" s="146">
        <v>0</v>
      </c>
      <c r="HO183" s="146">
        <v>0</v>
      </c>
      <c r="HP183" s="146">
        <v>0</v>
      </c>
      <c r="HQ183" s="146">
        <v>0</v>
      </c>
      <c r="HR183" s="146">
        <v>0</v>
      </c>
      <c r="HS183" s="146">
        <v>0</v>
      </c>
      <c r="HT183" s="146">
        <v>0</v>
      </c>
      <c r="HU183" s="151"/>
      <c r="HV183" s="146">
        <v>0</v>
      </c>
      <c r="HW183" s="151"/>
      <c r="HX183" s="151"/>
      <c r="HY183" s="151"/>
      <c r="HZ183" s="151"/>
      <c r="IA183" s="151"/>
      <c r="IB183" s="151"/>
      <c r="IC183" s="151"/>
      <c r="ID183" s="151"/>
      <c r="IE183" s="151"/>
      <c r="IF183" s="151"/>
      <c r="IG183" s="151"/>
      <c r="IH183" s="151"/>
      <c r="II183" s="151"/>
      <c r="IJ183" s="151"/>
      <c r="IK183" s="151"/>
      <c r="IL183" s="151"/>
      <c r="IM183" s="151"/>
      <c r="IN183" s="151"/>
      <c r="IO183" s="151"/>
      <c r="IP183" s="151"/>
      <c r="IQ183" s="151"/>
      <c r="IR183" s="151"/>
      <c r="IS183" s="151"/>
      <c r="IT183" s="151"/>
      <c r="IU183" s="151"/>
      <c r="IV183" s="151"/>
      <c r="IW183" s="151"/>
      <c r="IX183" s="151"/>
      <c r="IY183" s="151"/>
      <c r="IZ183" s="151"/>
      <c r="JA183" s="151"/>
      <c r="JB183" s="151"/>
      <c r="JC183" s="151"/>
      <c r="JD183" s="151"/>
      <c r="JE183" s="151"/>
      <c r="JF183" s="151"/>
      <c r="JG183" s="151"/>
      <c r="JH183" s="151"/>
      <c r="JI183" s="151"/>
      <c r="JJ183" s="151"/>
      <c r="JK183" s="151"/>
      <c r="JL183" s="151"/>
      <c r="JM183" s="151"/>
      <c r="JN183" s="151"/>
      <c r="JO183" s="151"/>
      <c r="JP183" s="151"/>
      <c r="JQ183" s="151"/>
      <c r="JR183" s="151"/>
      <c r="JS183" s="151"/>
      <c r="JT183" s="151"/>
      <c r="JU183" s="151"/>
      <c r="JV183" s="151"/>
      <c r="JW183" s="151"/>
      <c r="JX183" s="151"/>
      <c r="JY183" s="151"/>
      <c r="JZ183" s="151"/>
      <c r="KA183" s="151"/>
      <c r="KB183" s="151"/>
      <c r="KC183" s="151"/>
      <c r="KD183" s="151"/>
      <c r="KE183" s="151"/>
      <c r="KF183" s="151"/>
      <c r="KG183" s="151"/>
      <c r="KH183" s="151"/>
      <c r="KI183" s="151"/>
      <c r="KJ183" s="151"/>
      <c r="KK183" s="151"/>
      <c r="KL183" s="151"/>
      <c r="KM183" s="151"/>
      <c r="KN183" s="151"/>
      <c r="KO183" s="151"/>
      <c r="KP183" s="151"/>
      <c r="KQ183" s="151"/>
      <c r="KR183" s="151"/>
      <c r="KS183" s="151"/>
      <c r="KT183" s="151"/>
      <c r="KU183" s="151"/>
      <c r="KV183" s="151"/>
      <c r="KW183" s="151"/>
      <c r="KX183" s="151"/>
      <c r="KY183" s="151"/>
      <c r="KZ183" s="151"/>
      <c r="LA183" s="151"/>
      <c r="LB183" s="151"/>
      <c r="LC183" s="151"/>
      <c r="LD183" s="151"/>
      <c r="LE183" s="151"/>
    </row>
    <row r="184" spans="1:317" x14ac:dyDescent="0.2">
      <c r="A184" s="179" t="s">
        <v>849</v>
      </c>
      <c r="B184" s="180" t="s">
        <v>1083</v>
      </c>
      <c r="C184" s="181"/>
      <c r="D184" s="182">
        <v>0</v>
      </c>
      <c r="E184" s="182">
        <v>0</v>
      </c>
      <c r="F184" s="183" t="s">
        <v>1314</v>
      </c>
      <c r="G184" s="183">
        <v>0</v>
      </c>
      <c r="H184" s="183">
        <v>0</v>
      </c>
      <c r="I184" s="183">
        <v>0</v>
      </c>
      <c r="J184" s="183">
        <v>0</v>
      </c>
      <c r="K184" s="183" t="s">
        <v>1368</v>
      </c>
      <c r="L184" s="183">
        <v>0</v>
      </c>
      <c r="M184" s="183">
        <v>0</v>
      </c>
      <c r="N184" s="183" t="s">
        <v>881</v>
      </c>
      <c r="O184" s="183">
        <v>0</v>
      </c>
      <c r="P184" s="183">
        <v>0</v>
      </c>
      <c r="Q184" s="183"/>
      <c r="R184" s="183"/>
      <c r="S184" s="183"/>
      <c r="T184" s="183"/>
      <c r="U184" s="183"/>
      <c r="V184" s="183">
        <v>0</v>
      </c>
      <c r="W184" s="183">
        <v>0</v>
      </c>
      <c r="X184" s="183">
        <v>0</v>
      </c>
      <c r="Y184" s="184">
        <v>0</v>
      </c>
      <c r="Z184" s="184">
        <v>0.66</v>
      </c>
      <c r="AA184" s="184">
        <v>0</v>
      </c>
      <c r="AB184" s="185" t="s">
        <v>615</v>
      </c>
      <c r="AC184" s="185" t="s">
        <v>615</v>
      </c>
      <c r="AD184" s="186" t="s">
        <v>881</v>
      </c>
      <c r="AE184" s="186" t="s">
        <v>858</v>
      </c>
      <c r="AF184" s="187">
        <v>7</v>
      </c>
      <c r="AG184" s="187">
        <v>3</v>
      </c>
      <c r="AH184" s="187">
        <v>4</v>
      </c>
      <c r="AI184" s="188">
        <v>1</v>
      </c>
      <c r="AJ184" s="188" t="s">
        <v>615</v>
      </c>
      <c r="AK184" s="187" t="s">
        <v>1738</v>
      </c>
      <c r="AL184" s="87" t="s">
        <v>615</v>
      </c>
      <c r="AM184" s="189"/>
      <c r="AN184" s="187" t="s">
        <v>615</v>
      </c>
      <c r="AO184" s="13" t="s">
        <v>615</v>
      </c>
      <c r="AP184" s="187">
        <v>0</v>
      </c>
      <c r="AQ184" s="187">
        <v>0</v>
      </c>
      <c r="AR184" s="190">
        <v>0</v>
      </c>
      <c r="AS184" s="190">
        <v>0</v>
      </c>
      <c r="AT184" s="190">
        <v>0</v>
      </c>
      <c r="AU184" s="187">
        <v>0</v>
      </c>
      <c r="AV184" s="187">
        <v>0</v>
      </c>
      <c r="AW184" s="191"/>
      <c r="AX184" s="192"/>
      <c r="AY184" s="193">
        <v>42666</v>
      </c>
      <c r="AZ184" s="193"/>
      <c r="BA184" s="193"/>
      <c r="BB184" s="194"/>
      <c r="BC184" s="194"/>
      <c r="BD184" s="195"/>
      <c r="BE184" s="195" t="s">
        <v>532</v>
      </c>
      <c r="BF184" s="195"/>
      <c r="BG184" s="195">
        <v>480</v>
      </c>
      <c r="BH184" s="196" t="s">
        <v>547</v>
      </c>
      <c r="BI184" s="197">
        <v>1</v>
      </c>
      <c r="BJ184" s="198"/>
      <c r="BK184" s="199">
        <v>0</v>
      </c>
      <c r="BL184" s="13">
        <v>0</v>
      </c>
      <c r="BM184" s="13">
        <v>0</v>
      </c>
      <c r="BN184" s="13" t="s">
        <v>616</v>
      </c>
      <c r="BO184" s="13" t="s">
        <v>616</v>
      </c>
      <c r="BP184" s="200">
        <v>0</v>
      </c>
      <c r="BQ184" s="201"/>
      <c r="BR184" s="202"/>
      <c r="BS184" s="187">
        <v>1000000000</v>
      </c>
      <c r="BT184" s="203">
        <v>0</v>
      </c>
      <c r="BU184" s="204">
        <v>0</v>
      </c>
      <c r="BV184" s="203">
        <v>0</v>
      </c>
      <c r="BW184" s="205">
        <v>0</v>
      </c>
      <c r="BX184" s="205">
        <v>0</v>
      </c>
      <c r="BY184" s="205">
        <v>0</v>
      </c>
      <c r="BZ184" s="203">
        <v>0</v>
      </c>
      <c r="CA184" s="203">
        <v>0</v>
      </c>
      <c r="CB184" s="203">
        <v>0</v>
      </c>
      <c r="CC184" s="204">
        <v>0</v>
      </c>
      <c r="CD184" s="203">
        <v>0</v>
      </c>
      <c r="CE184" s="203">
        <v>0</v>
      </c>
      <c r="CF184" s="13">
        <v>0</v>
      </c>
      <c r="CG184" s="206">
        <v>0</v>
      </c>
      <c r="CH184" s="207">
        <v>0</v>
      </c>
      <c r="CI184" s="201"/>
      <c r="CJ184" s="208"/>
      <c r="CK184" s="209" t="s">
        <v>615</v>
      </c>
      <c r="CL184" s="210" t="s">
        <v>615</v>
      </c>
      <c r="CM184" s="207">
        <v>0</v>
      </c>
      <c r="CN184" s="207">
        <v>0</v>
      </c>
      <c r="CO184" s="204">
        <v>0</v>
      </c>
      <c r="CP184" s="204">
        <v>0</v>
      </c>
      <c r="CQ184" s="211"/>
      <c r="CR184" s="204">
        <v>1</v>
      </c>
      <c r="CS184" s="212">
        <v>42558</v>
      </c>
      <c r="CT184" s="212">
        <v>42780</v>
      </c>
      <c r="CU184" s="213">
        <v>42780</v>
      </c>
      <c r="CV184" s="214">
        <v>42829</v>
      </c>
      <c r="CW184" s="214" t="s">
        <v>615</v>
      </c>
      <c r="CX184" s="214" t="s">
        <v>615</v>
      </c>
      <c r="CY184" s="204">
        <v>1</v>
      </c>
      <c r="CZ184" s="204">
        <v>0.97959183673469385</v>
      </c>
      <c r="DA184" s="203">
        <v>0</v>
      </c>
      <c r="DB184" s="204">
        <v>0.97959183673469385</v>
      </c>
      <c r="DC184" s="204">
        <v>0</v>
      </c>
      <c r="DD184" s="204">
        <v>0</v>
      </c>
      <c r="DE184" s="204">
        <v>0</v>
      </c>
      <c r="DF184" s="215">
        <v>0</v>
      </c>
      <c r="DG184" s="13" t="s">
        <v>615</v>
      </c>
      <c r="DH184" s="86">
        <v>182</v>
      </c>
      <c r="DI184" s="86"/>
      <c r="DJ184" s="86">
        <v>178</v>
      </c>
      <c r="DK184" s="86" t="s">
        <v>1637</v>
      </c>
      <c r="DL184" s="86" t="e">
        <v>#N/A</v>
      </c>
      <c r="DM184" s="86" t="e">
        <v>#N/A</v>
      </c>
      <c r="DN184" s="86" t="e">
        <v>#N/A</v>
      </c>
      <c r="DO184" s="86">
        <v>340</v>
      </c>
      <c r="DP184" s="86">
        <v>5</v>
      </c>
      <c r="DQ184" s="86">
        <v>49</v>
      </c>
      <c r="DR184" s="152">
        <v>0</v>
      </c>
      <c r="DS184" s="152">
        <v>0</v>
      </c>
      <c r="DT184" s="152">
        <v>0</v>
      </c>
      <c r="DU184" s="152">
        <v>0</v>
      </c>
      <c r="DV184" s="152">
        <v>0</v>
      </c>
      <c r="DW184" s="152">
        <v>0</v>
      </c>
      <c r="DX184" s="152">
        <v>0</v>
      </c>
      <c r="DY184" s="152">
        <v>0</v>
      </c>
      <c r="DZ184" s="152">
        <v>0</v>
      </c>
      <c r="EA184" s="152">
        <v>0</v>
      </c>
      <c r="EB184" s="152">
        <v>0</v>
      </c>
      <c r="EC184" s="152">
        <v>0</v>
      </c>
      <c r="ED184" s="152">
        <v>0</v>
      </c>
      <c r="EE184" s="152">
        <v>0</v>
      </c>
      <c r="EF184" s="152">
        <v>0</v>
      </c>
      <c r="EG184" s="152">
        <v>0</v>
      </c>
      <c r="EH184" s="152">
        <v>0</v>
      </c>
      <c r="EI184" s="152">
        <v>0</v>
      </c>
      <c r="EJ184" s="152">
        <v>0</v>
      </c>
      <c r="EK184" s="152">
        <v>0</v>
      </c>
      <c r="EL184" s="152">
        <v>0</v>
      </c>
      <c r="EM184" s="152">
        <v>0</v>
      </c>
      <c r="EN184" s="152">
        <v>0</v>
      </c>
      <c r="EO184" s="152">
        <v>0</v>
      </c>
      <c r="EP184" s="152">
        <v>0</v>
      </c>
      <c r="EQ184" s="152">
        <v>0</v>
      </c>
      <c r="ER184" s="152">
        <v>0</v>
      </c>
      <c r="ES184" s="152">
        <v>0</v>
      </c>
      <c r="ET184" s="152">
        <v>0</v>
      </c>
      <c r="EU184" s="152">
        <v>0</v>
      </c>
      <c r="EV184" s="152">
        <v>0</v>
      </c>
      <c r="EW184" s="152">
        <v>0</v>
      </c>
      <c r="EX184" s="152">
        <v>0</v>
      </c>
      <c r="EY184" s="152">
        <v>0</v>
      </c>
      <c r="EZ184" s="152">
        <v>0</v>
      </c>
      <c r="FA184" s="152">
        <v>0</v>
      </c>
      <c r="FB184" s="152">
        <v>0</v>
      </c>
      <c r="FC184" s="152">
        <v>0</v>
      </c>
      <c r="FD184" s="152">
        <v>0</v>
      </c>
      <c r="FE184" s="152">
        <v>0</v>
      </c>
      <c r="FF184" s="152">
        <v>0</v>
      </c>
      <c r="FG184" s="152">
        <v>0</v>
      </c>
      <c r="FH184" s="152">
        <v>0</v>
      </c>
      <c r="FI184" s="152">
        <v>0</v>
      </c>
      <c r="FJ184" s="152">
        <v>0</v>
      </c>
      <c r="FK184" s="152">
        <v>0</v>
      </c>
      <c r="FL184" s="152">
        <v>0</v>
      </c>
      <c r="FM184" s="152">
        <v>0</v>
      </c>
      <c r="FN184" s="152">
        <v>0</v>
      </c>
      <c r="FO184" s="152">
        <v>0</v>
      </c>
      <c r="FP184" s="152">
        <v>0</v>
      </c>
      <c r="FQ184" s="152">
        <v>0</v>
      </c>
      <c r="FR184" s="152">
        <v>0</v>
      </c>
      <c r="FS184" s="152">
        <v>0</v>
      </c>
      <c r="FT184" s="152">
        <v>0</v>
      </c>
      <c r="FU184" s="152">
        <v>0</v>
      </c>
      <c r="FV184" s="152">
        <v>0</v>
      </c>
      <c r="FW184" s="152">
        <v>0</v>
      </c>
      <c r="FX184" s="152">
        <v>0</v>
      </c>
      <c r="FY184" s="152">
        <v>0</v>
      </c>
      <c r="FZ184" s="152">
        <v>0</v>
      </c>
      <c r="GA184" s="152">
        <v>0</v>
      </c>
      <c r="GB184" s="152">
        <v>0</v>
      </c>
      <c r="GC184" s="152">
        <v>0</v>
      </c>
      <c r="GD184" s="152">
        <v>0</v>
      </c>
      <c r="GE184" s="152">
        <v>0</v>
      </c>
      <c r="GF184" s="152">
        <v>0</v>
      </c>
      <c r="GG184" s="152">
        <v>0</v>
      </c>
      <c r="GH184" s="152">
        <v>0</v>
      </c>
      <c r="GI184" s="152">
        <v>0</v>
      </c>
      <c r="GJ184" s="152">
        <v>0</v>
      </c>
      <c r="GK184" s="152">
        <v>0</v>
      </c>
      <c r="GL184" s="152">
        <v>0</v>
      </c>
      <c r="GM184" s="152">
        <v>0</v>
      </c>
      <c r="GN184" s="152">
        <v>0</v>
      </c>
      <c r="GO184" s="152">
        <v>0</v>
      </c>
      <c r="GP184" s="152">
        <v>0</v>
      </c>
      <c r="GQ184" s="152">
        <v>0</v>
      </c>
      <c r="GR184" s="152">
        <v>0</v>
      </c>
      <c r="GS184" s="152">
        <v>0</v>
      </c>
      <c r="GT184" s="152">
        <v>0</v>
      </c>
      <c r="GU184" s="152">
        <v>0</v>
      </c>
      <c r="GV184" s="152">
        <v>0</v>
      </c>
      <c r="GW184" s="152">
        <v>0</v>
      </c>
      <c r="GX184" s="152">
        <v>0</v>
      </c>
      <c r="GY184" s="152">
        <v>0</v>
      </c>
      <c r="GZ184" s="152">
        <v>0</v>
      </c>
      <c r="HA184" s="152">
        <v>0</v>
      </c>
      <c r="HB184" s="152">
        <v>0</v>
      </c>
      <c r="HC184" s="152">
        <v>0</v>
      </c>
      <c r="HD184" s="152">
        <v>0</v>
      </c>
      <c r="HE184" s="152">
        <v>0</v>
      </c>
      <c r="HF184" s="152">
        <v>0</v>
      </c>
      <c r="HG184" s="152">
        <v>0</v>
      </c>
      <c r="HH184" s="152">
        <v>0</v>
      </c>
      <c r="HI184" s="152">
        <v>0</v>
      </c>
      <c r="HJ184" s="152">
        <v>0</v>
      </c>
      <c r="HK184" s="152">
        <v>0</v>
      </c>
      <c r="HL184" s="152">
        <v>0</v>
      </c>
      <c r="HM184" s="152">
        <v>0</v>
      </c>
      <c r="HN184" s="152">
        <v>0</v>
      </c>
      <c r="HO184" s="152">
        <v>0</v>
      </c>
      <c r="HP184" s="152">
        <v>0</v>
      </c>
      <c r="HQ184" s="152">
        <v>0</v>
      </c>
      <c r="HR184" s="152">
        <v>0</v>
      </c>
      <c r="HS184" s="152">
        <v>0</v>
      </c>
      <c r="HT184" s="152">
        <v>0</v>
      </c>
      <c r="HU184" s="216"/>
      <c r="HV184" s="152">
        <v>0</v>
      </c>
      <c r="HW184" s="216"/>
      <c r="HX184" s="216"/>
      <c r="HY184" s="216"/>
      <c r="HZ184" s="216"/>
      <c r="IA184" s="216"/>
      <c r="IB184" s="216"/>
      <c r="IC184" s="216"/>
      <c r="ID184" s="216"/>
      <c r="IE184" s="216"/>
      <c r="IF184" s="216"/>
      <c r="IG184" s="216"/>
      <c r="IH184" s="216"/>
      <c r="II184" s="216"/>
      <c r="IJ184" s="216"/>
      <c r="IK184" s="216"/>
      <c r="IL184" s="216"/>
      <c r="IM184" s="216"/>
      <c r="IN184" s="216"/>
      <c r="IO184" s="216"/>
      <c r="IP184" s="216"/>
      <c r="IQ184" s="216"/>
      <c r="IR184" s="216"/>
      <c r="IS184" s="216"/>
      <c r="IT184" s="216"/>
      <c r="IU184" s="216"/>
      <c r="IV184" s="216"/>
      <c r="IW184" s="216"/>
      <c r="IX184" s="216"/>
      <c r="IY184" s="216"/>
      <c r="IZ184" s="216"/>
      <c r="JA184" s="216"/>
      <c r="JB184" s="216"/>
      <c r="JC184" s="216"/>
      <c r="JD184" s="216"/>
      <c r="JE184" s="216"/>
      <c r="JF184" s="216"/>
      <c r="JG184" s="216"/>
      <c r="JH184" s="216"/>
      <c r="JI184" s="216"/>
      <c r="JJ184" s="216"/>
      <c r="JK184" s="216"/>
      <c r="JL184" s="216"/>
      <c r="JM184" s="216"/>
      <c r="JN184" s="216"/>
      <c r="JO184" s="216"/>
      <c r="JP184" s="216"/>
      <c r="JQ184" s="216"/>
      <c r="JR184" s="216"/>
      <c r="JS184" s="216"/>
      <c r="JT184" s="216"/>
      <c r="JU184" s="216"/>
      <c r="JV184" s="216"/>
      <c r="JW184" s="216"/>
      <c r="JX184" s="216"/>
      <c r="JY184" s="216"/>
      <c r="JZ184" s="216"/>
      <c r="KA184" s="216"/>
      <c r="KB184" s="216"/>
      <c r="KC184" s="216"/>
      <c r="KD184" s="216"/>
      <c r="KE184" s="216"/>
      <c r="KF184" s="216"/>
      <c r="KG184" s="216"/>
      <c r="KH184" s="216"/>
      <c r="KI184" s="216"/>
      <c r="KJ184" s="216"/>
      <c r="KK184" s="216"/>
      <c r="KL184" s="216"/>
      <c r="KM184" s="216"/>
      <c r="KN184" s="216"/>
      <c r="KO184" s="216"/>
      <c r="KP184" s="216"/>
      <c r="KQ184" s="216"/>
      <c r="KR184" s="216"/>
      <c r="KS184" s="216"/>
      <c r="KT184" s="216"/>
      <c r="KU184" s="216"/>
      <c r="KV184" s="216"/>
      <c r="KW184" s="216"/>
      <c r="KX184" s="216"/>
      <c r="KY184" s="216"/>
      <c r="KZ184" s="216"/>
      <c r="LA184" s="216"/>
      <c r="LB184" s="216"/>
      <c r="LC184" s="216"/>
      <c r="LD184" s="216"/>
      <c r="LE184" s="216"/>
    </row>
    <row r="185" spans="1:317" x14ac:dyDescent="0.2">
      <c r="A185" s="179" t="s">
        <v>849</v>
      </c>
      <c r="B185" s="180" t="s">
        <v>1084</v>
      </c>
      <c r="C185" s="181"/>
      <c r="D185" s="182">
        <v>0</v>
      </c>
      <c r="E185" s="182">
        <v>0</v>
      </c>
      <c r="F185" s="183" t="s">
        <v>1314</v>
      </c>
      <c r="G185" s="183">
        <v>0</v>
      </c>
      <c r="H185" s="183">
        <v>0</v>
      </c>
      <c r="I185" s="183">
        <v>0</v>
      </c>
      <c r="J185" s="183">
        <v>0</v>
      </c>
      <c r="K185" s="183" t="s">
        <v>1368</v>
      </c>
      <c r="L185" s="183">
        <v>0</v>
      </c>
      <c r="M185" s="183">
        <v>0</v>
      </c>
      <c r="N185" s="183" t="s">
        <v>881</v>
      </c>
      <c r="O185" s="183">
        <v>0</v>
      </c>
      <c r="P185" s="183">
        <v>0</v>
      </c>
      <c r="Q185" s="183"/>
      <c r="R185" s="183"/>
      <c r="S185" s="183"/>
      <c r="T185" s="183"/>
      <c r="U185" s="183"/>
      <c r="V185" s="183">
        <v>0</v>
      </c>
      <c r="W185" s="183">
        <v>0</v>
      </c>
      <c r="X185" s="183">
        <v>0</v>
      </c>
      <c r="Y185" s="184">
        <v>0</v>
      </c>
      <c r="Z185" s="184">
        <v>0</v>
      </c>
      <c r="AA185" s="184">
        <v>0</v>
      </c>
      <c r="AB185" s="185" t="s">
        <v>615</v>
      </c>
      <c r="AC185" s="185" t="s">
        <v>615</v>
      </c>
      <c r="AD185" s="186" t="s">
        <v>881</v>
      </c>
      <c r="AE185" s="186" t="s">
        <v>858</v>
      </c>
      <c r="AF185" s="187">
        <v>7</v>
      </c>
      <c r="AG185" s="187">
        <v>3</v>
      </c>
      <c r="AH185" s="187">
        <v>4</v>
      </c>
      <c r="AI185" s="188">
        <v>1</v>
      </c>
      <c r="AJ185" s="188" t="s">
        <v>615</v>
      </c>
      <c r="AK185" s="187" t="s">
        <v>1738</v>
      </c>
      <c r="AL185" s="87" t="s">
        <v>615</v>
      </c>
      <c r="AM185" s="189"/>
      <c r="AN185" s="187" t="s">
        <v>615</v>
      </c>
      <c r="AO185" s="13" t="s">
        <v>615</v>
      </c>
      <c r="AP185" s="187">
        <v>0</v>
      </c>
      <c r="AQ185" s="187">
        <v>0</v>
      </c>
      <c r="AR185" s="190">
        <v>0</v>
      </c>
      <c r="AS185" s="190">
        <v>0</v>
      </c>
      <c r="AT185" s="190">
        <v>0</v>
      </c>
      <c r="AU185" s="187">
        <v>0</v>
      </c>
      <c r="AV185" s="187">
        <v>0</v>
      </c>
      <c r="AW185" s="191"/>
      <c r="AX185" s="192"/>
      <c r="AY185" s="193">
        <v>42666</v>
      </c>
      <c r="AZ185" s="193"/>
      <c r="BA185" s="193"/>
      <c r="BB185" s="194"/>
      <c r="BC185" s="194"/>
      <c r="BD185" s="195"/>
      <c r="BE185" s="195" t="s">
        <v>532</v>
      </c>
      <c r="BF185" s="195"/>
      <c r="BG185" s="195">
        <v>240</v>
      </c>
      <c r="BH185" s="196" t="s">
        <v>547</v>
      </c>
      <c r="BI185" s="197">
        <v>1</v>
      </c>
      <c r="BJ185" s="198"/>
      <c r="BK185" s="199">
        <v>0</v>
      </c>
      <c r="BL185" s="13">
        <v>0</v>
      </c>
      <c r="BM185" s="13">
        <v>0</v>
      </c>
      <c r="BN185" s="13" t="s">
        <v>616</v>
      </c>
      <c r="BO185" s="13" t="s">
        <v>616</v>
      </c>
      <c r="BP185" s="200">
        <v>0</v>
      </c>
      <c r="BQ185" s="201"/>
      <c r="BR185" s="202"/>
      <c r="BS185" s="187">
        <v>1000000000</v>
      </c>
      <c r="BT185" s="203">
        <v>0</v>
      </c>
      <c r="BU185" s="204">
        <v>0</v>
      </c>
      <c r="BV185" s="203">
        <v>0</v>
      </c>
      <c r="BW185" s="205">
        <v>0</v>
      </c>
      <c r="BX185" s="205">
        <v>0</v>
      </c>
      <c r="BY185" s="205">
        <v>0</v>
      </c>
      <c r="BZ185" s="203">
        <v>0</v>
      </c>
      <c r="CA185" s="203">
        <v>0</v>
      </c>
      <c r="CB185" s="203">
        <v>0</v>
      </c>
      <c r="CC185" s="204">
        <v>0</v>
      </c>
      <c r="CD185" s="203">
        <v>0</v>
      </c>
      <c r="CE185" s="203">
        <v>0</v>
      </c>
      <c r="CF185" s="13">
        <v>0</v>
      </c>
      <c r="CG185" s="206">
        <v>0</v>
      </c>
      <c r="CH185" s="207">
        <v>0</v>
      </c>
      <c r="CI185" s="201"/>
      <c r="CJ185" s="208"/>
      <c r="CK185" s="209" t="s">
        <v>615</v>
      </c>
      <c r="CL185" s="210" t="s">
        <v>615</v>
      </c>
      <c r="CM185" s="207">
        <v>0</v>
      </c>
      <c r="CN185" s="207">
        <v>0</v>
      </c>
      <c r="CO185" s="204">
        <v>0</v>
      </c>
      <c r="CP185" s="204">
        <v>0</v>
      </c>
      <c r="CQ185" s="211"/>
      <c r="CR185" s="204">
        <v>1</v>
      </c>
      <c r="CS185" s="212">
        <v>42558</v>
      </c>
      <c r="CT185" s="212">
        <v>42780</v>
      </c>
      <c r="CU185" s="213">
        <v>42780</v>
      </c>
      <c r="CV185" s="214">
        <v>42829</v>
      </c>
      <c r="CW185" s="214" t="s">
        <v>615</v>
      </c>
      <c r="CX185" s="214" t="s">
        <v>615</v>
      </c>
      <c r="CY185" s="204">
        <v>1</v>
      </c>
      <c r="CZ185" s="204">
        <v>0.97959183673469385</v>
      </c>
      <c r="DA185" s="203">
        <v>0</v>
      </c>
      <c r="DB185" s="204">
        <v>0.97959183673469385</v>
      </c>
      <c r="DC185" s="204">
        <v>0</v>
      </c>
      <c r="DD185" s="204">
        <v>0</v>
      </c>
      <c r="DE185" s="204">
        <v>0</v>
      </c>
      <c r="DF185" s="215">
        <v>0</v>
      </c>
      <c r="DG185" s="13" t="s">
        <v>615</v>
      </c>
      <c r="DH185" s="86">
        <v>183</v>
      </c>
      <c r="DI185" s="86"/>
      <c r="DJ185" s="86">
        <v>179</v>
      </c>
      <c r="DK185" s="86" t="s">
        <v>1638</v>
      </c>
      <c r="DL185" s="86" t="e">
        <v>#N/A</v>
      </c>
      <c r="DM185" s="86" t="e">
        <v>#N/A</v>
      </c>
      <c r="DN185" s="86" t="e">
        <v>#N/A</v>
      </c>
      <c r="DO185" s="86">
        <v>341</v>
      </c>
      <c r="DP185" s="86">
        <v>5</v>
      </c>
      <c r="DQ185" s="86">
        <v>49</v>
      </c>
      <c r="DR185" s="146">
        <v>0</v>
      </c>
      <c r="DS185" s="146">
        <v>0</v>
      </c>
      <c r="DT185" s="146">
        <v>0</v>
      </c>
      <c r="DU185" s="146">
        <v>0</v>
      </c>
      <c r="DV185" s="146">
        <v>0</v>
      </c>
      <c r="DW185" s="146">
        <v>0</v>
      </c>
      <c r="DX185" s="146">
        <v>0</v>
      </c>
      <c r="DY185" s="146">
        <v>0</v>
      </c>
      <c r="DZ185" s="146">
        <v>0</v>
      </c>
      <c r="EA185" s="146">
        <v>0</v>
      </c>
      <c r="EB185" s="146">
        <v>0</v>
      </c>
      <c r="EC185" s="146">
        <v>0</v>
      </c>
      <c r="ED185" s="146">
        <v>0</v>
      </c>
      <c r="EE185" s="146">
        <v>0</v>
      </c>
      <c r="EF185" s="146">
        <v>0</v>
      </c>
      <c r="EG185" s="146">
        <v>0</v>
      </c>
      <c r="EH185" s="146">
        <v>0</v>
      </c>
      <c r="EI185" s="146">
        <v>0</v>
      </c>
      <c r="EJ185" s="146">
        <v>0</v>
      </c>
      <c r="EK185" s="146">
        <v>0</v>
      </c>
      <c r="EL185" s="146">
        <v>0</v>
      </c>
      <c r="EM185" s="146">
        <v>0</v>
      </c>
      <c r="EN185" s="146">
        <v>0</v>
      </c>
      <c r="EO185" s="146">
        <v>0</v>
      </c>
      <c r="EP185" s="146">
        <v>0</v>
      </c>
      <c r="EQ185" s="146">
        <v>0</v>
      </c>
      <c r="ER185" s="146">
        <v>0</v>
      </c>
      <c r="ES185" s="146">
        <v>0</v>
      </c>
      <c r="ET185" s="146">
        <v>0</v>
      </c>
      <c r="EU185" s="146">
        <v>0</v>
      </c>
      <c r="EV185" s="146">
        <v>0</v>
      </c>
      <c r="EW185" s="146">
        <v>0</v>
      </c>
      <c r="EX185" s="146">
        <v>0</v>
      </c>
      <c r="EY185" s="146">
        <v>0</v>
      </c>
      <c r="EZ185" s="146">
        <v>0</v>
      </c>
      <c r="FA185" s="146">
        <v>0</v>
      </c>
      <c r="FB185" s="146">
        <v>0</v>
      </c>
      <c r="FC185" s="146">
        <v>0</v>
      </c>
      <c r="FD185" s="146">
        <v>0</v>
      </c>
      <c r="FE185" s="146">
        <v>0</v>
      </c>
      <c r="FF185" s="146">
        <v>0</v>
      </c>
      <c r="FG185" s="146">
        <v>0</v>
      </c>
      <c r="FH185" s="146">
        <v>0</v>
      </c>
      <c r="FI185" s="146">
        <v>0</v>
      </c>
      <c r="FJ185" s="146">
        <v>0</v>
      </c>
      <c r="FK185" s="146">
        <v>0</v>
      </c>
      <c r="FL185" s="146">
        <v>0</v>
      </c>
      <c r="FM185" s="146">
        <v>0</v>
      </c>
      <c r="FN185" s="146">
        <v>0</v>
      </c>
      <c r="FO185" s="146">
        <v>0</v>
      </c>
      <c r="FP185" s="146">
        <v>0</v>
      </c>
      <c r="FQ185" s="146">
        <v>0</v>
      </c>
      <c r="FR185" s="146">
        <v>0</v>
      </c>
      <c r="FS185" s="146">
        <v>0</v>
      </c>
      <c r="FT185" s="146">
        <v>0</v>
      </c>
      <c r="FU185" s="146">
        <v>0</v>
      </c>
      <c r="FV185" s="146">
        <v>0</v>
      </c>
      <c r="FW185" s="146">
        <v>0</v>
      </c>
      <c r="FX185" s="146">
        <v>0</v>
      </c>
      <c r="FY185" s="146">
        <v>0</v>
      </c>
      <c r="FZ185" s="146">
        <v>0</v>
      </c>
      <c r="GA185" s="146">
        <v>0</v>
      </c>
      <c r="GB185" s="146">
        <v>0</v>
      </c>
      <c r="GC185" s="146">
        <v>0</v>
      </c>
      <c r="GD185" s="146">
        <v>0</v>
      </c>
      <c r="GE185" s="146">
        <v>0</v>
      </c>
      <c r="GF185" s="146">
        <v>0</v>
      </c>
      <c r="GG185" s="146">
        <v>0</v>
      </c>
      <c r="GH185" s="146">
        <v>0</v>
      </c>
      <c r="GI185" s="146">
        <v>0</v>
      </c>
      <c r="GJ185" s="146">
        <v>0</v>
      </c>
      <c r="GK185" s="146">
        <v>0</v>
      </c>
      <c r="GL185" s="146">
        <v>0</v>
      </c>
      <c r="GM185" s="146">
        <v>0</v>
      </c>
      <c r="GN185" s="146">
        <v>0</v>
      </c>
      <c r="GO185" s="146">
        <v>0</v>
      </c>
      <c r="GP185" s="146">
        <v>0</v>
      </c>
      <c r="GQ185" s="146">
        <v>0</v>
      </c>
      <c r="GR185" s="146">
        <v>0</v>
      </c>
      <c r="GS185" s="146">
        <v>0</v>
      </c>
      <c r="GT185" s="146">
        <v>0</v>
      </c>
      <c r="GU185" s="146">
        <v>0</v>
      </c>
      <c r="GV185" s="146">
        <v>0</v>
      </c>
      <c r="GW185" s="146">
        <v>0</v>
      </c>
      <c r="GX185" s="146">
        <v>0</v>
      </c>
      <c r="GY185" s="146">
        <v>0</v>
      </c>
      <c r="GZ185" s="146">
        <v>0</v>
      </c>
      <c r="HA185" s="146">
        <v>0</v>
      </c>
      <c r="HB185" s="146">
        <v>0</v>
      </c>
      <c r="HC185" s="146">
        <v>0</v>
      </c>
      <c r="HD185" s="146">
        <v>0</v>
      </c>
      <c r="HE185" s="146">
        <v>0</v>
      </c>
      <c r="HF185" s="146">
        <v>0</v>
      </c>
      <c r="HG185" s="146">
        <v>0</v>
      </c>
      <c r="HH185" s="146">
        <v>0</v>
      </c>
      <c r="HI185" s="146">
        <v>0</v>
      </c>
      <c r="HJ185" s="146">
        <v>0</v>
      </c>
      <c r="HK185" s="146">
        <v>0</v>
      </c>
      <c r="HL185" s="146">
        <v>0</v>
      </c>
      <c r="HM185" s="146">
        <v>0</v>
      </c>
      <c r="HN185" s="146">
        <v>0</v>
      </c>
      <c r="HO185" s="146">
        <v>0</v>
      </c>
      <c r="HP185" s="146">
        <v>0</v>
      </c>
      <c r="HQ185" s="146">
        <v>0</v>
      </c>
      <c r="HR185" s="146">
        <v>0</v>
      </c>
      <c r="HS185" s="146">
        <v>0</v>
      </c>
      <c r="HT185" s="146">
        <v>0</v>
      </c>
      <c r="HU185" s="151"/>
      <c r="HV185" s="146">
        <v>0</v>
      </c>
      <c r="HW185" s="151"/>
      <c r="HX185" s="151"/>
      <c r="HY185" s="151"/>
      <c r="HZ185" s="151"/>
      <c r="IA185" s="151"/>
      <c r="IB185" s="151"/>
      <c r="IC185" s="151"/>
      <c r="ID185" s="151"/>
      <c r="IE185" s="151"/>
      <c r="IF185" s="151"/>
      <c r="IG185" s="151"/>
      <c r="IH185" s="151"/>
      <c r="II185" s="151"/>
      <c r="IJ185" s="151"/>
      <c r="IK185" s="151"/>
      <c r="IL185" s="151"/>
      <c r="IM185" s="151"/>
      <c r="IN185" s="151"/>
      <c r="IO185" s="151"/>
      <c r="IP185" s="151"/>
      <c r="IQ185" s="151"/>
      <c r="IR185" s="151"/>
      <c r="IS185" s="151"/>
      <c r="IT185" s="151"/>
      <c r="IU185" s="151"/>
      <c r="IV185" s="151"/>
      <c r="IW185" s="151"/>
      <c r="IX185" s="151"/>
      <c r="IY185" s="151"/>
      <c r="IZ185" s="151"/>
      <c r="JA185" s="151"/>
      <c r="JB185" s="151"/>
      <c r="JC185" s="151"/>
      <c r="JD185" s="151"/>
      <c r="JE185" s="151"/>
      <c r="JF185" s="151"/>
      <c r="JG185" s="151"/>
      <c r="JH185" s="151"/>
      <c r="JI185" s="151"/>
      <c r="JJ185" s="151"/>
      <c r="JK185" s="151"/>
      <c r="JL185" s="151"/>
      <c r="JM185" s="151"/>
      <c r="JN185" s="151"/>
      <c r="JO185" s="151"/>
      <c r="JP185" s="151"/>
      <c r="JQ185" s="151"/>
      <c r="JR185" s="151"/>
      <c r="JS185" s="151"/>
      <c r="JT185" s="151"/>
      <c r="JU185" s="151"/>
      <c r="JV185" s="151"/>
      <c r="JW185" s="151"/>
      <c r="JX185" s="151"/>
      <c r="JY185" s="151"/>
      <c r="JZ185" s="151"/>
      <c r="KA185" s="151"/>
      <c r="KB185" s="151"/>
      <c r="KC185" s="151"/>
      <c r="KD185" s="151"/>
      <c r="KE185" s="151"/>
      <c r="KF185" s="151"/>
      <c r="KG185" s="151"/>
      <c r="KH185" s="151"/>
      <c r="KI185" s="151"/>
      <c r="KJ185" s="151"/>
      <c r="KK185" s="151"/>
      <c r="KL185" s="151"/>
      <c r="KM185" s="151"/>
      <c r="KN185" s="151"/>
      <c r="KO185" s="151"/>
      <c r="KP185" s="151"/>
      <c r="KQ185" s="151"/>
      <c r="KR185" s="151"/>
      <c r="KS185" s="151"/>
      <c r="KT185" s="151"/>
      <c r="KU185" s="151"/>
      <c r="KV185" s="151"/>
      <c r="KW185" s="151"/>
      <c r="KX185" s="151"/>
      <c r="KY185" s="151"/>
      <c r="KZ185" s="151"/>
      <c r="LA185" s="151"/>
      <c r="LB185" s="151"/>
      <c r="LC185" s="151"/>
      <c r="LD185" s="151"/>
      <c r="LE185" s="151"/>
    </row>
    <row r="186" spans="1:317" x14ac:dyDescent="0.2">
      <c r="A186" s="179" t="s">
        <v>849</v>
      </c>
      <c r="B186" s="180" t="s">
        <v>1085</v>
      </c>
      <c r="C186" s="181"/>
      <c r="D186" s="182">
        <v>0</v>
      </c>
      <c r="E186" s="182">
        <v>0</v>
      </c>
      <c r="F186" s="183" t="s">
        <v>1314</v>
      </c>
      <c r="G186" s="183">
        <v>0</v>
      </c>
      <c r="H186" s="183">
        <v>0</v>
      </c>
      <c r="I186" s="183">
        <v>0</v>
      </c>
      <c r="J186" s="183">
        <v>0</v>
      </c>
      <c r="K186" s="183" t="s">
        <v>1368</v>
      </c>
      <c r="L186" s="183">
        <v>0</v>
      </c>
      <c r="M186" s="183">
        <v>0</v>
      </c>
      <c r="N186" s="183" t="s">
        <v>881</v>
      </c>
      <c r="O186" s="183">
        <v>0</v>
      </c>
      <c r="P186" s="183">
        <v>0</v>
      </c>
      <c r="Q186" s="183"/>
      <c r="R186" s="183"/>
      <c r="S186" s="183"/>
      <c r="T186" s="183"/>
      <c r="U186" s="183"/>
      <c r="V186" s="183">
        <v>0</v>
      </c>
      <c r="W186" s="183">
        <v>0</v>
      </c>
      <c r="X186" s="183">
        <v>0</v>
      </c>
      <c r="Y186" s="184">
        <v>0</v>
      </c>
      <c r="Z186" s="184">
        <v>0</v>
      </c>
      <c r="AA186" s="184">
        <v>0</v>
      </c>
      <c r="AB186" s="185" t="s">
        <v>615</v>
      </c>
      <c r="AC186" s="185" t="s">
        <v>615</v>
      </c>
      <c r="AD186" s="186" t="s">
        <v>881</v>
      </c>
      <c r="AE186" s="186" t="s">
        <v>858</v>
      </c>
      <c r="AF186" s="187">
        <v>7</v>
      </c>
      <c r="AG186" s="187">
        <v>3</v>
      </c>
      <c r="AH186" s="187">
        <v>4</v>
      </c>
      <c r="AI186" s="188">
        <v>1</v>
      </c>
      <c r="AJ186" s="188" t="s">
        <v>615</v>
      </c>
      <c r="AK186" s="187" t="s">
        <v>1738</v>
      </c>
      <c r="AL186" s="87" t="s">
        <v>615</v>
      </c>
      <c r="AM186" s="189"/>
      <c r="AN186" s="187" t="s">
        <v>615</v>
      </c>
      <c r="AO186" s="13" t="s">
        <v>615</v>
      </c>
      <c r="AP186" s="187">
        <v>0</v>
      </c>
      <c r="AQ186" s="187">
        <v>0</v>
      </c>
      <c r="AR186" s="190">
        <v>0</v>
      </c>
      <c r="AS186" s="190">
        <v>0</v>
      </c>
      <c r="AT186" s="190">
        <v>0</v>
      </c>
      <c r="AU186" s="187">
        <v>0</v>
      </c>
      <c r="AV186" s="187">
        <v>0</v>
      </c>
      <c r="AW186" s="191"/>
      <c r="AX186" s="192"/>
      <c r="AY186" s="193">
        <v>42666</v>
      </c>
      <c r="AZ186" s="193"/>
      <c r="BA186" s="193"/>
      <c r="BB186" s="194"/>
      <c r="BC186" s="194"/>
      <c r="BD186" s="195"/>
      <c r="BE186" s="195" t="s">
        <v>532</v>
      </c>
      <c r="BF186" s="195"/>
      <c r="BG186" s="195">
        <v>96</v>
      </c>
      <c r="BH186" s="196" t="s">
        <v>547</v>
      </c>
      <c r="BI186" s="197">
        <v>1</v>
      </c>
      <c r="BJ186" s="198"/>
      <c r="BK186" s="199">
        <v>0</v>
      </c>
      <c r="BL186" s="13">
        <v>0</v>
      </c>
      <c r="BM186" s="13">
        <v>0</v>
      </c>
      <c r="BN186" s="13" t="s">
        <v>616</v>
      </c>
      <c r="BO186" s="13" t="s">
        <v>616</v>
      </c>
      <c r="BP186" s="200">
        <v>0</v>
      </c>
      <c r="BQ186" s="201"/>
      <c r="BR186" s="202"/>
      <c r="BS186" s="187">
        <v>1000000000</v>
      </c>
      <c r="BT186" s="203">
        <v>0</v>
      </c>
      <c r="BU186" s="204">
        <v>0</v>
      </c>
      <c r="BV186" s="203">
        <v>0</v>
      </c>
      <c r="BW186" s="205">
        <v>0</v>
      </c>
      <c r="BX186" s="205">
        <v>0</v>
      </c>
      <c r="BY186" s="205">
        <v>0</v>
      </c>
      <c r="BZ186" s="203">
        <v>0</v>
      </c>
      <c r="CA186" s="203">
        <v>0</v>
      </c>
      <c r="CB186" s="203">
        <v>0</v>
      </c>
      <c r="CC186" s="204">
        <v>0</v>
      </c>
      <c r="CD186" s="203">
        <v>0</v>
      </c>
      <c r="CE186" s="203">
        <v>0</v>
      </c>
      <c r="CF186" s="13">
        <v>0</v>
      </c>
      <c r="CG186" s="206">
        <v>0</v>
      </c>
      <c r="CH186" s="207">
        <v>0</v>
      </c>
      <c r="CI186" s="201"/>
      <c r="CJ186" s="208"/>
      <c r="CK186" s="209" t="s">
        <v>615</v>
      </c>
      <c r="CL186" s="210" t="s">
        <v>615</v>
      </c>
      <c r="CM186" s="207">
        <v>0</v>
      </c>
      <c r="CN186" s="207">
        <v>0</v>
      </c>
      <c r="CO186" s="204">
        <v>0</v>
      </c>
      <c r="CP186" s="204">
        <v>0</v>
      </c>
      <c r="CQ186" s="211"/>
      <c r="CR186" s="204">
        <v>1</v>
      </c>
      <c r="CS186" s="212">
        <v>42558</v>
      </c>
      <c r="CT186" s="212">
        <v>42780</v>
      </c>
      <c r="CU186" s="213">
        <v>42780</v>
      </c>
      <c r="CV186" s="214">
        <v>42829</v>
      </c>
      <c r="CW186" s="214" t="s">
        <v>615</v>
      </c>
      <c r="CX186" s="214" t="s">
        <v>615</v>
      </c>
      <c r="CY186" s="204">
        <v>1</v>
      </c>
      <c r="CZ186" s="204">
        <v>0.97959183673469385</v>
      </c>
      <c r="DA186" s="203">
        <v>0</v>
      </c>
      <c r="DB186" s="204">
        <v>0.97959183673469385</v>
      </c>
      <c r="DC186" s="204">
        <v>0</v>
      </c>
      <c r="DD186" s="204">
        <v>0</v>
      </c>
      <c r="DE186" s="204">
        <v>0</v>
      </c>
      <c r="DF186" s="215">
        <v>0</v>
      </c>
      <c r="DG186" s="13" t="s">
        <v>615</v>
      </c>
      <c r="DH186" s="86">
        <v>184</v>
      </c>
      <c r="DI186" s="86"/>
      <c r="DJ186" s="86">
        <v>180</v>
      </c>
      <c r="DK186" s="86" t="s">
        <v>1639</v>
      </c>
      <c r="DL186" s="86" t="e">
        <v>#N/A</v>
      </c>
      <c r="DM186" s="86" t="e">
        <v>#N/A</v>
      </c>
      <c r="DN186" s="86" t="e">
        <v>#N/A</v>
      </c>
      <c r="DO186" s="86">
        <v>342</v>
      </c>
      <c r="DP186" s="86">
        <v>5</v>
      </c>
      <c r="DQ186" s="86">
        <v>49</v>
      </c>
      <c r="DR186" s="152">
        <v>0</v>
      </c>
      <c r="DS186" s="152">
        <v>0</v>
      </c>
      <c r="DT186" s="152">
        <v>0</v>
      </c>
      <c r="DU186" s="152">
        <v>0</v>
      </c>
      <c r="DV186" s="152">
        <v>0</v>
      </c>
      <c r="DW186" s="152">
        <v>0</v>
      </c>
      <c r="DX186" s="152">
        <v>0</v>
      </c>
      <c r="DY186" s="152">
        <v>0</v>
      </c>
      <c r="DZ186" s="152">
        <v>0</v>
      </c>
      <c r="EA186" s="152">
        <v>0</v>
      </c>
      <c r="EB186" s="152">
        <v>0</v>
      </c>
      <c r="EC186" s="152">
        <v>0</v>
      </c>
      <c r="ED186" s="152">
        <v>0</v>
      </c>
      <c r="EE186" s="152">
        <v>0</v>
      </c>
      <c r="EF186" s="152">
        <v>0</v>
      </c>
      <c r="EG186" s="152">
        <v>0</v>
      </c>
      <c r="EH186" s="152">
        <v>0</v>
      </c>
      <c r="EI186" s="152">
        <v>0</v>
      </c>
      <c r="EJ186" s="152">
        <v>0</v>
      </c>
      <c r="EK186" s="152">
        <v>0</v>
      </c>
      <c r="EL186" s="152">
        <v>0</v>
      </c>
      <c r="EM186" s="152">
        <v>0</v>
      </c>
      <c r="EN186" s="152">
        <v>0</v>
      </c>
      <c r="EO186" s="152">
        <v>0</v>
      </c>
      <c r="EP186" s="152">
        <v>0</v>
      </c>
      <c r="EQ186" s="152">
        <v>0</v>
      </c>
      <c r="ER186" s="152">
        <v>0</v>
      </c>
      <c r="ES186" s="152">
        <v>0</v>
      </c>
      <c r="ET186" s="152">
        <v>0</v>
      </c>
      <c r="EU186" s="152">
        <v>0</v>
      </c>
      <c r="EV186" s="152">
        <v>0</v>
      </c>
      <c r="EW186" s="152">
        <v>0</v>
      </c>
      <c r="EX186" s="152">
        <v>0</v>
      </c>
      <c r="EY186" s="152">
        <v>0</v>
      </c>
      <c r="EZ186" s="152">
        <v>0</v>
      </c>
      <c r="FA186" s="152">
        <v>0</v>
      </c>
      <c r="FB186" s="152">
        <v>0</v>
      </c>
      <c r="FC186" s="152">
        <v>0</v>
      </c>
      <c r="FD186" s="152">
        <v>0</v>
      </c>
      <c r="FE186" s="152">
        <v>0</v>
      </c>
      <c r="FF186" s="152">
        <v>0</v>
      </c>
      <c r="FG186" s="152">
        <v>0</v>
      </c>
      <c r="FH186" s="152">
        <v>0</v>
      </c>
      <c r="FI186" s="152">
        <v>0</v>
      </c>
      <c r="FJ186" s="152">
        <v>0</v>
      </c>
      <c r="FK186" s="152">
        <v>0</v>
      </c>
      <c r="FL186" s="152">
        <v>0</v>
      </c>
      <c r="FM186" s="152">
        <v>0</v>
      </c>
      <c r="FN186" s="152">
        <v>0</v>
      </c>
      <c r="FO186" s="152">
        <v>0</v>
      </c>
      <c r="FP186" s="152">
        <v>0</v>
      </c>
      <c r="FQ186" s="152">
        <v>0</v>
      </c>
      <c r="FR186" s="152">
        <v>0</v>
      </c>
      <c r="FS186" s="152">
        <v>0</v>
      </c>
      <c r="FT186" s="152">
        <v>0</v>
      </c>
      <c r="FU186" s="152">
        <v>0</v>
      </c>
      <c r="FV186" s="152">
        <v>0</v>
      </c>
      <c r="FW186" s="152">
        <v>0</v>
      </c>
      <c r="FX186" s="152">
        <v>0</v>
      </c>
      <c r="FY186" s="152">
        <v>0</v>
      </c>
      <c r="FZ186" s="152">
        <v>0</v>
      </c>
      <c r="GA186" s="152">
        <v>0</v>
      </c>
      <c r="GB186" s="152">
        <v>0</v>
      </c>
      <c r="GC186" s="152">
        <v>0</v>
      </c>
      <c r="GD186" s="152">
        <v>0</v>
      </c>
      <c r="GE186" s="152">
        <v>0</v>
      </c>
      <c r="GF186" s="152">
        <v>0</v>
      </c>
      <c r="GG186" s="152">
        <v>0</v>
      </c>
      <c r="GH186" s="152">
        <v>0</v>
      </c>
      <c r="GI186" s="152">
        <v>0</v>
      </c>
      <c r="GJ186" s="152">
        <v>0</v>
      </c>
      <c r="GK186" s="152">
        <v>0</v>
      </c>
      <c r="GL186" s="152">
        <v>0</v>
      </c>
      <c r="GM186" s="152">
        <v>0</v>
      </c>
      <c r="GN186" s="152">
        <v>0</v>
      </c>
      <c r="GO186" s="152">
        <v>0</v>
      </c>
      <c r="GP186" s="152">
        <v>0</v>
      </c>
      <c r="GQ186" s="152">
        <v>0</v>
      </c>
      <c r="GR186" s="152">
        <v>0</v>
      </c>
      <c r="GS186" s="152">
        <v>0</v>
      </c>
      <c r="GT186" s="152">
        <v>0</v>
      </c>
      <c r="GU186" s="152">
        <v>0</v>
      </c>
      <c r="GV186" s="152">
        <v>0</v>
      </c>
      <c r="GW186" s="152">
        <v>0</v>
      </c>
      <c r="GX186" s="152">
        <v>0</v>
      </c>
      <c r="GY186" s="152">
        <v>0</v>
      </c>
      <c r="GZ186" s="152">
        <v>0</v>
      </c>
      <c r="HA186" s="152">
        <v>0</v>
      </c>
      <c r="HB186" s="152">
        <v>0</v>
      </c>
      <c r="HC186" s="152">
        <v>0</v>
      </c>
      <c r="HD186" s="152">
        <v>0</v>
      </c>
      <c r="HE186" s="152">
        <v>0</v>
      </c>
      <c r="HF186" s="152">
        <v>0</v>
      </c>
      <c r="HG186" s="152">
        <v>0</v>
      </c>
      <c r="HH186" s="152">
        <v>0</v>
      </c>
      <c r="HI186" s="152">
        <v>0</v>
      </c>
      <c r="HJ186" s="152">
        <v>0</v>
      </c>
      <c r="HK186" s="152">
        <v>0</v>
      </c>
      <c r="HL186" s="152">
        <v>0</v>
      </c>
      <c r="HM186" s="152">
        <v>0</v>
      </c>
      <c r="HN186" s="152">
        <v>0</v>
      </c>
      <c r="HO186" s="152">
        <v>0</v>
      </c>
      <c r="HP186" s="152">
        <v>0</v>
      </c>
      <c r="HQ186" s="152">
        <v>0</v>
      </c>
      <c r="HR186" s="152">
        <v>0</v>
      </c>
      <c r="HS186" s="152">
        <v>0</v>
      </c>
      <c r="HT186" s="152">
        <v>0</v>
      </c>
      <c r="HU186" s="216"/>
      <c r="HV186" s="152">
        <v>0</v>
      </c>
      <c r="HW186" s="216"/>
      <c r="HX186" s="216"/>
      <c r="HY186" s="216"/>
      <c r="HZ186" s="216"/>
      <c r="IA186" s="216"/>
      <c r="IB186" s="216"/>
      <c r="IC186" s="216"/>
      <c r="ID186" s="216"/>
      <c r="IE186" s="216"/>
      <c r="IF186" s="216"/>
      <c r="IG186" s="216"/>
      <c r="IH186" s="216"/>
      <c r="II186" s="216"/>
      <c r="IJ186" s="216"/>
      <c r="IK186" s="216"/>
      <c r="IL186" s="216"/>
      <c r="IM186" s="216"/>
      <c r="IN186" s="216"/>
      <c r="IO186" s="216"/>
      <c r="IP186" s="216"/>
      <c r="IQ186" s="216"/>
      <c r="IR186" s="216"/>
      <c r="IS186" s="216"/>
      <c r="IT186" s="216"/>
      <c r="IU186" s="216"/>
      <c r="IV186" s="216"/>
      <c r="IW186" s="216"/>
      <c r="IX186" s="216"/>
      <c r="IY186" s="216"/>
      <c r="IZ186" s="216"/>
      <c r="JA186" s="216"/>
      <c r="JB186" s="216"/>
      <c r="JC186" s="216"/>
      <c r="JD186" s="216"/>
      <c r="JE186" s="216"/>
      <c r="JF186" s="216"/>
      <c r="JG186" s="216"/>
      <c r="JH186" s="216"/>
      <c r="JI186" s="216"/>
      <c r="JJ186" s="216"/>
      <c r="JK186" s="216"/>
      <c r="JL186" s="216"/>
      <c r="JM186" s="216"/>
      <c r="JN186" s="216"/>
      <c r="JO186" s="216"/>
      <c r="JP186" s="216"/>
      <c r="JQ186" s="216"/>
      <c r="JR186" s="216"/>
      <c r="JS186" s="216"/>
      <c r="JT186" s="216"/>
      <c r="JU186" s="216"/>
      <c r="JV186" s="216"/>
      <c r="JW186" s="216"/>
      <c r="JX186" s="216"/>
      <c r="JY186" s="216"/>
      <c r="JZ186" s="216"/>
      <c r="KA186" s="216"/>
      <c r="KB186" s="216"/>
      <c r="KC186" s="216"/>
      <c r="KD186" s="216"/>
      <c r="KE186" s="216"/>
      <c r="KF186" s="216"/>
      <c r="KG186" s="216"/>
      <c r="KH186" s="216"/>
      <c r="KI186" s="216"/>
      <c r="KJ186" s="216"/>
      <c r="KK186" s="216"/>
      <c r="KL186" s="216"/>
      <c r="KM186" s="216"/>
      <c r="KN186" s="216"/>
      <c r="KO186" s="216"/>
      <c r="KP186" s="216"/>
      <c r="KQ186" s="216"/>
      <c r="KR186" s="216"/>
      <c r="KS186" s="216"/>
      <c r="KT186" s="216"/>
      <c r="KU186" s="216"/>
      <c r="KV186" s="216"/>
      <c r="KW186" s="216"/>
      <c r="KX186" s="216"/>
      <c r="KY186" s="216"/>
      <c r="KZ186" s="216"/>
      <c r="LA186" s="216"/>
      <c r="LB186" s="216"/>
      <c r="LC186" s="216"/>
      <c r="LD186" s="216"/>
      <c r="LE186" s="216"/>
    </row>
    <row r="187" spans="1:317" x14ac:dyDescent="0.2">
      <c r="A187" s="179" t="s">
        <v>849</v>
      </c>
      <c r="B187" s="180" t="s">
        <v>1086</v>
      </c>
      <c r="C187" s="181"/>
      <c r="D187" s="182">
        <v>0</v>
      </c>
      <c r="E187" s="182">
        <v>0</v>
      </c>
      <c r="F187" s="183" t="s">
        <v>1314</v>
      </c>
      <c r="G187" s="183">
        <v>0</v>
      </c>
      <c r="H187" s="183">
        <v>0</v>
      </c>
      <c r="I187" s="183">
        <v>0</v>
      </c>
      <c r="J187" s="183">
        <v>0</v>
      </c>
      <c r="K187" s="183" t="s">
        <v>1368</v>
      </c>
      <c r="L187" s="183">
        <v>0</v>
      </c>
      <c r="M187" s="183">
        <v>0</v>
      </c>
      <c r="N187" s="183" t="s">
        <v>881</v>
      </c>
      <c r="O187" s="183">
        <v>0</v>
      </c>
      <c r="P187" s="183">
        <v>0</v>
      </c>
      <c r="Q187" s="183"/>
      <c r="R187" s="183"/>
      <c r="S187" s="183"/>
      <c r="T187" s="183"/>
      <c r="U187" s="183"/>
      <c r="V187" s="183">
        <v>0</v>
      </c>
      <c r="W187" s="183">
        <v>0</v>
      </c>
      <c r="X187" s="183">
        <v>0</v>
      </c>
      <c r="Y187" s="184">
        <v>0</v>
      </c>
      <c r="Z187" s="184">
        <v>0</v>
      </c>
      <c r="AA187" s="184">
        <v>0</v>
      </c>
      <c r="AB187" s="185" t="s">
        <v>615</v>
      </c>
      <c r="AC187" s="185" t="s">
        <v>615</v>
      </c>
      <c r="AD187" s="186" t="s">
        <v>881</v>
      </c>
      <c r="AE187" s="186" t="s">
        <v>858</v>
      </c>
      <c r="AF187" s="187">
        <v>7</v>
      </c>
      <c r="AG187" s="187">
        <v>3</v>
      </c>
      <c r="AH187" s="187">
        <v>4</v>
      </c>
      <c r="AI187" s="188">
        <v>1</v>
      </c>
      <c r="AJ187" s="188" t="s">
        <v>615</v>
      </c>
      <c r="AK187" s="187" t="s">
        <v>1738</v>
      </c>
      <c r="AL187" s="87" t="s">
        <v>615</v>
      </c>
      <c r="AM187" s="189"/>
      <c r="AN187" s="187" t="s">
        <v>615</v>
      </c>
      <c r="AO187" s="13" t="s">
        <v>615</v>
      </c>
      <c r="AP187" s="187">
        <v>0</v>
      </c>
      <c r="AQ187" s="187">
        <v>0</v>
      </c>
      <c r="AR187" s="190">
        <v>0</v>
      </c>
      <c r="AS187" s="190">
        <v>0</v>
      </c>
      <c r="AT187" s="190">
        <v>0</v>
      </c>
      <c r="AU187" s="187">
        <v>0</v>
      </c>
      <c r="AV187" s="187">
        <v>0</v>
      </c>
      <c r="AW187" s="191"/>
      <c r="AX187" s="192"/>
      <c r="AY187" s="193">
        <v>42666</v>
      </c>
      <c r="AZ187" s="193"/>
      <c r="BA187" s="193"/>
      <c r="BB187" s="194"/>
      <c r="BC187" s="194"/>
      <c r="BD187" s="195"/>
      <c r="BE187" s="195" t="s">
        <v>532</v>
      </c>
      <c r="BF187" s="195"/>
      <c r="BG187" s="195">
        <v>144</v>
      </c>
      <c r="BH187" s="196" t="s">
        <v>547</v>
      </c>
      <c r="BI187" s="197">
        <v>1</v>
      </c>
      <c r="BJ187" s="198"/>
      <c r="BK187" s="199">
        <v>0</v>
      </c>
      <c r="BL187" s="13">
        <v>0</v>
      </c>
      <c r="BM187" s="13">
        <v>0</v>
      </c>
      <c r="BN187" s="13" t="s">
        <v>616</v>
      </c>
      <c r="BO187" s="13" t="s">
        <v>616</v>
      </c>
      <c r="BP187" s="200">
        <v>0</v>
      </c>
      <c r="BQ187" s="201"/>
      <c r="BR187" s="202"/>
      <c r="BS187" s="187">
        <v>1000000000</v>
      </c>
      <c r="BT187" s="203">
        <v>0</v>
      </c>
      <c r="BU187" s="204">
        <v>0</v>
      </c>
      <c r="BV187" s="203">
        <v>0</v>
      </c>
      <c r="BW187" s="205">
        <v>0</v>
      </c>
      <c r="BX187" s="205">
        <v>0</v>
      </c>
      <c r="BY187" s="205">
        <v>0</v>
      </c>
      <c r="BZ187" s="203">
        <v>0</v>
      </c>
      <c r="CA187" s="203">
        <v>0</v>
      </c>
      <c r="CB187" s="203">
        <v>0</v>
      </c>
      <c r="CC187" s="204">
        <v>0</v>
      </c>
      <c r="CD187" s="203">
        <v>0</v>
      </c>
      <c r="CE187" s="203">
        <v>0</v>
      </c>
      <c r="CF187" s="13">
        <v>0</v>
      </c>
      <c r="CG187" s="206">
        <v>0</v>
      </c>
      <c r="CH187" s="207">
        <v>0</v>
      </c>
      <c r="CI187" s="201"/>
      <c r="CJ187" s="208"/>
      <c r="CK187" s="209" t="s">
        <v>615</v>
      </c>
      <c r="CL187" s="210" t="s">
        <v>615</v>
      </c>
      <c r="CM187" s="207">
        <v>0</v>
      </c>
      <c r="CN187" s="207">
        <v>0</v>
      </c>
      <c r="CO187" s="204">
        <v>0</v>
      </c>
      <c r="CP187" s="204">
        <v>0</v>
      </c>
      <c r="CQ187" s="211"/>
      <c r="CR187" s="204">
        <v>1</v>
      </c>
      <c r="CS187" s="212">
        <v>42558</v>
      </c>
      <c r="CT187" s="212">
        <v>42780</v>
      </c>
      <c r="CU187" s="213">
        <v>42780</v>
      </c>
      <c r="CV187" s="214">
        <v>42829</v>
      </c>
      <c r="CW187" s="214" t="s">
        <v>615</v>
      </c>
      <c r="CX187" s="214" t="s">
        <v>615</v>
      </c>
      <c r="CY187" s="204">
        <v>1</v>
      </c>
      <c r="CZ187" s="204">
        <v>0.97959183673469385</v>
      </c>
      <c r="DA187" s="203">
        <v>0</v>
      </c>
      <c r="DB187" s="204">
        <v>0.97959183673469385</v>
      </c>
      <c r="DC187" s="204">
        <v>0</v>
      </c>
      <c r="DD187" s="204">
        <v>0</v>
      </c>
      <c r="DE187" s="204">
        <v>0</v>
      </c>
      <c r="DF187" s="215">
        <v>0</v>
      </c>
      <c r="DG187" s="13" t="s">
        <v>615</v>
      </c>
      <c r="DH187" s="86">
        <v>185</v>
      </c>
      <c r="DI187" s="86"/>
      <c r="DJ187" s="86">
        <v>181</v>
      </c>
      <c r="DK187" s="86" t="s">
        <v>1640</v>
      </c>
      <c r="DL187" s="86" t="e">
        <v>#N/A</v>
      </c>
      <c r="DM187" s="86" t="e">
        <v>#N/A</v>
      </c>
      <c r="DN187" s="86" t="e">
        <v>#N/A</v>
      </c>
      <c r="DO187" s="86">
        <v>343</v>
      </c>
      <c r="DP187" s="86">
        <v>5</v>
      </c>
      <c r="DQ187" s="86">
        <v>49</v>
      </c>
      <c r="DR187" s="146">
        <v>0</v>
      </c>
      <c r="DS187" s="146">
        <v>0</v>
      </c>
      <c r="DT187" s="146">
        <v>0</v>
      </c>
      <c r="DU187" s="146">
        <v>0</v>
      </c>
      <c r="DV187" s="146">
        <v>0</v>
      </c>
      <c r="DW187" s="146">
        <v>0</v>
      </c>
      <c r="DX187" s="146">
        <v>0</v>
      </c>
      <c r="DY187" s="146">
        <v>0</v>
      </c>
      <c r="DZ187" s="146">
        <v>0</v>
      </c>
      <c r="EA187" s="146">
        <v>0</v>
      </c>
      <c r="EB187" s="146">
        <v>0</v>
      </c>
      <c r="EC187" s="146">
        <v>0</v>
      </c>
      <c r="ED187" s="146">
        <v>0</v>
      </c>
      <c r="EE187" s="146">
        <v>0</v>
      </c>
      <c r="EF187" s="146">
        <v>0</v>
      </c>
      <c r="EG187" s="146">
        <v>0</v>
      </c>
      <c r="EH187" s="146">
        <v>0</v>
      </c>
      <c r="EI187" s="146">
        <v>0</v>
      </c>
      <c r="EJ187" s="146">
        <v>0</v>
      </c>
      <c r="EK187" s="146">
        <v>0</v>
      </c>
      <c r="EL187" s="146">
        <v>0</v>
      </c>
      <c r="EM187" s="146">
        <v>0</v>
      </c>
      <c r="EN187" s="146">
        <v>0</v>
      </c>
      <c r="EO187" s="146">
        <v>0</v>
      </c>
      <c r="EP187" s="146">
        <v>0</v>
      </c>
      <c r="EQ187" s="146">
        <v>0</v>
      </c>
      <c r="ER187" s="146">
        <v>0</v>
      </c>
      <c r="ES187" s="146">
        <v>0</v>
      </c>
      <c r="ET187" s="146">
        <v>0</v>
      </c>
      <c r="EU187" s="146">
        <v>0</v>
      </c>
      <c r="EV187" s="146">
        <v>0</v>
      </c>
      <c r="EW187" s="146">
        <v>0</v>
      </c>
      <c r="EX187" s="146">
        <v>0</v>
      </c>
      <c r="EY187" s="146">
        <v>0</v>
      </c>
      <c r="EZ187" s="146">
        <v>0</v>
      </c>
      <c r="FA187" s="146">
        <v>0</v>
      </c>
      <c r="FB187" s="146">
        <v>0</v>
      </c>
      <c r="FC187" s="146">
        <v>0</v>
      </c>
      <c r="FD187" s="146">
        <v>0</v>
      </c>
      <c r="FE187" s="146">
        <v>0</v>
      </c>
      <c r="FF187" s="146">
        <v>0</v>
      </c>
      <c r="FG187" s="146">
        <v>0</v>
      </c>
      <c r="FH187" s="146">
        <v>0</v>
      </c>
      <c r="FI187" s="146">
        <v>0</v>
      </c>
      <c r="FJ187" s="146">
        <v>0</v>
      </c>
      <c r="FK187" s="146">
        <v>0</v>
      </c>
      <c r="FL187" s="146">
        <v>0</v>
      </c>
      <c r="FM187" s="146">
        <v>0</v>
      </c>
      <c r="FN187" s="146">
        <v>0</v>
      </c>
      <c r="FO187" s="146">
        <v>0</v>
      </c>
      <c r="FP187" s="146">
        <v>0</v>
      </c>
      <c r="FQ187" s="146">
        <v>0</v>
      </c>
      <c r="FR187" s="146">
        <v>0</v>
      </c>
      <c r="FS187" s="146">
        <v>0</v>
      </c>
      <c r="FT187" s="146">
        <v>0</v>
      </c>
      <c r="FU187" s="146">
        <v>0</v>
      </c>
      <c r="FV187" s="146">
        <v>0</v>
      </c>
      <c r="FW187" s="146">
        <v>0</v>
      </c>
      <c r="FX187" s="146">
        <v>0</v>
      </c>
      <c r="FY187" s="146">
        <v>0</v>
      </c>
      <c r="FZ187" s="146">
        <v>0</v>
      </c>
      <c r="GA187" s="146">
        <v>0</v>
      </c>
      <c r="GB187" s="146">
        <v>0</v>
      </c>
      <c r="GC187" s="146">
        <v>0</v>
      </c>
      <c r="GD187" s="146">
        <v>0</v>
      </c>
      <c r="GE187" s="146">
        <v>0</v>
      </c>
      <c r="GF187" s="146">
        <v>0</v>
      </c>
      <c r="GG187" s="146">
        <v>0</v>
      </c>
      <c r="GH187" s="146">
        <v>0</v>
      </c>
      <c r="GI187" s="146">
        <v>0</v>
      </c>
      <c r="GJ187" s="146">
        <v>0</v>
      </c>
      <c r="GK187" s="146">
        <v>0</v>
      </c>
      <c r="GL187" s="146">
        <v>0</v>
      </c>
      <c r="GM187" s="146">
        <v>0</v>
      </c>
      <c r="GN187" s="146">
        <v>0</v>
      </c>
      <c r="GO187" s="146">
        <v>0</v>
      </c>
      <c r="GP187" s="146">
        <v>0</v>
      </c>
      <c r="GQ187" s="146">
        <v>0</v>
      </c>
      <c r="GR187" s="146">
        <v>0</v>
      </c>
      <c r="GS187" s="146">
        <v>0</v>
      </c>
      <c r="GT187" s="146">
        <v>0</v>
      </c>
      <c r="GU187" s="146">
        <v>0</v>
      </c>
      <c r="GV187" s="146">
        <v>0</v>
      </c>
      <c r="GW187" s="146">
        <v>0</v>
      </c>
      <c r="GX187" s="146">
        <v>0</v>
      </c>
      <c r="GY187" s="146">
        <v>0</v>
      </c>
      <c r="GZ187" s="146">
        <v>0</v>
      </c>
      <c r="HA187" s="146">
        <v>0</v>
      </c>
      <c r="HB187" s="146">
        <v>0</v>
      </c>
      <c r="HC187" s="146">
        <v>0</v>
      </c>
      <c r="HD187" s="146">
        <v>0</v>
      </c>
      <c r="HE187" s="146">
        <v>0</v>
      </c>
      <c r="HF187" s="146">
        <v>0</v>
      </c>
      <c r="HG187" s="146">
        <v>0</v>
      </c>
      <c r="HH187" s="146">
        <v>0</v>
      </c>
      <c r="HI187" s="146">
        <v>0</v>
      </c>
      <c r="HJ187" s="146">
        <v>0</v>
      </c>
      <c r="HK187" s="146">
        <v>0</v>
      </c>
      <c r="HL187" s="146">
        <v>0</v>
      </c>
      <c r="HM187" s="146">
        <v>0</v>
      </c>
      <c r="HN187" s="146">
        <v>0</v>
      </c>
      <c r="HO187" s="146">
        <v>0</v>
      </c>
      <c r="HP187" s="146">
        <v>0</v>
      </c>
      <c r="HQ187" s="146">
        <v>0</v>
      </c>
      <c r="HR187" s="146">
        <v>0</v>
      </c>
      <c r="HS187" s="146">
        <v>0</v>
      </c>
      <c r="HT187" s="146">
        <v>0</v>
      </c>
      <c r="HU187" s="151"/>
      <c r="HV187" s="146">
        <v>0</v>
      </c>
      <c r="HW187" s="151"/>
      <c r="HX187" s="151"/>
      <c r="HY187" s="151"/>
      <c r="HZ187" s="151"/>
      <c r="IA187" s="151"/>
      <c r="IB187" s="151"/>
      <c r="IC187" s="151"/>
      <c r="ID187" s="151"/>
      <c r="IE187" s="151"/>
      <c r="IF187" s="151"/>
      <c r="IG187" s="151"/>
      <c r="IH187" s="151"/>
      <c r="II187" s="151"/>
      <c r="IJ187" s="151"/>
      <c r="IK187" s="151"/>
      <c r="IL187" s="151"/>
      <c r="IM187" s="151"/>
      <c r="IN187" s="151"/>
      <c r="IO187" s="151"/>
      <c r="IP187" s="151"/>
      <c r="IQ187" s="151"/>
      <c r="IR187" s="151"/>
      <c r="IS187" s="151"/>
      <c r="IT187" s="151"/>
      <c r="IU187" s="151"/>
      <c r="IV187" s="151"/>
      <c r="IW187" s="151"/>
      <c r="IX187" s="151"/>
      <c r="IY187" s="151"/>
      <c r="IZ187" s="151"/>
      <c r="JA187" s="151"/>
      <c r="JB187" s="151"/>
      <c r="JC187" s="151"/>
      <c r="JD187" s="151"/>
      <c r="JE187" s="151"/>
      <c r="JF187" s="151"/>
      <c r="JG187" s="151"/>
      <c r="JH187" s="151"/>
      <c r="JI187" s="151"/>
      <c r="JJ187" s="151"/>
      <c r="JK187" s="151"/>
      <c r="JL187" s="151"/>
      <c r="JM187" s="151"/>
      <c r="JN187" s="151"/>
      <c r="JO187" s="151"/>
      <c r="JP187" s="151"/>
      <c r="JQ187" s="151"/>
      <c r="JR187" s="151"/>
      <c r="JS187" s="151"/>
      <c r="JT187" s="151"/>
      <c r="JU187" s="151"/>
      <c r="JV187" s="151"/>
      <c r="JW187" s="151"/>
      <c r="JX187" s="151"/>
      <c r="JY187" s="151"/>
      <c r="JZ187" s="151"/>
      <c r="KA187" s="151"/>
      <c r="KB187" s="151"/>
      <c r="KC187" s="151"/>
      <c r="KD187" s="151"/>
      <c r="KE187" s="151"/>
      <c r="KF187" s="151"/>
      <c r="KG187" s="151"/>
      <c r="KH187" s="151"/>
      <c r="KI187" s="151"/>
      <c r="KJ187" s="151"/>
      <c r="KK187" s="151"/>
      <c r="KL187" s="151"/>
      <c r="KM187" s="151"/>
      <c r="KN187" s="151"/>
      <c r="KO187" s="151"/>
      <c r="KP187" s="151"/>
      <c r="KQ187" s="151"/>
      <c r="KR187" s="151"/>
      <c r="KS187" s="151"/>
      <c r="KT187" s="151"/>
      <c r="KU187" s="151"/>
      <c r="KV187" s="151"/>
      <c r="KW187" s="151"/>
      <c r="KX187" s="151"/>
      <c r="KY187" s="151"/>
      <c r="KZ187" s="151"/>
      <c r="LA187" s="151"/>
      <c r="LB187" s="151"/>
      <c r="LC187" s="151"/>
      <c r="LD187" s="151"/>
      <c r="LE187" s="151"/>
    </row>
    <row r="188" spans="1:317" x14ac:dyDescent="0.2">
      <c r="A188" s="179" t="s">
        <v>849</v>
      </c>
      <c r="B188" s="180" t="s">
        <v>1087</v>
      </c>
      <c r="C188" s="181"/>
      <c r="D188" s="182">
        <v>0</v>
      </c>
      <c r="E188" s="182">
        <v>0</v>
      </c>
      <c r="F188" s="183" t="s">
        <v>1314</v>
      </c>
      <c r="G188" s="183">
        <v>0</v>
      </c>
      <c r="H188" s="183">
        <v>0</v>
      </c>
      <c r="I188" s="183">
        <v>0</v>
      </c>
      <c r="J188" s="183">
        <v>0</v>
      </c>
      <c r="K188" s="183" t="s">
        <v>1368</v>
      </c>
      <c r="L188" s="183">
        <v>0</v>
      </c>
      <c r="M188" s="183">
        <v>0</v>
      </c>
      <c r="N188" s="183" t="s">
        <v>881</v>
      </c>
      <c r="O188" s="183">
        <v>0</v>
      </c>
      <c r="P188" s="183">
        <v>0</v>
      </c>
      <c r="Q188" s="183"/>
      <c r="R188" s="183"/>
      <c r="S188" s="183"/>
      <c r="T188" s="183"/>
      <c r="U188" s="183"/>
      <c r="V188" s="183">
        <v>0</v>
      </c>
      <c r="W188" s="183">
        <v>0</v>
      </c>
      <c r="X188" s="183">
        <v>0</v>
      </c>
      <c r="Y188" s="184">
        <v>0</v>
      </c>
      <c r="Z188" s="184">
        <v>0</v>
      </c>
      <c r="AA188" s="184">
        <v>0</v>
      </c>
      <c r="AB188" s="185" t="s">
        <v>615</v>
      </c>
      <c r="AC188" s="185" t="s">
        <v>615</v>
      </c>
      <c r="AD188" s="186" t="s">
        <v>881</v>
      </c>
      <c r="AE188" s="186" t="s">
        <v>858</v>
      </c>
      <c r="AF188" s="187">
        <v>7</v>
      </c>
      <c r="AG188" s="187">
        <v>3</v>
      </c>
      <c r="AH188" s="187">
        <v>4</v>
      </c>
      <c r="AI188" s="188">
        <v>1</v>
      </c>
      <c r="AJ188" s="188" t="s">
        <v>615</v>
      </c>
      <c r="AK188" s="187" t="s">
        <v>1738</v>
      </c>
      <c r="AL188" s="87" t="s">
        <v>615</v>
      </c>
      <c r="AM188" s="189"/>
      <c r="AN188" s="187" t="s">
        <v>615</v>
      </c>
      <c r="AO188" s="13" t="s">
        <v>615</v>
      </c>
      <c r="AP188" s="187">
        <v>0</v>
      </c>
      <c r="AQ188" s="187">
        <v>0</v>
      </c>
      <c r="AR188" s="190">
        <v>0</v>
      </c>
      <c r="AS188" s="190">
        <v>0</v>
      </c>
      <c r="AT188" s="190">
        <v>0</v>
      </c>
      <c r="AU188" s="187">
        <v>0</v>
      </c>
      <c r="AV188" s="187">
        <v>0</v>
      </c>
      <c r="AW188" s="191"/>
      <c r="AX188" s="192"/>
      <c r="AY188" s="193">
        <v>42666</v>
      </c>
      <c r="AZ188" s="193"/>
      <c r="BA188" s="193"/>
      <c r="BB188" s="194"/>
      <c r="BC188" s="194"/>
      <c r="BD188" s="195"/>
      <c r="BE188" s="195" t="s">
        <v>532</v>
      </c>
      <c r="BF188" s="195"/>
      <c r="BG188" s="195">
        <v>240</v>
      </c>
      <c r="BH188" s="196" t="s">
        <v>547</v>
      </c>
      <c r="BI188" s="197">
        <v>1</v>
      </c>
      <c r="BJ188" s="198"/>
      <c r="BK188" s="199">
        <v>0</v>
      </c>
      <c r="BL188" s="13">
        <v>0</v>
      </c>
      <c r="BM188" s="13">
        <v>0</v>
      </c>
      <c r="BN188" s="13" t="s">
        <v>616</v>
      </c>
      <c r="BO188" s="13" t="s">
        <v>616</v>
      </c>
      <c r="BP188" s="200">
        <v>0</v>
      </c>
      <c r="BQ188" s="201"/>
      <c r="BR188" s="202"/>
      <c r="BS188" s="187">
        <v>1000000000</v>
      </c>
      <c r="BT188" s="203">
        <v>0</v>
      </c>
      <c r="BU188" s="204">
        <v>0</v>
      </c>
      <c r="BV188" s="203">
        <v>0</v>
      </c>
      <c r="BW188" s="205">
        <v>0</v>
      </c>
      <c r="BX188" s="205">
        <v>0</v>
      </c>
      <c r="BY188" s="205">
        <v>0</v>
      </c>
      <c r="BZ188" s="203">
        <v>0</v>
      </c>
      <c r="CA188" s="203">
        <v>0</v>
      </c>
      <c r="CB188" s="203">
        <v>0</v>
      </c>
      <c r="CC188" s="204">
        <v>0</v>
      </c>
      <c r="CD188" s="203">
        <v>0</v>
      </c>
      <c r="CE188" s="203">
        <v>0</v>
      </c>
      <c r="CF188" s="13">
        <v>0</v>
      </c>
      <c r="CG188" s="206">
        <v>0</v>
      </c>
      <c r="CH188" s="207">
        <v>0</v>
      </c>
      <c r="CI188" s="201"/>
      <c r="CJ188" s="208"/>
      <c r="CK188" s="209" t="s">
        <v>615</v>
      </c>
      <c r="CL188" s="210" t="s">
        <v>615</v>
      </c>
      <c r="CM188" s="207">
        <v>0</v>
      </c>
      <c r="CN188" s="207">
        <v>0</v>
      </c>
      <c r="CO188" s="204">
        <v>0</v>
      </c>
      <c r="CP188" s="204">
        <v>0</v>
      </c>
      <c r="CQ188" s="211"/>
      <c r="CR188" s="204">
        <v>1</v>
      </c>
      <c r="CS188" s="212">
        <v>42558</v>
      </c>
      <c r="CT188" s="212">
        <v>42780</v>
      </c>
      <c r="CU188" s="213">
        <v>42780</v>
      </c>
      <c r="CV188" s="214">
        <v>42829</v>
      </c>
      <c r="CW188" s="214" t="s">
        <v>615</v>
      </c>
      <c r="CX188" s="214" t="s">
        <v>615</v>
      </c>
      <c r="CY188" s="204">
        <v>1</v>
      </c>
      <c r="CZ188" s="204">
        <v>0.97959183673469385</v>
      </c>
      <c r="DA188" s="203">
        <v>0</v>
      </c>
      <c r="DB188" s="204">
        <v>0.97959183673469385</v>
      </c>
      <c r="DC188" s="204">
        <v>0</v>
      </c>
      <c r="DD188" s="204">
        <v>0</v>
      </c>
      <c r="DE188" s="204">
        <v>0</v>
      </c>
      <c r="DF188" s="215">
        <v>0</v>
      </c>
      <c r="DG188" s="13" t="s">
        <v>615</v>
      </c>
      <c r="DH188" s="86">
        <v>186</v>
      </c>
      <c r="DI188" s="86"/>
      <c r="DJ188" s="86">
        <v>182</v>
      </c>
      <c r="DK188" s="86" t="s">
        <v>1641</v>
      </c>
      <c r="DL188" s="86" t="e">
        <v>#N/A</v>
      </c>
      <c r="DM188" s="86" t="e">
        <v>#N/A</v>
      </c>
      <c r="DN188" s="86" t="e">
        <v>#N/A</v>
      </c>
      <c r="DO188" s="86">
        <v>344</v>
      </c>
      <c r="DP188" s="86">
        <v>5</v>
      </c>
      <c r="DQ188" s="86">
        <v>49</v>
      </c>
      <c r="DR188" s="152">
        <v>0</v>
      </c>
      <c r="DS188" s="152">
        <v>0</v>
      </c>
      <c r="DT188" s="152">
        <v>0</v>
      </c>
      <c r="DU188" s="152">
        <v>0</v>
      </c>
      <c r="DV188" s="152">
        <v>0</v>
      </c>
      <c r="DW188" s="152">
        <v>0</v>
      </c>
      <c r="DX188" s="152">
        <v>0</v>
      </c>
      <c r="DY188" s="152">
        <v>0</v>
      </c>
      <c r="DZ188" s="152">
        <v>0</v>
      </c>
      <c r="EA188" s="152">
        <v>0</v>
      </c>
      <c r="EB188" s="152">
        <v>0</v>
      </c>
      <c r="EC188" s="152">
        <v>0</v>
      </c>
      <c r="ED188" s="152">
        <v>0</v>
      </c>
      <c r="EE188" s="152">
        <v>0</v>
      </c>
      <c r="EF188" s="152">
        <v>0</v>
      </c>
      <c r="EG188" s="152">
        <v>0</v>
      </c>
      <c r="EH188" s="152">
        <v>0</v>
      </c>
      <c r="EI188" s="152">
        <v>0</v>
      </c>
      <c r="EJ188" s="152">
        <v>0</v>
      </c>
      <c r="EK188" s="152">
        <v>0</v>
      </c>
      <c r="EL188" s="152">
        <v>0</v>
      </c>
      <c r="EM188" s="152">
        <v>0</v>
      </c>
      <c r="EN188" s="152">
        <v>0</v>
      </c>
      <c r="EO188" s="152">
        <v>0</v>
      </c>
      <c r="EP188" s="152">
        <v>0</v>
      </c>
      <c r="EQ188" s="152">
        <v>0</v>
      </c>
      <c r="ER188" s="152">
        <v>0</v>
      </c>
      <c r="ES188" s="152">
        <v>0</v>
      </c>
      <c r="ET188" s="152">
        <v>0</v>
      </c>
      <c r="EU188" s="152">
        <v>0</v>
      </c>
      <c r="EV188" s="152">
        <v>0</v>
      </c>
      <c r="EW188" s="152">
        <v>0</v>
      </c>
      <c r="EX188" s="152">
        <v>0</v>
      </c>
      <c r="EY188" s="152">
        <v>0</v>
      </c>
      <c r="EZ188" s="152">
        <v>0</v>
      </c>
      <c r="FA188" s="152">
        <v>0</v>
      </c>
      <c r="FB188" s="152">
        <v>0</v>
      </c>
      <c r="FC188" s="152">
        <v>0</v>
      </c>
      <c r="FD188" s="152">
        <v>0</v>
      </c>
      <c r="FE188" s="152">
        <v>0</v>
      </c>
      <c r="FF188" s="152">
        <v>0</v>
      </c>
      <c r="FG188" s="152">
        <v>0</v>
      </c>
      <c r="FH188" s="152">
        <v>0</v>
      </c>
      <c r="FI188" s="152">
        <v>0</v>
      </c>
      <c r="FJ188" s="152">
        <v>0</v>
      </c>
      <c r="FK188" s="152">
        <v>0</v>
      </c>
      <c r="FL188" s="152">
        <v>0</v>
      </c>
      <c r="FM188" s="152">
        <v>0</v>
      </c>
      <c r="FN188" s="152">
        <v>0</v>
      </c>
      <c r="FO188" s="152">
        <v>0</v>
      </c>
      <c r="FP188" s="152">
        <v>0</v>
      </c>
      <c r="FQ188" s="152">
        <v>0</v>
      </c>
      <c r="FR188" s="152">
        <v>0</v>
      </c>
      <c r="FS188" s="152">
        <v>0</v>
      </c>
      <c r="FT188" s="152">
        <v>0</v>
      </c>
      <c r="FU188" s="152">
        <v>0</v>
      </c>
      <c r="FV188" s="152">
        <v>0</v>
      </c>
      <c r="FW188" s="152">
        <v>0</v>
      </c>
      <c r="FX188" s="152">
        <v>0</v>
      </c>
      <c r="FY188" s="152">
        <v>0</v>
      </c>
      <c r="FZ188" s="152">
        <v>0</v>
      </c>
      <c r="GA188" s="152">
        <v>0</v>
      </c>
      <c r="GB188" s="152">
        <v>0</v>
      </c>
      <c r="GC188" s="152">
        <v>0</v>
      </c>
      <c r="GD188" s="152">
        <v>0</v>
      </c>
      <c r="GE188" s="152">
        <v>0</v>
      </c>
      <c r="GF188" s="152">
        <v>0</v>
      </c>
      <c r="GG188" s="152">
        <v>0</v>
      </c>
      <c r="GH188" s="152">
        <v>0</v>
      </c>
      <c r="GI188" s="152">
        <v>0</v>
      </c>
      <c r="GJ188" s="152">
        <v>0</v>
      </c>
      <c r="GK188" s="152">
        <v>0</v>
      </c>
      <c r="GL188" s="152">
        <v>0</v>
      </c>
      <c r="GM188" s="152">
        <v>0</v>
      </c>
      <c r="GN188" s="152">
        <v>0</v>
      </c>
      <c r="GO188" s="152">
        <v>0</v>
      </c>
      <c r="GP188" s="152">
        <v>0</v>
      </c>
      <c r="GQ188" s="152">
        <v>0</v>
      </c>
      <c r="GR188" s="152">
        <v>0</v>
      </c>
      <c r="GS188" s="152">
        <v>0</v>
      </c>
      <c r="GT188" s="152">
        <v>0</v>
      </c>
      <c r="GU188" s="152">
        <v>0</v>
      </c>
      <c r="GV188" s="152">
        <v>0</v>
      </c>
      <c r="GW188" s="152">
        <v>0</v>
      </c>
      <c r="GX188" s="152">
        <v>0</v>
      </c>
      <c r="GY188" s="152">
        <v>0</v>
      </c>
      <c r="GZ188" s="152">
        <v>0</v>
      </c>
      <c r="HA188" s="152">
        <v>0</v>
      </c>
      <c r="HB188" s="152">
        <v>0</v>
      </c>
      <c r="HC188" s="152">
        <v>0</v>
      </c>
      <c r="HD188" s="152">
        <v>0</v>
      </c>
      <c r="HE188" s="152">
        <v>0</v>
      </c>
      <c r="HF188" s="152">
        <v>0</v>
      </c>
      <c r="HG188" s="152">
        <v>0</v>
      </c>
      <c r="HH188" s="152">
        <v>0</v>
      </c>
      <c r="HI188" s="152">
        <v>0</v>
      </c>
      <c r="HJ188" s="152">
        <v>0</v>
      </c>
      <c r="HK188" s="152">
        <v>0</v>
      </c>
      <c r="HL188" s="152">
        <v>0</v>
      </c>
      <c r="HM188" s="152">
        <v>0</v>
      </c>
      <c r="HN188" s="152">
        <v>0</v>
      </c>
      <c r="HO188" s="152">
        <v>0</v>
      </c>
      <c r="HP188" s="152">
        <v>0</v>
      </c>
      <c r="HQ188" s="152">
        <v>0</v>
      </c>
      <c r="HR188" s="152">
        <v>0</v>
      </c>
      <c r="HS188" s="152">
        <v>0</v>
      </c>
      <c r="HT188" s="152">
        <v>0</v>
      </c>
      <c r="HU188" s="216"/>
      <c r="HV188" s="152">
        <v>0</v>
      </c>
      <c r="HW188" s="216"/>
      <c r="HX188" s="216"/>
      <c r="HY188" s="216"/>
      <c r="HZ188" s="216"/>
      <c r="IA188" s="216"/>
      <c r="IB188" s="216"/>
      <c r="IC188" s="216"/>
      <c r="ID188" s="216"/>
      <c r="IE188" s="216"/>
      <c r="IF188" s="216"/>
      <c r="IG188" s="216"/>
      <c r="IH188" s="216"/>
      <c r="II188" s="216"/>
      <c r="IJ188" s="216"/>
      <c r="IK188" s="216"/>
      <c r="IL188" s="216"/>
      <c r="IM188" s="216"/>
      <c r="IN188" s="216"/>
      <c r="IO188" s="216"/>
      <c r="IP188" s="216"/>
      <c r="IQ188" s="216"/>
      <c r="IR188" s="216"/>
      <c r="IS188" s="216"/>
      <c r="IT188" s="216"/>
      <c r="IU188" s="216"/>
      <c r="IV188" s="216"/>
      <c r="IW188" s="216"/>
      <c r="IX188" s="216"/>
      <c r="IY188" s="216"/>
      <c r="IZ188" s="216"/>
      <c r="JA188" s="216"/>
      <c r="JB188" s="216"/>
      <c r="JC188" s="216"/>
      <c r="JD188" s="216"/>
      <c r="JE188" s="216"/>
      <c r="JF188" s="216"/>
      <c r="JG188" s="216"/>
      <c r="JH188" s="216"/>
      <c r="JI188" s="216"/>
      <c r="JJ188" s="216"/>
      <c r="JK188" s="216"/>
      <c r="JL188" s="216"/>
      <c r="JM188" s="216"/>
      <c r="JN188" s="216"/>
      <c r="JO188" s="216"/>
      <c r="JP188" s="216"/>
      <c r="JQ188" s="216"/>
      <c r="JR188" s="216"/>
      <c r="JS188" s="216"/>
      <c r="JT188" s="216"/>
      <c r="JU188" s="216"/>
      <c r="JV188" s="216"/>
      <c r="JW188" s="216"/>
      <c r="JX188" s="216"/>
      <c r="JY188" s="216"/>
      <c r="JZ188" s="216"/>
      <c r="KA188" s="216"/>
      <c r="KB188" s="216"/>
      <c r="KC188" s="216"/>
      <c r="KD188" s="216"/>
      <c r="KE188" s="216"/>
      <c r="KF188" s="216"/>
      <c r="KG188" s="216"/>
      <c r="KH188" s="216"/>
      <c r="KI188" s="216"/>
      <c r="KJ188" s="216"/>
      <c r="KK188" s="216"/>
      <c r="KL188" s="216"/>
      <c r="KM188" s="216"/>
      <c r="KN188" s="216"/>
      <c r="KO188" s="216"/>
      <c r="KP188" s="216"/>
      <c r="KQ188" s="216"/>
      <c r="KR188" s="216"/>
      <c r="KS188" s="216"/>
      <c r="KT188" s="216"/>
      <c r="KU188" s="216"/>
      <c r="KV188" s="216"/>
      <c r="KW188" s="216"/>
      <c r="KX188" s="216"/>
      <c r="KY188" s="216"/>
      <c r="KZ188" s="216"/>
      <c r="LA188" s="216"/>
      <c r="LB188" s="216"/>
      <c r="LC188" s="216"/>
      <c r="LD188" s="216"/>
      <c r="LE188" s="216"/>
    </row>
    <row r="189" spans="1:317" x14ac:dyDescent="0.2">
      <c r="A189" s="179" t="s">
        <v>849</v>
      </c>
      <c r="B189" s="180" t="s">
        <v>1088</v>
      </c>
      <c r="C189" s="181"/>
      <c r="D189" s="182">
        <v>0</v>
      </c>
      <c r="E189" s="182">
        <v>0</v>
      </c>
      <c r="F189" s="183" t="s">
        <v>1314</v>
      </c>
      <c r="G189" s="183">
        <v>0</v>
      </c>
      <c r="H189" s="183">
        <v>0</v>
      </c>
      <c r="I189" s="183">
        <v>0</v>
      </c>
      <c r="J189" s="183">
        <v>0</v>
      </c>
      <c r="K189" s="183" t="s">
        <v>1368</v>
      </c>
      <c r="L189" s="183">
        <v>0</v>
      </c>
      <c r="M189" s="183">
        <v>0</v>
      </c>
      <c r="N189" s="183" t="s">
        <v>881</v>
      </c>
      <c r="O189" s="183">
        <v>0</v>
      </c>
      <c r="P189" s="183">
        <v>0</v>
      </c>
      <c r="Q189" s="183"/>
      <c r="R189" s="183"/>
      <c r="S189" s="183"/>
      <c r="T189" s="183"/>
      <c r="U189" s="183"/>
      <c r="V189" s="183">
        <v>0</v>
      </c>
      <c r="W189" s="183">
        <v>0</v>
      </c>
      <c r="X189" s="183">
        <v>0</v>
      </c>
      <c r="Y189" s="184">
        <v>0</v>
      </c>
      <c r="Z189" s="184">
        <v>0</v>
      </c>
      <c r="AA189" s="184">
        <v>0</v>
      </c>
      <c r="AB189" s="185" t="s">
        <v>615</v>
      </c>
      <c r="AC189" s="185" t="s">
        <v>615</v>
      </c>
      <c r="AD189" s="186" t="s">
        <v>881</v>
      </c>
      <c r="AE189" s="186" t="s">
        <v>858</v>
      </c>
      <c r="AF189" s="187">
        <v>7</v>
      </c>
      <c r="AG189" s="187">
        <v>3</v>
      </c>
      <c r="AH189" s="187">
        <v>4</v>
      </c>
      <c r="AI189" s="188">
        <v>1</v>
      </c>
      <c r="AJ189" s="188" t="s">
        <v>615</v>
      </c>
      <c r="AK189" s="187" t="s">
        <v>1738</v>
      </c>
      <c r="AL189" s="87" t="s">
        <v>615</v>
      </c>
      <c r="AM189" s="189"/>
      <c r="AN189" s="187" t="s">
        <v>615</v>
      </c>
      <c r="AO189" s="13" t="s">
        <v>615</v>
      </c>
      <c r="AP189" s="187">
        <v>0</v>
      </c>
      <c r="AQ189" s="187">
        <v>0</v>
      </c>
      <c r="AR189" s="190">
        <v>0</v>
      </c>
      <c r="AS189" s="190">
        <v>0</v>
      </c>
      <c r="AT189" s="190">
        <v>0</v>
      </c>
      <c r="AU189" s="187">
        <v>0</v>
      </c>
      <c r="AV189" s="187">
        <v>0</v>
      </c>
      <c r="AW189" s="191"/>
      <c r="AX189" s="192"/>
      <c r="AY189" s="193">
        <v>42666</v>
      </c>
      <c r="AZ189" s="193"/>
      <c r="BA189" s="193"/>
      <c r="BB189" s="194"/>
      <c r="BC189" s="194"/>
      <c r="BD189" s="195"/>
      <c r="BE189" s="195" t="s">
        <v>532</v>
      </c>
      <c r="BF189" s="195"/>
      <c r="BG189" s="195">
        <v>144</v>
      </c>
      <c r="BH189" s="196" t="s">
        <v>547</v>
      </c>
      <c r="BI189" s="197">
        <v>1</v>
      </c>
      <c r="BJ189" s="198"/>
      <c r="BK189" s="199">
        <v>0</v>
      </c>
      <c r="BL189" s="13">
        <v>0</v>
      </c>
      <c r="BM189" s="13">
        <v>0</v>
      </c>
      <c r="BN189" s="13" t="s">
        <v>616</v>
      </c>
      <c r="BO189" s="13" t="s">
        <v>616</v>
      </c>
      <c r="BP189" s="200">
        <v>0</v>
      </c>
      <c r="BQ189" s="201"/>
      <c r="BR189" s="202"/>
      <c r="BS189" s="187">
        <v>1000000000</v>
      </c>
      <c r="BT189" s="203">
        <v>0</v>
      </c>
      <c r="BU189" s="204">
        <v>0</v>
      </c>
      <c r="BV189" s="203">
        <v>0</v>
      </c>
      <c r="BW189" s="205">
        <v>0</v>
      </c>
      <c r="BX189" s="205">
        <v>0</v>
      </c>
      <c r="BY189" s="205">
        <v>0</v>
      </c>
      <c r="BZ189" s="203">
        <v>0</v>
      </c>
      <c r="CA189" s="203">
        <v>0</v>
      </c>
      <c r="CB189" s="203">
        <v>0</v>
      </c>
      <c r="CC189" s="204">
        <v>0</v>
      </c>
      <c r="CD189" s="203">
        <v>0</v>
      </c>
      <c r="CE189" s="203">
        <v>0</v>
      </c>
      <c r="CF189" s="13">
        <v>0</v>
      </c>
      <c r="CG189" s="206">
        <v>0</v>
      </c>
      <c r="CH189" s="207">
        <v>0</v>
      </c>
      <c r="CI189" s="201"/>
      <c r="CJ189" s="208"/>
      <c r="CK189" s="209" t="s">
        <v>615</v>
      </c>
      <c r="CL189" s="210" t="s">
        <v>615</v>
      </c>
      <c r="CM189" s="207">
        <v>0</v>
      </c>
      <c r="CN189" s="207">
        <v>0</v>
      </c>
      <c r="CO189" s="204">
        <v>0</v>
      </c>
      <c r="CP189" s="204">
        <v>0</v>
      </c>
      <c r="CQ189" s="211"/>
      <c r="CR189" s="204">
        <v>1</v>
      </c>
      <c r="CS189" s="212">
        <v>42558</v>
      </c>
      <c r="CT189" s="212">
        <v>42780</v>
      </c>
      <c r="CU189" s="213">
        <v>42780</v>
      </c>
      <c r="CV189" s="214">
        <v>42829</v>
      </c>
      <c r="CW189" s="214" t="s">
        <v>615</v>
      </c>
      <c r="CX189" s="214" t="s">
        <v>615</v>
      </c>
      <c r="CY189" s="204">
        <v>1</v>
      </c>
      <c r="CZ189" s="204">
        <v>0.97959183673469385</v>
      </c>
      <c r="DA189" s="203">
        <v>0</v>
      </c>
      <c r="DB189" s="204">
        <v>0.97959183673469385</v>
      </c>
      <c r="DC189" s="204">
        <v>0</v>
      </c>
      <c r="DD189" s="204">
        <v>0</v>
      </c>
      <c r="DE189" s="204">
        <v>0</v>
      </c>
      <c r="DF189" s="215">
        <v>0</v>
      </c>
      <c r="DG189" s="13" t="s">
        <v>615</v>
      </c>
      <c r="DH189" s="86">
        <v>187</v>
      </c>
      <c r="DI189" s="86"/>
      <c r="DJ189" s="86">
        <v>183</v>
      </c>
      <c r="DK189" s="86" t="s">
        <v>1642</v>
      </c>
      <c r="DL189" s="86" t="e">
        <v>#N/A</v>
      </c>
      <c r="DM189" s="86" t="e">
        <v>#N/A</v>
      </c>
      <c r="DN189" s="86" t="e">
        <v>#N/A</v>
      </c>
      <c r="DO189" s="86">
        <v>345</v>
      </c>
      <c r="DP189" s="86">
        <v>5</v>
      </c>
      <c r="DQ189" s="86">
        <v>49</v>
      </c>
      <c r="DR189" s="146">
        <v>0</v>
      </c>
      <c r="DS189" s="146">
        <v>0</v>
      </c>
      <c r="DT189" s="146">
        <v>0</v>
      </c>
      <c r="DU189" s="146">
        <v>0</v>
      </c>
      <c r="DV189" s="146">
        <v>0</v>
      </c>
      <c r="DW189" s="146">
        <v>0</v>
      </c>
      <c r="DX189" s="146">
        <v>0</v>
      </c>
      <c r="DY189" s="146">
        <v>0</v>
      </c>
      <c r="DZ189" s="146">
        <v>0</v>
      </c>
      <c r="EA189" s="146">
        <v>0</v>
      </c>
      <c r="EB189" s="146">
        <v>0</v>
      </c>
      <c r="EC189" s="146">
        <v>0</v>
      </c>
      <c r="ED189" s="146">
        <v>0</v>
      </c>
      <c r="EE189" s="146">
        <v>0</v>
      </c>
      <c r="EF189" s="146">
        <v>0</v>
      </c>
      <c r="EG189" s="146">
        <v>0</v>
      </c>
      <c r="EH189" s="146">
        <v>0</v>
      </c>
      <c r="EI189" s="146">
        <v>0</v>
      </c>
      <c r="EJ189" s="146">
        <v>0</v>
      </c>
      <c r="EK189" s="146">
        <v>0</v>
      </c>
      <c r="EL189" s="146">
        <v>0</v>
      </c>
      <c r="EM189" s="146">
        <v>0</v>
      </c>
      <c r="EN189" s="146">
        <v>0</v>
      </c>
      <c r="EO189" s="146">
        <v>0</v>
      </c>
      <c r="EP189" s="146">
        <v>0</v>
      </c>
      <c r="EQ189" s="146">
        <v>0</v>
      </c>
      <c r="ER189" s="146">
        <v>0</v>
      </c>
      <c r="ES189" s="146">
        <v>0</v>
      </c>
      <c r="ET189" s="146">
        <v>0</v>
      </c>
      <c r="EU189" s="146">
        <v>0</v>
      </c>
      <c r="EV189" s="146">
        <v>0</v>
      </c>
      <c r="EW189" s="146">
        <v>0</v>
      </c>
      <c r="EX189" s="146">
        <v>0</v>
      </c>
      <c r="EY189" s="146">
        <v>0</v>
      </c>
      <c r="EZ189" s="146">
        <v>0</v>
      </c>
      <c r="FA189" s="146">
        <v>0</v>
      </c>
      <c r="FB189" s="146">
        <v>0</v>
      </c>
      <c r="FC189" s="146">
        <v>0</v>
      </c>
      <c r="FD189" s="146">
        <v>0</v>
      </c>
      <c r="FE189" s="146">
        <v>0</v>
      </c>
      <c r="FF189" s="146">
        <v>0</v>
      </c>
      <c r="FG189" s="146">
        <v>0</v>
      </c>
      <c r="FH189" s="146">
        <v>0</v>
      </c>
      <c r="FI189" s="146">
        <v>0</v>
      </c>
      <c r="FJ189" s="146">
        <v>0</v>
      </c>
      <c r="FK189" s="146">
        <v>0</v>
      </c>
      <c r="FL189" s="146">
        <v>0</v>
      </c>
      <c r="FM189" s="146">
        <v>0</v>
      </c>
      <c r="FN189" s="146">
        <v>0</v>
      </c>
      <c r="FO189" s="146">
        <v>0</v>
      </c>
      <c r="FP189" s="146">
        <v>0</v>
      </c>
      <c r="FQ189" s="146">
        <v>0</v>
      </c>
      <c r="FR189" s="146">
        <v>0</v>
      </c>
      <c r="FS189" s="146">
        <v>0</v>
      </c>
      <c r="FT189" s="146">
        <v>0</v>
      </c>
      <c r="FU189" s="146">
        <v>0</v>
      </c>
      <c r="FV189" s="146">
        <v>0</v>
      </c>
      <c r="FW189" s="146">
        <v>0</v>
      </c>
      <c r="FX189" s="146">
        <v>0</v>
      </c>
      <c r="FY189" s="146">
        <v>0</v>
      </c>
      <c r="FZ189" s="146">
        <v>0</v>
      </c>
      <c r="GA189" s="146">
        <v>0</v>
      </c>
      <c r="GB189" s="146">
        <v>0</v>
      </c>
      <c r="GC189" s="146">
        <v>0</v>
      </c>
      <c r="GD189" s="146">
        <v>0</v>
      </c>
      <c r="GE189" s="146">
        <v>0</v>
      </c>
      <c r="GF189" s="146">
        <v>0</v>
      </c>
      <c r="GG189" s="146">
        <v>0</v>
      </c>
      <c r="GH189" s="146">
        <v>0</v>
      </c>
      <c r="GI189" s="146">
        <v>0</v>
      </c>
      <c r="GJ189" s="146">
        <v>0</v>
      </c>
      <c r="GK189" s="146">
        <v>0</v>
      </c>
      <c r="GL189" s="146">
        <v>0</v>
      </c>
      <c r="GM189" s="146">
        <v>0</v>
      </c>
      <c r="GN189" s="146">
        <v>0</v>
      </c>
      <c r="GO189" s="146">
        <v>0</v>
      </c>
      <c r="GP189" s="146">
        <v>0</v>
      </c>
      <c r="GQ189" s="146">
        <v>0</v>
      </c>
      <c r="GR189" s="146">
        <v>0</v>
      </c>
      <c r="GS189" s="146">
        <v>0</v>
      </c>
      <c r="GT189" s="146">
        <v>0</v>
      </c>
      <c r="GU189" s="146">
        <v>0</v>
      </c>
      <c r="GV189" s="146">
        <v>0</v>
      </c>
      <c r="GW189" s="146">
        <v>0</v>
      </c>
      <c r="GX189" s="146">
        <v>0</v>
      </c>
      <c r="GY189" s="146">
        <v>0</v>
      </c>
      <c r="GZ189" s="146">
        <v>0</v>
      </c>
      <c r="HA189" s="146">
        <v>0</v>
      </c>
      <c r="HB189" s="146">
        <v>0</v>
      </c>
      <c r="HC189" s="146">
        <v>0</v>
      </c>
      <c r="HD189" s="146">
        <v>0</v>
      </c>
      <c r="HE189" s="146">
        <v>0</v>
      </c>
      <c r="HF189" s="146">
        <v>0</v>
      </c>
      <c r="HG189" s="146">
        <v>0</v>
      </c>
      <c r="HH189" s="146">
        <v>0</v>
      </c>
      <c r="HI189" s="146">
        <v>0</v>
      </c>
      <c r="HJ189" s="146">
        <v>0</v>
      </c>
      <c r="HK189" s="146">
        <v>0</v>
      </c>
      <c r="HL189" s="146">
        <v>0</v>
      </c>
      <c r="HM189" s="146">
        <v>0</v>
      </c>
      <c r="HN189" s="146">
        <v>0</v>
      </c>
      <c r="HO189" s="146">
        <v>0</v>
      </c>
      <c r="HP189" s="146">
        <v>0</v>
      </c>
      <c r="HQ189" s="146">
        <v>0</v>
      </c>
      <c r="HR189" s="146">
        <v>0</v>
      </c>
      <c r="HS189" s="146">
        <v>0</v>
      </c>
      <c r="HT189" s="146">
        <v>0</v>
      </c>
      <c r="HU189" s="151"/>
      <c r="HV189" s="146">
        <v>0</v>
      </c>
      <c r="HW189" s="151"/>
      <c r="HX189" s="151"/>
      <c r="HY189" s="151"/>
      <c r="HZ189" s="151"/>
      <c r="IA189" s="151"/>
      <c r="IB189" s="151"/>
      <c r="IC189" s="151"/>
      <c r="ID189" s="151"/>
      <c r="IE189" s="151"/>
      <c r="IF189" s="151"/>
      <c r="IG189" s="151"/>
      <c r="IH189" s="151"/>
      <c r="II189" s="151"/>
      <c r="IJ189" s="151"/>
      <c r="IK189" s="151"/>
      <c r="IL189" s="151"/>
      <c r="IM189" s="151"/>
      <c r="IN189" s="151"/>
      <c r="IO189" s="151"/>
      <c r="IP189" s="151"/>
      <c r="IQ189" s="151"/>
      <c r="IR189" s="151"/>
      <c r="IS189" s="151"/>
      <c r="IT189" s="151"/>
      <c r="IU189" s="151"/>
      <c r="IV189" s="151"/>
      <c r="IW189" s="151"/>
      <c r="IX189" s="151"/>
      <c r="IY189" s="151"/>
      <c r="IZ189" s="151"/>
      <c r="JA189" s="151"/>
      <c r="JB189" s="151"/>
      <c r="JC189" s="151"/>
      <c r="JD189" s="151"/>
      <c r="JE189" s="151"/>
      <c r="JF189" s="151"/>
      <c r="JG189" s="151"/>
      <c r="JH189" s="151"/>
      <c r="JI189" s="151"/>
      <c r="JJ189" s="151"/>
      <c r="JK189" s="151"/>
      <c r="JL189" s="151"/>
      <c r="JM189" s="151"/>
      <c r="JN189" s="151"/>
      <c r="JO189" s="151"/>
      <c r="JP189" s="151"/>
      <c r="JQ189" s="151"/>
      <c r="JR189" s="151"/>
      <c r="JS189" s="151"/>
      <c r="JT189" s="151"/>
      <c r="JU189" s="151"/>
      <c r="JV189" s="151"/>
      <c r="JW189" s="151"/>
      <c r="JX189" s="151"/>
      <c r="JY189" s="151"/>
      <c r="JZ189" s="151"/>
      <c r="KA189" s="151"/>
      <c r="KB189" s="151"/>
      <c r="KC189" s="151"/>
      <c r="KD189" s="151"/>
      <c r="KE189" s="151"/>
      <c r="KF189" s="151"/>
      <c r="KG189" s="151"/>
      <c r="KH189" s="151"/>
      <c r="KI189" s="151"/>
      <c r="KJ189" s="151"/>
      <c r="KK189" s="151"/>
      <c r="KL189" s="151"/>
      <c r="KM189" s="151"/>
      <c r="KN189" s="151"/>
      <c r="KO189" s="151"/>
      <c r="KP189" s="151"/>
      <c r="KQ189" s="151"/>
      <c r="KR189" s="151"/>
      <c r="KS189" s="151"/>
      <c r="KT189" s="151"/>
      <c r="KU189" s="151"/>
      <c r="KV189" s="151"/>
      <c r="KW189" s="151"/>
      <c r="KX189" s="151"/>
      <c r="KY189" s="151"/>
      <c r="KZ189" s="151"/>
      <c r="LA189" s="151"/>
      <c r="LB189" s="151"/>
      <c r="LC189" s="151"/>
      <c r="LD189" s="151"/>
      <c r="LE189" s="151"/>
    </row>
    <row r="190" spans="1:317" x14ac:dyDescent="0.2">
      <c r="A190" s="179" t="s">
        <v>849</v>
      </c>
      <c r="B190" s="180" t="s">
        <v>1089</v>
      </c>
      <c r="C190" s="181"/>
      <c r="D190" s="182">
        <v>0</v>
      </c>
      <c r="E190" s="182">
        <v>0</v>
      </c>
      <c r="F190" s="183" t="s">
        <v>1314</v>
      </c>
      <c r="G190" s="183">
        <v>0</v>
      </c>
      <c r="H190" s="183">
        <v>0</v>
      </c>
      <c r="I190" s="183">
        <v>0</v>
      </c>
      <c r="J190" s="183">
        <v>0</v>
      </c>
      <c r="K190" s="183" t="s">
        <v>1368</v>
      </c>
      <c r="L190" s="183">
        <v>0</v>
      </c>
      <c r="M190" s="183">
        <v>0</v>
      </c>
      <c r="N190" s="183" t="s">
        <v>881</v>
      </c>
      <c r="O190" s="183">
        <v>0</v>
      </c>
      <c r="P190" s="183">
        <v>0</v>
      </c>
      <c r="Q190" s="183"/>
      <c r="R190" s="183"/>
      <c r="S190" s="183"/>
      <c r="T190" s="183"/>
      <c r="U190" s="183"/>
      <c r="V190" s="183">
        <v>0</v>
      </c>
      <c r="W190" s="183">
        <v>0</v>
      </c>
      <c r="X190" s="183">
        <v>0</v>
      </c>
      <c r="Y190" s="184">
        <v>0</v>
      </c>
      <c r="Z190" s="184">
        <v>0</v>
      </c>
      <c r="AA190" s="184">
        <v>0</v>
      </c>
      <c r="AB190" s="185" t="s">
        <v>615</v>
      </c>
      <c r="AC190" s="185" t="s">
        <v>615</v>
      </c>
      <c r="AD190" s="186" t="s">
        <v>881</v>
      </c>
      <c r="AE190" s="186" t="s">
        <v>858</v>
      </c>
      <c r="AF190" s="187">
        <v>7</v>
      </c>
      <c r="AG190" s="187">
        <v>3</v>
      </c>
      <c r="AH190" s="187">
        <v>4</v>
      </c>
      <c r="AI190" s="188">
        <v>1</v>
      </c>
      <c r="AJ190" s="188" t="s">
        <v>615</v>
      </c>
      <c r="AK190" s="187" t="s">
        <v>1738</v>
      </c>
      <c r="AL190" s="87" t="s">
        <v>615</v>
      </c>
      <c r="AM190" s="189"/>
      <c r="AN190" s="187" t="s">
        <v>615</v>
      </c>
      <c r="AO190" s="13" t="s">
        <v>615</v>
      </c>
      <c r="AP190" s="187">
        <v>0</v>
      </c>
      <c r="AQ190" s="187">
        <v>0</v>
      </c>
      <c r="AR190" s="190">
        <v>0</v>
      </c>
      <c r="AS190" s="190">
        <v>0</v>
      </c>
      <c r="AT190" s="190">
        <v>0</v>
      </c>
      <c r="AU190" s="187">
        <v>0</v>
      </c>
      <c r="AV190" s="187">
        <v>0</v>
      </c>
      <c r="AW190" s="191"/>
      <c r="AX190" s="192"/>
      <c r="AY190" s="193">
        <v>42666</v>
      </c>
      <c r="AZ190" s="193"/>
      <c r="BA190" s="193"/>
      <c r="BB190" s="194"/>
      <c r="BC190" s="194"/>
      <c r="BD190" s="195"/>
      <c r="BE190" s="195" t="s">
        <v>532</v>
      </c>
      <c r="BF190" s="195"/>
      <c r="BG190" s="195">
        <v>144</v>
      </c>
      <c r="BH190" s="196" t="s">
        <v>547</v>
      </c>
      <c r="BI190" s="197">
        <v>1</v>
      </c>
      <c r="BJ190" s="198"/>
      <c r="BK190" s="199">
        <v>0</v>
      </c>
      <c r="BL190" s="13">
        <v>0</v>
      </c>
      <c r="BM190" s="13">
        <v>0</v>
      </c>
      <c r="BN190" s="13" t="s">
        <v>616</v>
      </c>
      <c r="BO190" s="13" t="s">
        <v>616</v>
      </c>
      <c r="BP190" s="200">
        <v>0</v>
      </c>
      <c r="BQ190" s="201"/>
      <c r="BR190" s="202"/>
      <c r="BS190" s="187">
        <v>1000000000</v>
      </c>
      <c r="BT190" s="203">
        <v>0</v>
      </c>
      <c r="BU190" s="204">
        <v>0</v>
      </c>
      <c r="BV190" s="203">
        <v>0</v>
      </c>
      <c r="BW190" s="205">
        <v>0</v>
      </c>
      <c r="BX190" s="205">
        <v>0</v>
      </c>
      <c r="BY190" s="205">
        <v>0</v>
      </c>
      <c r="BZ190" s="203">
        <v>0</v>
      </c>
      <c r="CA190" s="203">
        <v>0</v>
      </c>
      <c r="CB190" s="203">
        <v>0</v>
      </c>
      <c r="CC190" s="204">
        <v>0</v>
      </c>
      <c r="CD190" s="203">
        <v>0</v>
      </c>
      <c r="CE190" s="203">
        <v>0</v>
      </c>
      <c r="CF190" s="13">
        <v>0</v>
      </c>
      <c r="CG190" s="206">
        <v>0</v>
      </c>
      <c r="CH190" s="207">
        <v>0</v>
      </c>
      <c r="CI190" s="201"/>
      <c r="CJ190" s="208"/>
      <c r="CK190" s="209" t="s">
        <v>615</v>
      </c>
      <c r="CL190" s="210" t="s">
        <v>615</v>
      </c>
      <c r="CM190" s="207">
        <v>0</v>
      </c>
      <c r="CN190" s="207">
        <v>0</v>
      </c>
      <c r="CO190" s="204">
        <v>0</v>
      </c>
      <c r="CP190" s="204">
        <v>0</v>
      </c>
      <c r="CQ190" s="211"/>
      <c r="CR190" s="204">
        <v>1</v>
      </c>
      <c r="CS190" s="212">
        <v>42558</v>
      </c>
      <c r="CT190" s="212">
        <v>42780</v>
      </c>
      <c r="CU190" s="213">
        <v>42780</v>
      </c>
      <c r="CV190" s="214">
        <v>42829</v>
      </c>
      <c r="CW190" s="214" t="s">
        <v>615</v>
      </c>
      <c r="CX190" s="214" t="s">
        <v>615</v>
      </c>
      <c r="CY190" s="204">
        <v>1</v>
      </c>
      <c r="CZ190" s="204">
        <v>0.97959183673469385</v>
      </c>
      <c r="DA190" s="203">
        <v>0</v>
      </c>
      <c r="DB190" s="204">
        <v>0.97959183673469385</v>
      </c>
      <c r="DC190" s="204">
        <v>0</v>
      </c>
      <c r="DD190" s="204">
        <v>0</v>
      </c>
      <c r="DE190" s="204">
        <v>0</v>
      </c>
      <c r="DF190" s="215">
        <v>0</v>
      </c>
      <c r="DG190" s="13" t="s">
        <v>615</v>
      </c>
      <c r="DH190" s="86">
        <v>188</v>
      </c>
      <c r="DI190" s="86"/>
      <c r="DJ190" s="86">
        <v>184</v>
      </c>
      <c r="DK190" s="86" t="s">
        <v>1643</v>
      </c>
      <c r="DL190" s="86" t="e">
        <v>#N/A</v>
      </c>
      <c r="DM190" s="86" t="e">
        <v>#N/A</v>
      </c>
      <c r="DN190" s="86" t="e">
        <v>#N/A</v>
      </c>
      <c r="DO190" s="86">
        <v>346</v>
      </c>
      <c r="DP190" s="86">
        <v>5</v>
      </c>
      <c r="DQ190" s="86">
        <v>49</v>
      </c>
      <c r="DR190" s="152">
        <v>0</v>
      </c>
      <c r="DS190" s="152">
        <v>0</v>
      </c>
      <c r="DT190" s="152">
        <v>0</v>
      </c>
      <c r="DU190" s="152">
        <v>0</v>
      </c>
      <c r="DV190" s="152">
        <v>0</v>
      </c>
      <c r="DW190" s="152">
        <v>0</v>
      </c>
      <c r="DX190" s="152">
        <v>0</v>
      </c>
      <c r="DY190" s="152">
        <v>0</v>
      </c>
      <c r="DZ190" s="152">
        <v>0</v>
      </c>
      <c r="EA190" s="152">
        <v>0</v>
      </c>
      <c r="EB190" s="152">
        <v>0</v>
      </c>
      <c r="EC190" s="152">
        <v>0</v>
      </c>
      <c r="ED190" s="152">
        <v>0</v>
      </c>
      <c r="EE190" s="152">
        <v>0</v>
      </c>
      <c r="EF190" s="152">
        <v>0</v>
      </c>
      <c r="EG190" s="152">
        <v>0</v>
      </c>
      <c r="EH190" s="152">
        <v>0</v>
      </c>
      <c r="EI190" s="152">
        <v>0</v>
      </c>
      <c r="EJ190" s="152">
        <v>0</v>
      </c>
      <c r="EK190" s="152">
        <v>0</v>
      </c>
      <c r="EL190" s="152">
        <v>0</v>
      </c>
      <c r="EM190" s="152">
        <v>0</v>
      </c>
      <c r="EN190" s="152">
        <v>0</v>
      </c>
      <c r="EO190" s="152">
        <v>0</v>
      </c>
      <c r="EP190" s="152">
        <v>0</v>
      </c>
      <c r="EQ190" s="152">
        <v>0</v>
      </c>
      <c r="ER190" s="152">
        <v>0</v>
      </c>
      <c r="ES190" s="152">
        <v>0</v>
      </c>
      <c r="ET190" s="152">
        <v>0</v>
      </c>
      <c r="EU190" s="152">
        <v>0</v>
      </c>
      <c r="EV190" s="152">
        <v>0</v>
      </c>
      <c r="EW190" s="152">
        <v>0</v>
      </c>
      <c r="EX190" s="152">
        <v>0</v>
      </c>
      <c r="EY190" s="152">
        <v>0</v>
      </c>
      <c r="EZ190" s="152">
        <v>0</v>
      </c>
      <c r="FA190" s="152">
        <v>0</v>
      </c>
      <c r="FB190" s="152">
        <v>0</v>
      </c>
      <c r="FC190" s="152">
        <v>0</v>
      </c>
      <c r="FD190" s="152">
        <v>0</v>
      </c>
      <c r="FE190" s="152">
        <v>0</v>
      </c>
      <c r="FF190" s="152">
        <v>0</v>
      </c>
      <c r="FG190" s="152">
        <v>0</v>
      </c>
      <c r="FH190" s="152">
        <v>0</v>
      </c>
      <c r="FI190" s="152">
        <v>0</v>
      </c>
      <c r="FJ190" s="152">
        <v>0</v>
      </c>
      <c r="FK190" s="152">
        <v>0</v>
      </c>
      <c r="FL190" s="152">
        <v>0</v>
      </c>
      <c r="FM190" s="152">
        <v>0</v>
      </c>
      <c r="FN190" s="152">
        <v>0</v>
      </c>
      <c r="FO190" s="152">
        <v>0</v>
      </c>
      <c r="FP190" s="152">
        <v>0</v>
      </c>
      <c r="FQ190" s="152">
        <v>0</v>
      </c>
      <c r="FR190" s="152">
        <v>0</v>
      </c>
      <c r="FS190" s="152">
        <v>0</v>
      </c>
      <c r="FT190" s="152">
        <v>0</v>
      </c>
      <c r="FU190" s="152">
        <v>0</v>
      </c>
      <c r="FV190" s="152">
        <v>0</v>
      </c>
      <c r="FW190" s="152">
        <v>0</v>
      </c>
      <c r="FX190" s="152">
        <v>0</v>
      </c>
      <c r="FY190" s="152">
        <v>0</v>
      </c>
      <c r="FZ190" s="152">
        <v>0</v>
      </c>
      <c r="GA190" s="152">
        <v>0</v>
      </c>
      <c r="GB190" s="152">
        <v>0</v>
      </c>
      <c r="GC190" s="152">
        <v>0</v>
      </c>
      <c r="GD190" s="152">
        <v>0</v>
      </c>
      <c r="GE190" s="152">
        <v>0</v>
      </c>
      <c r="GF190" s="152">
        <v>0</v>
      </c>
      <c r="GG190" s="152">
        <v>0</v>
      </c>
      <c r="GH190" s="152">
        <v>0</v>
      </c>
      <c r="GI190" s="152">
        <v>0</v>
      </c>
      <c r="GJ190" s="152">
        <v>0</v>
      </c>
      <c r="GK190" s="152">
        <v>0</v>
      </c>
      <c r="GL190" s="152">
        <v>0</v>
      </c>
      <c r="GM190" s="152">
        <v>0</v>
      </c>
      <c r="GN190" s="152">
        <v>0</v>
      </c>
      <c r="GO190" s="152">
        <v>0</v>
      </c>
      <c r="GP190" s="152">
        <v>0</v>
      </c>
      <c r="GQ190" s="152">
        <v>0</v>
      </c>
      <c r="GR190" s="152">
        <v>0</v>
      </c>
      <c r="GS190" s="152">
        <v>0</v>
      </c>
      <c r="GT190" s="152">
        <v>0</v>
      </c>
      <c r="GU190" s="152">
        <v>0</v>
      </c>
      <c r="GV190" s="152">
        <v>0</v>
      </c>
      <c r="GW190" s="152">
        <v>0</v>
      </c>
      <c r="GX190" s="152">
        <v>0</v>
      </c>
      <c r="GY190" s="152">
        <v>0</v>
      </c>
      <c r="GZ190" s="152">
        <v>0</v>
      </c>
      <c r="HA190" s="152">
        <v>0</v>
      </c>
      <c r="HB190" s="152">
        <v>0</v>
      </c>
      <c r="HC190" s="152">
        <v>0</v>
      </c>
      <c r="HD190" s="152">
        <v>0</v>
      </c>
      <c r="HE190" s="152">
        <v>0</v>
      </c>
      <c r="HF190" s="152">
        <v>0</v>
      </c>
      <c r="HG190" s="152">
        <v>0</v>
      </c>
      <c r="HH190" s="152">
        <v>0</v>
      </c>
      <c r="HI190" s="152">
        <v>0</v>
      </c>
      <c r="HJ190" s="152">
        <v>0</v>
      </c>
      <c r="HK190" s="152">
        <v>0</v>
      </c>
      <c r="HL190" s="152">
        <v>0</v>
      </c>
      <c r="HM190" s="152">
        <v>0</v>
      </c>
      <c r="HN190" s="152">
        <v>0</v>
      </c>
      <c r="HO190" s="152">
        <v>0</v>
      </c>
      <c r="HP190" s="152">
        <v>0</v>
      </c>
      <c r="HQ190" s="152">
        <v>0</v>
      </c>
      <c r="HR190" s="152">
        <v>0</v>
      </c>
      <c r="HS190" s="152">
        <v>0</v>
      </c>
      <c r="HT190" s="152">
        <v>0</v>
      </c>
      <c r="HU190" s="216"/>
      <c r="HV190" s="152">
        <v>0</v>
      </c>
      <c r="HW190" s="216"/>
      <c r="HX190" s="216"/>
      <c r="HY190" s="216"/>
      <c r="HZ190" s="216"/>
      <c r="IA190" s="216"/>
      <c r="IB190" s="216"/>
      <c r="IC190" s="216"/>
      <c r="ID190" s="216"/>
      <c r="IE190" s="216"/>
      <c r="IF190" s="216"/>
      <c r="IG190" s="216"/>
      <c r="IH190" s="216"/>
      <c r="II190" s="216"/>
      <c r="IJ190" s="216"/>
      <c r="IK190" s="216"/>
      <c r="IL190" s="216"/>
      <c r="IM190" s="216"/>
      <c r="IN190" s="216"/>
      <c r="IO190" s="216"/>
      <c r="IP190" s="216"/>
      <c r="IQ190" s="216"/>
      <c r="IR190" s="216"/>
      <c r="IS190" s="216"/>
      <c r="IT190" s="216"/>
      <c r="IU190" s="216"/>
      <c r="IV190" s="216"/>
      <c r="IW190" s="216"/>
      <c r="IX190" s="216"/>
      <c r="IY190" s="216"/>
      <c r="IZ190" s="216"/>
      <c r="JA190" s="216"/>
      <c r="JB190" s="216"/>
      <c r="JC190" s="216"/>
      <c r="JD190" s="216"/>
      <c r="JE190" s="216"/>
      <c r="JF190" s="216"/>
      <c r="JG190" s="216"/>
      <c r="JH190" s="216"/>
      <c r="JI190" s="216"/>
      <c r="JJ190" s="216"/>
      <c r="JK190" s="216"/>
      <c r="JL190" s="216"/>
      <c r="JM190" s="216"/>
      <c r="JN190" s="216"/>
      <c r="JO190" s="216"/>
      <c r="JP190" s="216"/>
      <c r="JQ190" s="216"/>
      <c r="JR190" s="216"/>
      <c r="JS190" s="216"/>
      <c r="JT190" s="216"/>
      <c r="JU190" s="216"/>
      <c r="JV190" s="216"/>
      <c r="JW190" s="216"/>
      <c r="JX190" s="216"/>
      <c r="JY190" s="216"/>
      <c r="JZ190" s="216"/>
      <c r="KA190" s="216"/>
      <c r="KB190" s="216"/>
      <c r="KC190" s="216"/>
      <c r="KD190" s="216"/>
      <c r="KE190" s="216"/>
      <c r="KF190" s="216"/>
      <c r="KG190" s="216"/>
      <c r="KH190" s="216"/>
      <c r="KI190" s="216"/>
      <c r="KJ190" s="216"/>
      <c r="KK190" s="216"/>
      <c r="KL190" s="216"/>
      <c r="KM190" s="216"/>
      <c r="KN190" s="216"/>
      <c r="KO190" s="216"/>
      <c r="KP190" s="216"/>
      <c r="KQ190" s="216"/>
      <c r="KR190" s="216"/>
      <c r="KS190" s="216"/>
      <c r="KT190" s="216"/>
      <c r="KU190" s="216"/>
      <c r="KV190" s="216"/>
      <c r="KW190" s="216"/>
      <c r="KX190" s="216"/>
      <c r="KY190" s="216"/>
      <c r="KZ190" s="216"/>
      <c r="LA190" s="216"/>
      <c r="LB190" s="216"/>
      <c r="LC190" s="216"/>
      <c r="LD190" s="216"/>
      <c r="LE190" s="216"/>
    </row>
    <row r="191" spans="1:317" x14ac:dyDescent="0.2">
      <c r="A191" s="179" t="s">
        <v>849</v>
      </c>
      <c r="B191" s="180" t="s">
        <v>1090</v>
      </c>
      <c r="C191" s="181"/>
      <c r="D191" s="182">
        <v>0</v>
      </c>
      <c r="E191" s="182">
        <v>0</v>
      </c>
      <c r="F191" s="183" t="s">
        <v>1314</v>
      </c>
      <c r="G191" s="183">
        <v>0</v>
      </c>
      <c r="H191" s="183">
        <v>0</v>
      </c>
      <c r="I191" s="183">
        <v>0</v>
      </c>
      <c r="J191" s="183">
        <v>0</v>
      </c>
      <c r="K191" s="183" t="s">
        <v>1368</v>
      </c>
      <c r="L191" s="183">
        <v>0</v>
      </c>
      <c r="M191" s="183">
        <v>0</v>
      </c>
      <c r="N191" s="183" t="s">
        <v>881</v>
      </c>
      <c r="O191" s="183">
        <v>0</v>
      </c>
      <c r="P191" s="183">
        <v>0</v>
      </c>
      <c r="Q191" s="183"/>
      <c r="R191" s="183"/>
      <c r="S191" s="183"/>
      <c r="T191" s="183"/>
      <c r="U191" s="183"/>
      <c r="V191" s="183">
        <v>0</v>
      </c>
      <c r="W191" s="183">
        <v>0</v>
      </c>
      <c r="X191" s="183">
        <v>0</v>
      </c>
      <c r="Y191" s="184">
        <v>0</v>
      </c>
      <c r="Z191" s="184">
        <v>0</v>
      </c>
      <c r="AA191" s="184">
        <v>0</v>
      </c>
      <c r="AB191" s="185" t="s">
        <v>615</v>
      </c>
      <c r="AC191" s="185" t="s">
        <v>615</v>
      </c>
      <c r="AD191" s="186" t="s">
        <v>881</v>
      </c>
      <c r="AE191" s="186" t="s">
        <v>858</v>
      </c>
      <c r="AF191" s="187">
        <v>7</v>
      </c>
      <c r="AG191" s="187">
        <v>3</v>
      </c>
      <c r="AH191" s="187">
        <v>4</v>
      </c>
      <c r="AI191" s="188">
        <v>1</v>
      </c>
      <c r="AJ191" s="188" t="s">
        <v>615</v>
      </c>
      <c r="AK191" s="187" t="s">
        <v>1738</v>
      </c>
      <c r="AL191" s="87" t="s">
        <v>615</v>
      </c>
      <c r="AM191" s="189"/>
      <c r="AN191" s="187" t="s">
        <v>615</v>
      </c>
      <c r="AO191" s="13" t="s">
        <v>615</v>
      </c>
      <c r="AP191" s="187">
        <v>0</v>
      </c>
      <c r="AQ191" s="187">
        <v>0</v>
      </c>
      <c r="AR191" s="190">
        <v>0</v>
      </c>
      <c r="AS191" s="190">
        <v>0</v>
      </c>
      <c r="AT191" s="190">
        <v>0</v>
      </c>
      <c r="AU191" s="187">
        <v>0</v>
      </c>
      <c r="AV191" s="187">
        <v>0</v>
      </c>
      <c r="AW191" s="191"/>
      <c r="AX191" s="192"/>
      <c r="AY191" s="193">
        <v>42666</v>
      </c>
      <c r="AZ191" s="193"/>
      <c r="BA191" s="193"/>
      <c r="BB191" s="194"/>
      <c r="BC191" s="194"/>
      <c r="BD191" s="195"/>
      <c r="BE191" s="195" t="s">
        <v>532</v>
      </c>
      <c r="BF191" s="195"/>
      <c r="BG191" s="195">
        <v>240</v>
      </c>
      <c r="BH191" s="196" t="s">
        <v>547</v>
      </c>
      <c r="BI191" s="197">
        <v>1</v>
      </c>
      <c r="BJ191" s="198"/>
      <c r="BK191" s="199">
        <v>0</v>
      </c>
      <c r="BL191" s="13">
        <v>0</v>
      </c>
      <c r="BM191" s="13">
        <v>0</v>
      </c>
      <c r="BN191" s="13" t="s">
        <v>616</v>
      </c>
      <c r="BO191" s="13" t="s">
        <v>616</v>
      </c>
      <c r="BP191" s="200">
        <v>0</v>
      </c>
      <c r="BQ191" s="201"/>
      <c r="BR191" s="202"/>
      <c r="BS191" s="187">
        <v>1000000000</v>
      </c>
      <c r="BT191" s="203">
        <v>0</v>
      </c>
      <c r="BU191" s="204">
        <v>0</v>
      </c>
      <c r="BV191" s="203">
        <v>0</v>
      </c>
      <c r="BW191" s="205">
        <v>0</v>
      </c>
      <c r="BX191" s="205">
        <v>0</v>
      </c>
      <c r="BY191" s="205">
        <v>0</v>
      </c>
      <c r="BZ191" s="203">
        <v>0</v>
      </c>
      <c r="CA191" s="203">
        <v>0</v>
      </c>
      <c r="CB191" s="203">
        <v>0</v>
      </c>
      <c r="CC191" s="204">
        <v>0</v>
      </c>
      <c r="CD191" s="203">
        <v>0</v>
      </c>
      <c r="CE191" s="203">
        <v>0</v>
      </c>
      <c r="CF191" s="13">
        <v>0</v>
      </c>
      <c r="CG191" s="206">
        <v>0</v>
      </c>
      <c r="CH191" s="207">
        <v>0</v>
      </c>
      <c r="CI191" s="201"/>
      <c r="CJ191" s="208"/>
      <c r="CK191" s="209" t="s">
        <v>615</v>
      </c>
      <c r="CL191" s="210" t="s">
        <v>615</v>
      </c>
      <c r="CM191" s="207">
        <v>0</v>
      </c>
      <c r="CN191" s="207">
        <v>0</v>
      </c>
      <c r="CO191" s="204">
        <v>0</v>
      </c>
      <c r="CP191" s="204">
        <v>0</v>
      </c>
      <c r="CQ191" s="211"/>
      <c r="CR191" s="204">
        <v>1</v>
      </c>
      <c r="CS191" s="212">
        <v>42558</v>
      </c>
      <c r="CT191" s="212">
        <v>42780</v>
      </c>
      <c r="CU191" s="213">
        <v>42780</v>
      </c>
      <c r="CV191" s="214">
        <v>42829</v>
      </c>
      <c r="CW191" s="214" t="s">
        <v>615</v>
      </c>
      <c r="CX191" s="214" t="s">
        <v>615</v>
      </c>
      <c r="CY191" s="204">
        <v>1</v>
      </c>
      <c r="CZ191" s="204">
        <v>0.97959183673469385</v>
      </c>
      <c r="DA191" s="203">
        <v>0</v>
      </c>
      <c r="DB191" s="204">
        <v>0.97959183673469385</v>
      </c>
      <c r="DC191" s="204">
        <v>0</v>
      </c>
      <c r="DD191" s="204">
        <v>0</v>
      </c>
      <c r="DE191" s="204">
        <v>0</v>
      </c>
      <c r="DF191" s="215">
        <v>0</v>
      </c>
      <c r="DG191" s="13" t="s">
        <v>615</v>
      </c>
      <c r="DH191" s="86">
        <v>189</v>
      </c>
      <c r="DI191" s="86"/>
      <c r="DJ191" s="86">
        <v>185</v>
      </c>
      <c r="DK191" s="86" t="s">
        <v>1644</v>
      </c>
      <c r="DL191" s="86" t="e">
        <v>#N/A</v>
      </c>
      <c r="DM191" s="86" t="e">
        <v>#N/A</v>
      </c>
      <c r="DN191" s="86" t="e">
        <v>#N/A</v>
      </c>
      <c r="DO191" s="86">
        <v>347</v>
      </c>
      <c r="DP191" s="86">
        <v>5</v>
      </c>
      <c r="DQ191" s="86">
        <v>49</v>
      </c>
      <c r="DR191" s="146">
        <v>0</v>
      </c>
      <c r="DS191" s="146">
        <v>0</v>
      </c>
      <c r="DT191" s="146">
        <v>0</v>
      </c>
      <c r="DU191" s="146">
        <v>0</v>
      </c>
      <c r="DV191" s="146">
        <v>0</v>
      </c>
      <c r="DW191" s="146">
        <v>0</v>
      </c>
      <c r="DX191" s="146">
        <v>0</v>
      </c>
      <c r="DY191" s="146">
        <v>0</v>
      </c>
      <c r="DZ191" s="146">
        <v>0</v>
      </c>
      <c r="EA191" s="146">
        <v>0</v>
      </c>
      <c r="EB191" s="146">
        <v>0</v>
      </c>
      <c r="EC191" s="146">
        <v>0</v>
      </c>
      <c r="ED191" s="146">
        <v>0</v>
      </c>
      <c r="EE191" s="146">
        <v>0</v>
      </c>
      <c r="EF191" s="146">
        <v>0</v>
      </c>
      <c r="EG191" s="146">
        <v>0</v>
      </c>
      <c r="EH191" s="146">
        <v>0</v>
      </c>
      <c r="EI191" s="146">
        <v>0</v>
      </c>
      <c r="EJ191" s="146">
        <v>0</v>
      </c>
      <c r="EK191" s="146">
        <v>0</v>
      </c>
      <c r="EL191" s="146">
        <v>0</v>
      </c>
      <c r="EM191" s="146">
        <v>0</v>
      </c>
      <c r="EN191" s="146">
        <v>0</v>
      </c>
      <c r="EO191" s="146">
        <v>0</v>
      </c>
      <c r="EP191" s="146">
        <v>0</v>
      </c>
      <c r="EQ191" s="146">
        <v>0</v>
      </c>
      <c r="ER191" s="146">
        <v>0</v>
      </c>
      <c r="ES191" s="146">
        <v>0</v>
      </c>
      <c r="ET191" s="146">
        <v>0</v>
      </c>
      <c r="EU191" s="146">
        <v>0</v>
      </c>
      <c r="EV191" s="146">
        <v>0</v>
      </c>
      <c r="EW191" s="146">
        <v>0</v>
      </c>
      <c r="EX191" s="146">
        <v>0</v>
      </c>
      <c r="EY191" s="146">
        <v>0</v>
      </c>
      <c r="EZ191" s="146">
        <v>0</v>
      </c>
      <c r="FA191" s="146">
        <v>0</v>
      </c>
      <c r="FB191" s="146">
        <v>0</v>
      </c>
      <c r="FC191" s="146">
        <v>0</v>
      </c>
      <c r="FD191" s="146">
        <v>0</v>
      </c>
      <c r="FE191" s="146">
        <v>0</v>
      </c>
      <c r="FF191" s="146">
        <v>0</v>
      </c>
      <c r="FG191" s="146">
        <v>0</v>
      </c>
      <c r="FH191" s="146">
        <v>0</v>
      </c>
      <c r="FI191" s="146">
        <v>0</v>
      </c>
      <c r="FJ191" s="146">
        <v>0</v>
      </c>
      <c r="FK191" s="146">
        <v>0</v>
      </c>
      <c r="FL191" s="146">
        <v>0</v>
      </c>
      <c r="FM191" s="146">
        <v>0</v>
      </c>
      <c r="FN191" s="146">
        <v>0</v>
      </c>
      <c r="FO191" s="146">
        <v>0</v>
      </c>
      <c r="FP191" s="146">
        <v>0</v>
      </c>
      <c r="FQ191" s="146">
        <v>0</v>
      </c>
      <c r="FR191" s="146">
        <v>0</v>
      </c>
      <c r="FS191" s="146">
        <v>0</v>
      </c>
      <c r="FT191" s="146">
        <v>0</v>
      </c>
      <c r="FU191" s="146">
        <v>0</v>
      </c>
      <c r="FV191" s="146">
        <v>0</v>
      </c>
      <c r="FW191" s="146">
        <v>0</v>
      </c>
      <c r="FX191" s="146">
        <v>0</v>
      </c>
      <c r="FY191" s="146">
        <v>0</v>
      </c>
      <c r="FZ191" s="146">
        <v>0</v>
      </c>
      <c r="GA191" s="146">
        <v>0</v>
      </c>
      <c r="GB191" s="146">
        <v>0</v>
      </c>
      <c r="GC191" s="146">
        <v>0</v>
      </c>
      <c r="GD191" s="146">
        <v>0</v>
      </c>
      <c r="GE191" s="146">
        <v>0</v>
      </c>
      <c r="GF191" s="146">
        <v>0</v>
      </c>
      <c r="GG191" s="146">
        <v>0</v>
      </c>
      <c r="GH191" s="146">
        <v>0</v>
      </c>
      <c r="GI191" s="146">
        <v>0</v>
      </c>
      <c r="GJ191" s="146">
        <v>0</v>
      </c>
      <c r="GK191" s="146">
        <v>0</v>
      </c>
      <c r="GL191" s="146">
        <v>0</v>
      </c>
      <c r="GM191" s="146">
        <v>0</v>
      </c>
      <c r="GN191" s="146">
        <v>0</v>
      </c>
      <c r="GO191" s="146">
        <v>0</v>
      </c>
      <c r="GP191" s="146">
        <v>0</v>
      </c>
      <c r="GQ191" s="146">
        <v>0</v>
      </c>
      <c r="GR191" s="146">
        <v>0</v>
      </c>
      <c r="GS191" s="146">
        <v>0</v>
      </c>
      <c r="GT191" s="146">
        <v>0</v>
      </c>
      <c r="GU191" s="146">
        <v>0</v>
      </c>
      <c r="GV191" s="146">
        <v>0</v>
      </c>
      <c r="GW191" s="146">
        <v>0</v>
      </c>
      <c r="GX191" s="146">
        <v>0</v>
      </c>
      <c r="GY191" s="146">
        <v>0</v>
      </c>
      <c r="GZ191" s="146">
        <v>0</v>
      </c>
      <c r="HA191" s="146">
        <v>0</v>
      </c>
      <c r="HB191" s="146">
        <v>0</v>
      </c>
      <c r="HC191" s="146">
        <v>0</v>
      </c>
      <c r="HD191" s="146">
        <v>0</v>
      </c>
      <c r="HE191" s="146">
        <v>0</v>
      </c>
      <c r="HF191" s="146">
        <v>0</v>
      </c>
      <c r="HG191" s="146">
        <v>0</v>
      </c>
      <c r="HH191" s="146">
        <v>0</v>
      </c>
      <c r="HI191" s="146">
        <v>0</v>
      </c>
      <c r="HJ191" s="146">
        <v>0</v>
      </c>
      <c r="HK191" s="146">
        <v>0</v>
      </c>
      <c r="HL191" s="146">
        <v>0</v>
      </c>
      <c r="HM191" s="146">
        <v>0</v>
      </c>
      <c r="HN191" s="146">
        <v>0</v>
      </c>
      <c r="HO191" s="146">
        <v>0</v>
      </c>
      <c r="HP191" s="146">
        <v>0</v>
      </c>
      <c r="HQ191" s="146">
        <v>0</v>
      </c>
      <c r="HR191" s="146">
        <v>0</v>
      </c>
      <c r="HS191" s="146">
        <v>0</v>
      </c>
      <c r="HT191" s="146">
        <v>0</v>
      </c>
      <c r="HU191" s="151"/>
      <c r="HV191" s="146">
        <v>0</v>
      </c>
      <c r="HW191" s="151"/>
      <c r="HX191" s="151"/>
      <c r="HY191" s="151"/>
      <c r="HZ191" s="151"/>
      <c r="IA191" s="151"/>
      <c r="IB191" s="151"/>
      <c r="IC191" s="151"/>
      <c r="ID191" s="151"/>
      <c r="IE191" s="151"/>
      <c r="IF191" s="151"/>
      <c r="IG191" s="151"/>
      <c r="IH191" s="151"/>
      <c r="II191" s="151"/>
      <c r="IJ191" s="151"/>
      <c r="IK191" s="151"/>
      <c r="IL191" s="151"/>
      <c r="IM191" s="151"/>
      <c r="IN191" s="151"/>
      <c r="IO191" s="151"/>
      <c r="IP191" s="151"/>
      <c r="IQ191" s="151"/>
      <c r="IR191" s="151"/>
      <c r="IS191" s="151"/>
      <c r="IT191" s="151"/>
      <c r="IU191" s="151"/>
      <c r="IV191" s="151"/>
      <c r="IW191" s="151"/>
      <c r="IX191" s="151"/>
      <c r="IY191" s="151"/>
      <c r="IZ191" s="151"/>
      <c r="JA191" s="151"/>
      <c r="JB191" s="151"/>
      <c r="JC191" s="151"/>
      <c r="JD191" s="151"/>
      <c r="JE191" s="151"/>
      <c r="JF191" s="151"/>
      <c r="JG191" s="151"/>
      <c r="JH191" s="151"/>
      <c r="JI191" s="151"/>
      <c r="JJ191" s="151"/>
      <c r="JK191" s="151"/>
      <c r="JL191" s="151"/>
      <c r="JM191" s="151"/>
      <c r="JN191" s="151"/>
      <c r="JO191" s="151"/>
      <c r="JP191" s="151"/>
      <c r="JQ191" s="151"/>
      <c r="JR191" s="151"/>
      <c r="JS191" s="151"/>
      <c r="JT191" s="151"/>
      <c r="JU191" s="151"/>
      <c r="JV191" s="151"/>
      <c r="JW191" s="151"/>
      <c r="JX191" s="151"/>
      <c r="JY191" s="151"/>
      <c r="JZ191" s="151"/>
      <c r="KA191" s="151"/>
      <c r="KB191" s="151"/>
      <c r="KC191" s="151"/>
      <c r="KD191" s="151"/>
      <c r="KE191" s="151"/>
      <c r="KF191" s="151"/>
      <c r="KG191" s="151"/>
      <c r="KH191" s="151"/>
      <c r="KI191" s="151"/>
      <c r="KJ191" s="151"/>
      <c r="KK191" s="151"/>
      <c r="KL191" s="151"/>
      <c r="KM191" s="151"/>
      <c r="KN191" s="151"/>
      <c r="KO191" s="151"/>
      <c r="KP191" s="151"/>
      <c r="KQ191" s="151"/>
      <c r="KR191" s="151"/>
      <c r="KS191" s="151"/>
      <c r="KT191" s="151"/>
      <c r="KU191" s="151"/>
      <c r="KV191" s="151"/>
      <c r="KW191" s="151"/>
      <c r="KX191" s="151"/>
      <c r="KY191" s="151"/>
      <c r="KZ191" s="151"/>
      <c r="LA191" s="151"/>
      <c r="LB191" s="151"/>
      <c r="LC191" s="151"/>
      <c r="LD191" s="151"/>
      <c r="LE191" s="151"/>
    </row>
    <row r="192" spans="1:317" x14ac:dyDescent="0.2">
      <c r="A192" s="179" t="s">
        <v>849</v>
      </c>
      <c r="B192" s="180" t="s">
        <v>1091</v>
      </c>
      <c r="C192" s="181"/>
      <c r="D192" s="182">
        <v>0</v>
      </c>
      <c r="E192" s="182">
        <v>0</v>
      </c>
      <c r="F192" s="183" t="s">
        <v>1314</v>
      </c>
      <c r="G192" s="183">
        <v>0</v>
      </c>
      <c r="H192" s="183">
        <v>0</v>
      </c>
      <c r="I192" s="183">
        <v>0</v>
      </c>
      <c r="J192" s="183">
        <v>0</v>
      </c>
      <c r="K192" s="183" t="s">
        <v>1368</v>
      </c>
      <c r="L192" s="183">
        <v>0</v>
      </c>
      <c r="M192" s="183">
        <v>0</v>
      </c>
      <c r="N192" s="183" t="s">
        <v>881</v>
      </c>
      <c r="O192" s="183">
        <v>0</v>
      </c>
      <c r="P192" s="183">
        <v>0</v>
      </c>
      <c r="Q192" s="183"/>
      <c r="R192" s="183"/>
      <c r="S192" s="183"/>
      <c r="T192" s="183"/>
      <c r="U192" s="183"/>
      <c r="V192" s="183">
        <v>0</v>
      </c>
      <c r="W192" s="183">
        <v>0</v>
      </c>
      <c r="X192" s="183">
        <v>0</v>
      </c>
      <c r="Y192" s="184">
        <v>0</v>
      </c>
      <c r="Z192" s="184">
        <v>0</v>
      </c>
      <c r="AA192" s="184">
        <v>0</v>
      </c>
      <c r="AB192" s="185" t="s">
        <v>615</v>
      </c>
      <c r="AC192" s="185" t="s">
        <v>615</v>
      </c>
      <c r="AD192" s="186" t="s">
        <v>881</v>
      </c>
      <c r="AE192" s="186" t="s">
        <v>858</v>
      </c>
      <c r="AF192" s="187">
        <v>7</v>
      </c>
      <c r="AG192" s="187">
        <v>3</v>
      </c>
      <c r="AH192" s="187">
        <v>4</v>
      </c>
      <c r="AI192" s="188">
        <v>1</v>
      </c>
      <c r="AJ192" s="188" t="s">
        <v>615</v>
      </c>
      <c r="AK192" s="187" t="s">
        <v>1738</v>
      </c>
      <c r="AL192" s="87" t="s">
        <v>615</v>
      </c>
      <c r="AM192" s="189"/>
      <c r="AN192" s="187" t="s">
        <v>615</v>
      </c>
      <c r="AO192" s="13" t="s">
        <v>615</v>
      </c>
      <c r="AP192" s="187">
        <v>0</v>
      </c>
      <c r="AQ192" s="187">
        <v>0</v>
      </c>
      <c r="AR192" s="190">
        <v>0</v>
      </c>
      <c r="AS192" s="190">
        <v>0</v>
      </c>
      <c r="AT192" s="190">
        <v>0</v>
      </c>
      <c r="AU192" s="187">
        <v>0</v>
      </c>
      <c r="AV192" s="187">
        <v>0</v>
      </c>
      <c r="AW192" s="191"/>
      <c r="AX192" s="192"/>
      <c r="AY192" s="193">
        <v>42666</v>
      </c>
      <c r="AZ192" s="193"/>
      <c r="BA192" s="193"/>
      <c r="BB192" s="194"/>
      <c r="BC192" s="194"/>
      <c r="BD192" s="195"/>
      <c r="BE192" s="195" t="s">
        <v>532</v>
      </c>
      <c r="BF192" s="195"/>
      <c r="BG192" s="195">
        <v>24</v>
      </c>
      <c r="BH192" s="196" t="s">
        <v>547</v>
      </c>
      <c r="BI192" s="197">
        <v>1</v>
      </c>
      <c r="BJ192" s="198"/>
      <c r="BK192" s="199">
        <v>0</v>
      </c>
      <c r="BL192" s="13">
        <v>0</v>
      </c>
      <c r="BM192" s="13">
        <v>0</v>
      </c>
      <c r="BN192" s="13" t="s">
        <v>616</v>
      </c>
      <c r="BO192" s="13" t="s">
        <v>616</v>
      </c>
      <c r="BP192" s="200">
        <v>0</v>
      </c>
      <c r="BQ192" s="201"/>
      <c r="BR192" s="202"/>
      <c r="BS192" s="187">
        <v>1000000000</v>
      </c>
      <c r="BT192" s="203">
        <v>0</v>
      </c>
      <c r="BU192" s="204">
        <v>0</v>
      </c>
      <c r="BV192" s="203">
        <v>0</v>
      </c>
      <c r="BW192" s="205">
        <v>0</v>
      </c>
      <c r="BX192" s="205">
        <v>0</v>
      </c>
      <c r="BY192" s="205">
        <v>0</v>
      </c>
      <c r="BZ192" s="203">
        <v>0</v>
      </c>
      <c r="CA192" s="203">
        <v>0</v>
      </c>
      <c r="CB192" s="203">
        <v>0</v>
      </c>
      <c r="CC192" s="204">
        <v>0</v>
      </c>
      <c r="CD192" s="203">
        <v>0</v>
      </c>
      <c r="CE192" s="203">
        <v>0</v>
      </c>
      <c r="CF192" s="13">
        <v>0</v>
      </c>
      <c r="CG192" s="206">
        <v>0</v>
      </c>
      <c r="CH192" s="207">
        <v>0</v>
      </c>
      <c r="CI192" s="201"/>
      <c r="CJ192" s="208"/>
      <c r="CK192" s="209" t="s">
        <v>615</v>
      </c>
      <c r="CL192" s="210" t="s">
        <v>615</v>
      </c>
      <c r="CM192" s="207">
        <v>0</v>
      </c>
      <c r="CN192" s="207">
        <v>0</v>
      </c>
      <c r="CO192" s="204">
        <v>0</v>
      </c>
      <c r="CP192" s="204">
        <v>0</v>
      </c>
      <c r="CQ192" s="211"/>
      <c r="CR192" s="204">
        <v>1</v>
      </c>
      <c r="CS192" s="212">
        <v>42558</v>
      </c>
      <c r="CT192" s="212">
        <v>42780</v>
      </c>
      <c r="CU192" s="213">
        <v>42780</v>
      </c>
      <c r="CV192" s="214">
        <v>42829</v>
      </c>
      <c r="CW192" s="214" t="s">
        <v>615</v>
      </c>
      <c r="CX192" s="214" t="s">
        <v>615</v>
      </c>
      <c r="CY192" s="204">
        <v>1</v>
      </c>
      <c r="CZ192" s="204">
        <v>0.97959183673469385</v>
      </c>
      <c r="DA192" s="203">
        <v>0</v>
      </c>
      <c r="DB192" s="204">
        <v>0.97959183673469385</v>
      </c>
      <c r="DC192" s="204">
        <v>0</v>
      </c>
      <c r="DD192" s="204">
        <v>0</v>
      </c>
      <c r="DE192" s="204">
        <v>0</v>
      </c>
      <c r="DF192" s="215">
        <v>0</v>
      </c>
      <c r="DG192" s="13" t="s">
        <v>615</v>
      </c>
      <c r="DH192" s="86">
        <v>190</v>
      </c>
      <c r="DI192" s="86"/>
      <c r="DJ192" s="86">
        <v>186</v>
      </c>
      <c r="DK192" s="86" t="s">
        <v>1645</v>
      </c>
      <c r="DL192" s="86" t="e">
        <v>#N/A</v>
      </c>
      <c r="DM192" s="86" t="e">
        <v>#N/A</v>
      </c>
      <c r="DN192" s="86" t="e">
        <v>#N/A</v>
      </c>
      <c r="DO192" s="86">
        <v>348</v>
      </c>
      <c r="DP192" s="86">
        <v>5</v>
      </c>
      <c r="DQ192" s="86">
        <v>49</v>
      </c>
      <c r="DR192" s="152">
        <v>0</v>
      </c>
      <c r="DS192" s="152">
        <v>0</v>
      </c>
      <c r="DT192" s="152">
        <v>0</v>
      </c>
      <c r="DU192" s="152">
        <v>0</v>
      </c>
      <c r="DV192" s="152">
        <v>0</v>
      </c>
      <c r="DW192" s="152">
        <v>0</v>
      </c>
      <c r="DX192" s="152">
        <v>0</v>
      </c>
      <c r="DY192" s="152">
        <v>0</v>
      </c>
      <c r="DZ192" s="152">
        <v>0</v>
      </c>
      <c r="EA192" s="152">
        <v>0</v>
      </c>
      <c r="EB192" s="152">
        <v>0</v>
      </c>
      <c r="EC192" s="152">
        <v>0</v>
      </c>
      <c r="ED192" s="152">
        <v>0</v>
      </c>
      <c r="EE192" s="152">
        <v>0</v>
      </c>
      <c r="EF192" s="152">
        <v>0</v>
      </c>
      <c r="EG192" s="152">
        <v>0</v>
      </c>
      <c r="EH192" s="152">
        <v>0</v>
      </c>
      <c r="EI192" s="152">
        <v>0</v>
      </c>
      <c r="EJ192" s="152">
        <v>0</v>
      </c>
      <c r="EK192" s="152">
        <v>0</v>
      </c>
      <c r="EL192" s="152">
        <v>0</v>
      </c>
      <c r="EM192" s="152">
        <v>0</v>
      </c>
      <c r="EN192" s="152">
        <v>0</v>
      </c>
      <c r="EO192" s="152">
        <v>0</v>
      </c>
      <c r="EP192" s="152">
        <v>0</v>
      </c>
      <c r="EQ192" s="152">
        <v>0</v>
      </c>
      <c r="ER192" s="152">
        <v>0</v>
      </c>
      <c r="ES192" s="152">
        <v>0</v>
      </c>
      <c r="ET192" s="152">
        <v>0</v>
      </c>
      <c r="EU192" s="152">
        <v>0</v>
      </c>
      <c r="EV192" s="152">
        <v>0</v>
      </c>
      <c r="EW192" s="152">
        <v>0</v>
      </c>
      <c r="EX192" s="152">
        <v>0</v>
      </c>
      <c r="EY192" s="152">
        <v>0</v>
      </c>
      <c r="EZ192" s="152">
        <v>0</v>
      </c>
      <c r="FA192" s="152">
        <v>0</v>
      </c>
      <c r="FB192" s="152">
        <v>0</v>
      </c>
      <c r="FC192" s="152">
        <v>0</v>
      </c>
      <c r="FD192" s="152">
        <v>0</v>
      </c>
      <c r="FE192" s="152">
        <v>0</v>
      </c>
      <c r="FF192" s="152">
        <v>0</v>
      </c>
      <c r="FG192" s="152">
        <v>0</v>
      </c>
      <c r="FH192" s="152">
        <v>0</v>
      </c>
      <c r="FI192" s="152">
        <v>0</v>
      </c>
      <c r="FJ192" s="152">
        <v>0</v>
      </c>
      <c r="FK192" s="152">
        <v>0</v>
      </c>
      <c r="FL192" s="152">
        <v>0</v>
      </c>
      <c r="FM192" s="152">
        <v>0</v>
      </c>
      <c r="FN192" s="152">
        <v>0</v>
      </c>
      <c r="FO192" s="152">
        <v>0</v>
      </c>
      <c r="FP192" s="152">
        <v>0</v>
      </c>
      <c r="FQ192" s="152">
        <v>0</v>
      </c>
      <c r="FR192" s="152">
        <v>0</v>
      </c>
      <c r="FS192" s="152">
        <v>0</v>
      </c>
      <c r="FT192" s="152">
        <v>0</v>
      </c>
      <c r="FU192" s="152">
        <v>0</v>
      </c>
      <c r="FV192" s="152">
        <v>0</v>
      </c>
      <c r="FW192" s="152">
        <v>0</v>
      </c>
      <c r="FX192" s="152">
        <v>0</v>
      </c>
      <c r="FY192" s="152">
        <v>0</v>
      </c>
      <c r="FZ192" s="152">
        <v>0</v>
      </c>
      <c r="GA192" s="152">
        <v>0</v>
      </c>
      <c r="GB192" s="152">
        <v>0</v>
      </c>
      <c r="GC192" s="152">
        <v>0</v>
      </c>
      <c r="GD192" s="152">
        <v>0</v>
      </c>
      <c r="GE192" s="152">
        <v>0</v>
      </c>
      <c r="GF192" s="152">
        <v>0</v>
      </c>
      <c r="GG192" s="152">
        <v>0</v>
      </c>
      <c r="GH192" s="152">
        <v>0</v>
      </c>
      <c r="GI192" s="152">
        <v>0</v>
      </c>
      <c r="GJ192" s="152">
        <v>0</v>
      </c>
      <c r="GK192" s="152">
        <v>0</v>
      </c>
      <c r="GL192" s="152">
        <v>0</v>
      </c>
      <c r="GM192" s="152">
        <v>0</v>
      </c>
      <c r="GN192" s="152">
        <v>0</v>
      </c>
      <c r="GO192" s="152">
        <v>0</v>
      </c>
      <c r="GP192" s="152">
        <v>0</v>
      </c>
      <c r="GQ192" s="152">
        <v>0</v>
      </c>
      <c r="GR192" s="152">
        <v>0</v>
      </c>
      <c r="GS192" s="152">
        <v>0</v>
      </c>
      <c r="GT192" s="152">
        <v>0</v>
      </c>
      <c r="GU192" s="152">
        <v>0</v>
      </c>
      <c r="GV192" s="152">
        <v>0</v>
      </c>
      <c r="GW192" s="152">
        <v>0</v>
      </c>
      <c r="GX192" s="152">
        <v>0</v>
      </c>
      <c r="GY192" s="152">
        <v>0</v>
      </c>
      <c r="GZ192" s="152">
        <v>0</v>
      </c>
      <c r="HA192" s="152">
        <v>0</v>
      </c>
      <c r="HB192" s="152">
        <v>0</v>
      </c>
      <c r="HC192" s="152">
        <v>0</v>
      </c>
      <c r="HD192" s="152">
        <v>0</v>
      </c>
      <c r="HE192" s="152">
        <v>0</v>
      </c>
      <c r="HF192" s="152">
        <v>0</v>
      </c>
      <c r="HG192" s="152">
        <v>0</v>
      </c>
      <c r="HH192" s="152">
        <v>0</v>
      </c>
      <c r="HI192" s="152">
        <v>0</v>
      </c>
      <c r="HJ192" s="152">
        <v>0</v>
      </c>
      <c r="HK192" s="152">
        <v>0</v>
      </c>
      <c r="HL192" s="152">
        <v>0</v>
      </c>
      <c r="HM192" s="152">
        <v>0</v>
      </c>
      <c r="HN192" s="152">
        <v>0</v>
      </c>
      <c r="HO192" s="152">
        <v>0</v>
      </c>
      <c r="HP192" s="152">
        <v>0</v>
      </c>
      <c r="HQ192" s="152">
        <v>0</v>
      </c>
      <c r="HR192" s="152">
        <v>0</v>
      </c>
      <c r="HS192" s="152">
        <v>0</v>
      </c>
      <c r="HT192" s="152">
        <v>0</v>
      </c>
      <c r="HU192" s="216"/>
      <c r="HV192" s="152">
        <v>0</v>
      </c>
      <c r="HW192" s="216"/>
      <c r="HX192" s="216"/>
      <c r="HY192" s="216"/>
      <c r="HZ192" s="216"/>
      <c r="IA192" s="216"/>
      <c r="IB192" s="216"/>
      <c r="IC192" s="216"/>
      <c r="ID192" s="216"/>
      <c r="IE192" s="216"/>
      <c r="IF192" s="216"/>
      <c r="IG192" s="216"/>
      <c r="IH192" s="216"/>
      <c r="II192" s="216"/>
      <c r="IJ192" s="216"/>
      <c r="IK192" s="216"/>
      <c r="IL192" s="216"/>
      <c r="IM192" s="216"/>
      <c r="IN192" s="216"/>
      <c r="IO192" s="216"/>
      <c r="IP192" s="216"/>
      <c r="IQ192" s="216"/>
      <c r="IR192" s="216"/>
      <c r="IS192" s="216"/>
      <c r="IT192" s="216"/>
      <c r="IU192" s="216"/>
      <c r="IV192" s="216"/>
      <c r="IW192" s="216"/>
      <c r="IX192" s="216"/>
      <c r="IY192" s="216"/>
      <c r="IZ192" s="216"/>
      <c r="JA192" s="216"/>
      <c r="JB192" s="216"/>
      <c r="JC192" s="216"/>
      <c r="JD192" s="216"/>
      <c r="JE192" s="216"/>
      <c r="JF192" s="216"/>
      <c r="JG192" s="216"/>
      <c r="JH192" s="216"/>
      <c r="JI192" s="216"/>
      <c r="JJ192" s="216"/>
      <c r="JK192" s="216"/>
      <c r="JL192" s="216"/>
      <c r="JM192" s="216"/>
      <c r="JN192" s="216"/>
      <c r="JO192" s="216"/>
      <c r="JP192" s="216"/>
      <c r="JQ192" s="216"/>
      <c r="JR192" s="216"/>
      <c r="JS192" s="216"/>
      <c r="JT192" s="216"/>
      <c r="JU192" s="216"/>
      <c r="JV192" s="216"/>
      <c r="JW192" s="216"/>
      <c r="JX192" s="216"/>
      <c r="JY192" s="216"/>
      <c r="JZ192" s="216"/>
      <c r="KA192" s="216"/>
      <c r="KB192" s="216"/>
      <c r="KC192" s="216"/>
      <c r="KD192" s="216"/>
      <c r="KE192" s="216"/>
      <c r="KF192" s="216"/>
      <c r="KG192" s="216"/>
      <c r="KH192" s="216"/>
      <c r="KI192" s="216"/>
      <c r="KJ192" s="216"/>
      <c r="KK192" s="216"/>
      <c r="KL192" s="216"/>
      <c r="KM192" s="216"/>
      <c r="KN192" s="216"/>
      <c r="KO192" s="216"/>
      <c r="KP192" s="216"/>
      <c r="KQ192" s="216"/>
      <c r="KR192" s="216"/>
      <c r="KS192" s="216"/>
      <c r="KT192" s="216"/>
      <c r="KU192" s="216"/>
      <c r="KV192" s="216"/>
      <c r="KW192" s="216"/>
      <c r="KX192" s="216"/>
      <c r="KY192" s="216"/>
      <c r="KZ192" s="216"/>
      <c r="LA192" s="216"/>
      <c r="LB192" s="216"/>
      <c r="LC192" s="216"/>
      <c r="LD192" s="216"/>
      <c r="LE192" s="216"/>
    </row>
    <row r="193" spans="1:317" x14ac:dyDescent="0.2">
      <c r="A193" s="179" t="s">
        <v>849</v>
      </c>
      <c r="B193" s="180" t="s">
        <v>1092</v>
      </c>
      <c r="C193" s="181"/>
      <c r="D193" s="182">
        <v>0</v>
      </c>
      <c r="E193" s="182">
        <v>0</v>
      </c>
      <c r="F193" s="183" t="s">
        <v>1314</v>
      </c>
      <c r="G193" s="183">
        <v>0</v>
      </c>
      <c r="H193" s="183">
        <v>0</v>
      </c>
      <c r="I193" s="183">
        <v>0</v>
      </c>
      <c r="J193" s="183">
        <v>0</v>
      </c>
      <c r="K193" s="183" t="s">
        <v>1368</v>
      </c>
      <c r="L193" s="183">
        <v>0</v>
      </c>
      <c r="M193" s="183">
        <v>0</v>
      </c>
      <c r="N193" s="183" t="s">
        <v>881</v>
      </c>
      <c r="O193" s="183">
        <v>0</v>
      </c>
      <c r="P193" s="183">
        <v>0</v>
      </c>
      <c r="Q193" s="183"/>
      <c r="R193" s="183"/>
      <c r="S193" s="183"/>
      <c r="T193" s="183"/>
      <c r="U193" s="183"/>
      <c r="V193" s="183">
        <v>0</v>
      </c>
      <c r="W193" s="183">
        <v>0</v>
      </c>
      <c r="X193" s="183">
        <v>0</v>
      </c>
      <c r="Y193" s="184">
        <v>0</v>
      </c>
      <c r="Z193" s="184">
        <v>0</v>
      </c>
      <c r="AA193" s="184">
        <v>0</v>
      </c>
      <c r="AB193" s="185" t="s">
        <v>615</v>
      </c>
      <c r="AC193" s="185" t="s">
        <v>615</v>
      </c>
      <c r="AD193" s="186" t="s">
        <v>881</v>
      </c>
      <c r="AE193" s="186" t="s">
        <v>858</v>
      </c>
      <c r="AF193" s="187">
        <v>7</v>
      </c>
      <c r="AG193" s="187">
        <v>3</v>
      </c>
      <c r="AH193" s="187">
        <v>4</v>
      </c>
      <c r="AI193" s="188">
        <v>1</v>
      </c>
      <c r="AJ193" s="188" t="s">
        <v>615</v>
      </c>
      <c r="AK193" s="187" t="s">
        <v>1738</v>
      </c>
      <c r="AL193" s="87" t="s">
        <v>615</v>
      </c>
      <c r="AM193" s="189"/>
      <c r="AN193" s="187" t="s">
        <v>615</v>
      </c>
      <c r="AO193" s="13" t="s">
        <v>615</v>
      </c>
      <c r="AP193" s="187">
        <v>0</v>
      </c>
      <c r="AQ193" s="187">
        <v>0</v>
      </c>
      <c r="AR193" s="190">
        <v>0</v>
      </c>
      <c r="AS193" s="190">
        <v>0</v>
      </c>
      <c r="AT193" s="190">
        <v>0</v>
      </c>
      <c r="AU193" s="187">
        <v>0</v>
      </c>
      <c r="AV193" s="187">
        <v>0</v>
      </c>
      <c r="AW193" s="191"/>
      <c r="AX193" s="192"/>
      <c r="AY193" s="193">
        <v>42666</v>
      </c>
      <c r="AZ193" s="193"/>
      <c r="BA193" s="193"/>
      <c r="BB193" s="194"/>
      <c r="BC193" s="194"/>
      <c r="BD193" s="195"/>
      <c r="BE193" s="195" t="s">
        <v>532</v>
      </c>
      <c r="BF193" s="195"/>
      <c r="BG193" s="195">
        <v>288</v>
      </c>
      <c r="BH193" s="196" t="s">
        <v>547</v>
      </c>
      <c r="BI193" s="197">
        <v>1</v>
      </c>
      <c r="BJ193" s="198"/>
      <c r="BK193" s="199">
        <v>0</v>
      </c>
      <c r="BL193" s="13">
        <v>0</v>
      </c>
      <c r="BM193" s="13">
        <v>0</v>
      </c>
      <c r="BN193" s="13" t="s">
        <v>616</v>
      </c>
      <c r="BO193" s="13" t="s">
        <v>616</v>
      </c>
      <c r="BP193" s="200">
        <v>0</v>
      </c>
      <c r="BQ193" s="201"/>
      <c r="BR193" s="202"/>
      <c r="BS193" s="187">
        <v>1000000000</v>
      </c>
      <c r="BT193" s="203">
        <v>0</v>
      </c>
      <c r="BU193" s="204">
        <v>0</v>
      </c>
      <c r="BV193" s="203">
        <v>0</v>
      </c>
      <c r="BW193" s="205">
        <v>0</v>
      </c>
      <c r="BX193" s="205">
        <v>0</v>
      </c>
      <c r="BY193" s="205">
        <v>0</v>
      </c>
      <c r="BZ193" s="203">
        <v>0</v>
      </c>
      <c r="CA193" s="203">
        <v>0</v>
      </c>
      <c r="CB193" s="203">
        <v>0</v>
      </c>
      <c r="CC193" s="204">
        <v>0</v>
      </c>
      <c r="CD193" s="203">
        <v>0</v>
      </c>
      <c r="CE193" s="203">
        <v>0</v>
      </c>
      <c r="CF193" s="13">
        <v>0</v>
      </c>
      <c r="CG193" s="206">
        <v>0</v>
      </c>
      <c r="CH193" s="207">
        <v>0</v>
      </c>
      <c r="CI193" s="201"/>
      <c r="CJ193" s="208"/>
      <c r="CK193" s="209" t="s">
        <v>615</v>
      </c>
      <c r="CL193" s="210" t="s">
        <v>615</v>
      </c>
      <c r="CM193" s="207">
        <v>0</v>
      </c>
      <c r="CN193" s="207">
        <v>0</v>
      </c>
      <c r="CO193" s="204">
        <v>0</v>
      </c>
      <c r="CP193" s="204">
        <v>0</v>
      </c>
      <c r="CQ193" s="211"/>
      <c r="CR193" s="204">
        <v>1</v>
      </c>
      <c r="CS193" s="212">
        <v>42558</v>
      </c>
      <c r="CT193" s="212">
        <v>42780</v>
      </c>
      <c r="CU193" s="213">
        <v>42780</v>
      </c>
      <c r="CV193" s="214">
        <v>42829</v>
      </c>
      <c r="CW193" s="214" t="s">
        <v>615</v>
      </c>
      <c r="CX193" s="214" t="s">
        <v>615</v>
      </c>
      <c r="CY193" s="204">
        <v>1</v>
      </c>
      <c r="CZ193" s="204">
        <v>0.97959183673469385</v>
      </c>
      <c r="DA193" s="203">
        <v>0</v>
      </c>
      <c r="DB193" s="204">
        <v>0.97959183673469385</v>
      </c>
      <c r="DC193" s="204">
        <v>0</v>
      </c>
      <c r="DD193" s="204">
        <v>0</v>
      </c>
      <c r="DE193" s="204">
        <v>0</v>
      </c>
      <c r="DF193" s="215">
        <v>0</v>
      </c>
      <c r="DG193" s="13" t="s">
        <v>615</v>
      </c>
      <c r="DH193" s="86">
        <v>191</v>
      </c>
      <c r="DI193" s="86"/>
      <c r="DJ193" s="86">
        <v>187</v>
      </c>
      <c r="DK193" s="86" t="s">
        <v>1646</v>
      </c>
      <c r="DL193" s="86" t="e">
        <v>#N/A</v>
      </c>
      <c r="DM193" s="86" t="e">
        <v>#N/A</v>
      </c>
      <c r="DN193" s="86" t="e">
        <v>#N/A</v>
      </c>
      <c r="DO193" s="86">
        <v>349</v>
      </c>
      <c r="DP193" s="86">
        <v>5</v>
      </c>
      <c r="DQ193" s="86">
        <v>49</v>
      </c>
      <c r="DR193" s="146">
        <v>0</v>
      </c>
      <c r="DS193" s="146">
        <v>0</v>
      </c>
      <c r="DT193" s="146">
        <v>0</v>
      </c>
      <c r="DU193" s="146">
        <v>0</v>
      </c>
      <c r="DV193" s="146">
        <v>0</v>
      </c>
      <c r="DW193" s="146">
        <v>0</v>
      </c>
      <c r="DX193" s="146">
        <v>0</v>
      </c>
      <c r="DY193" s="146">
        <v>0</v>
      </c>
      <c r="DZ193" s="146">
        <v>0</v>
      </c>
      <c r="EA193" s="146">
        <v>0</v>
      </c>
      <c r="EB193" s="146">
        <v>0</v>
      </c>
      <c r="EC193" s="146">
        <v>0</v>
      </c>
      <c r="ED193" s="146">
        <v>0</v>
      </c>
      <c r="EE193" s="146">
        <v>0</v>
      </c>
      <c r="EF193" s="146">
        <v>0</v>
      </c>
      <c r="EG193" s="146">
        <v>0</v>
      </c>
      <c r="EH193" s="146">
        <v>0</v>
      </c>
      <c r="EI193" s="146">
        <v>0</v>
      </c>
      <c r="EJ193" s="146">
        <v>0</v>
      </c>
      <c r="EK193" s="146">
        <v>0</v>
      </c>
      <c r="EL193" s="146">
        <v>0</v>
      </c>
      <c r="EM193" s="146">
        <v>0</v>
      </c>
      <c r="EN193" s="146">
        <v>0</v>
      </c>
      <c r="EO193" s="146">
        <v>0</v>
      </c>
      <c r="EP193" s="146">
        <v>0</v>
      </c>
      <c r="EQ193" s="146">
        <v>0</v>
      </c>
      <c r="ER193" s="146">
        <v>0</v>
      </c>
      <c r="ES193" s="146">
        <v>0</v>
      </c>
      <c r="ET193" s="146">
        <v>0</v>
      </c>
      <c r="EU193" s="146">
        <v>0</v>
      </c>
      <c r="EV193" s="146">
        <v>0</v>
      </c>
      <c r="EW193" s="146">
        <v>0</v>
      </c>
      <c r="EX193" s="146">
        <v>0</v>
      </c>
      <c r="EY193" s="146">
        <v>0</v>
      </c>
      <c r="EZ193" s="146">
        <v>0</v>
      </c>
      <c r="FA193" s="146">
        <v>0</v>
      </c>
      <c r="FB193" s="146">
        <v>0</v>
      </c>
      <c r="FC193" s="146">
        <v>0</v>
      </c>
      <c r="FD193" s="146">
        <v>0</v>
      </c>
      <c r="FE193" s="146">
        <v>0</v>
      </c>
      <c r="FF193" s="146">
        <v>0</v>
      </c>
      <c r="FG193" s="146">
        <v>0</v>
      </c>
      <c r="FH193" s="146">
        <v>0</v>
      </c>
      <c r="FI193" s="146">
        <v>0</v>
      </c>
      <c r="FJ193" s="146">
        <v>0</v>
      </c>
      <c r="FK193" s="146">
        <v>0</v>
      </c>
      <c r="FL193" s="146">
        <v>0</v>
      </c>
      <c r="FM193" s="146">
        <v>0</v>
      </c>
      <c r="FN193" s="146">
        <v>0</v>
      </c>
      <c r="FO193" s="146">
        <v>0</v>
      </c>
      <c r="FP193" s="146">
        <v>0</v>
      </c>
      <c r="FQ193" s="146">
        <v>0</v>
      </c>
      <c r="FR193" s="146">
        <v>0</v>
      </c>
      <c r="FS193" s="146">
        <v>0</v>
      </c>
      <c r="FT193" s="146">
        <v>0</v>
      </c>
      <c r="FU193" s="146">
        <v>0</v>
      </c>
      <c r="FV193" s="146">
        <v>0</v>
      </c>
      <c r="FW193" s="146">
        <v>0</v>
      </c>
      <c r="FX193" s="146">
        <v>0</v>
      </c>
      <c r="FY193" s="146">
        <v>0</v>
      </c>
      <c r="FZ193" s="146">
        <v>0</v>
      </c>
      <c r="GA193" s="146">
        <v>0</v>
      </c>
      <c r="GB193" s="146">
        <v>0</v>
      </c>
      <c r="GC193" s="146">
        <v>0</v>
      </c>
      <c r="GD193" s="146">
        <v>0</v>
      </c>
      <c r="GE193" s="146">
        <v>0</v>
      </c>
      <c r="GF193" s="146">
        <v>0</v>
      </c>
      <c r="GG193" s="146">
        <v>0</v>
      </c>
      <c r="GH193" s="146">
        <v>0</v>
      </c>
      <c r="GI193" s="146">
        <v>0</v>
      </c>
      <c r="GJ193" s="146">
        <v>0</v>
      </c>
      <c r="GK193" s="146">
        <v>0</v>
      </c>
      <c r="GL193" s="146">
        <v>0</v>
      </c>
      <c r="GM193" s="146">
        <v>0</v>
      </c>
      <c r="GN193" s="146">
        <v>0</v>
      </c>
      <c r="GO193" s="146">
        <v>0</v>
      </c>
      <c r="GP193" s="146">
        <v>0</v>
      </c>
      <c r="GQ193" s="146">
        <v>0</v>
      </c>
      <c r="GR193" s="146">
        <v>0</v>
      </c>
      <c r="GS193" s="146">
        <v>0</v>
      </c>
      <c r="GT193" s="146">
        <v>0</v>
      </c>
      <c r="GU193" s="146">
        <v>0</v>
      </c>
      <c r="GV193" s="146">
        <v>0</v>
      </c>
      <c r="GW193" s="146">
        <v>0</v>
      </c>
      <c r="GX193" s="146">
        <v>0</v>
      </c>
      <c r="GY193" s="146">
        <v>0</v>
      </c>
      <c r="GZ193" s="146">
        <v>0</v>
      </c>
      <c r="HA193" s="146">
        <v>0</v>
      </c>
      <c r="HB193" s="146">
        <v>0</v>
      </c>
      <c r="HC193" s="146">
        <v>0</v>
      </c>
      <c r="HD193" s="146">
        <v>0</v>
      </c>
      <c r="HE193" s="146">
        <v>0</v>
      </c>
      <c r="HF193" s="146">
        <v>0</v>
      </c>
      <c r="HG193" s="146">
        <v>0</v>
      </c>
      <c r="HH193" s="146">
        <v>0</v>
      </c>
      <c r="HI193" s="146">
        <v>0</v>
      </c>
      <c r="HJ193" s="146">
        <v>0</v>
      </c>
      <c r="HK193" s="146">
        <v>0</v>
      </c>
      <c r="HL193" s="146">
        <v>0</v>
      </c>
      <c r="HM193" s="146">
        <v>0</v>
      </c>
      <c r="HN193" s="146">
        <v>0</v>
      </c>
      <c r="HO193" s="146">
        <v>0</v>
      </c>
      <c r="HP193" s="146">
        <v>0</v>
      </c>
      <c r="HQ193" s="146">
        <v>0</v>
      </c>
      <c r="HR193" s="146">
        <v>0</v>
      </c>
      <c r="HS193" s="146">
        <v>0</v>
      </c>
      <c r="HT193" s="146">
        <v>0</v>
      </c>
      <c r="HU193" s="151"/>
      <c r="HV193" s="146">
        <v>0</v>
      </c>
      <c r="HW193" s="151"/>
      <c r="HX193" s="151"/>
      <c r="HY193" s="151"/>
      <c r="HZ193" s="151"/>
      <c r="IA193" s="151"/>
      <c r="IB193" s="151"/>
      <c r="IC193" s="151"/>
      <c r="ID193" s="151"/>
      <c r="IE193" s="151"/>
      <c r="IF193" s="151"/>
      <c r="IG193" s="151"/>
      <c r="IH193" s="151"/>
      <c r="II193" s="151"/>
      <c r="IJ193" s="151"/>
      <c r="IK193" s="151"/>
      <c r="IL193" s="151"/>
      <c r="IM193" s="151"/>
      <c r="IN193" s="151"/>
      <c r="IO193" s="151"/>
      <c r="IP193" s="151"/>
      <c r="IQ193" s="151"/>
      <c r="IR193" s="151"/>
      <c r="IS193" s="151"/>
      <c r="IT193" s="151"/>
      <c r="IU193" s="151"/>
      <c r="IV193" s="151"/>
      <c r="IW193" s="151"/>
      <c r="IX193" s="151"/>
      <c r="IY193" s="151"/>
      <c r="IZ193" s="151"/>
      <c r="JA193" s="151"/>
      <c r="JB193" s="151"/>
      <c r="JC193" s="151"/>
      <c r="JD193" s="151"/>
      <c r="JE193" s="151"/>
      <c r="JF193" s="151"/>
      <c r="JG193" s="151"/>
      <c r="JH193" s="151"/>
      <c r="JI193" s="151"/>
      <c r="JJ193" s="151"/>
      <c r="JK193" s="151"/>
      <c r="JL193" s="151"/>
      <c r="JM193" s="151"/>
      <c r="JN193" s="151"/>
      <c r="JO193" s="151"/>
      <c r="JP193" s="151"/>
      <c r="JQ193" s="151"/>
      <c r="JR193" s="151"/>
      <c r="JS193" s="151"/>
      <c r="JT193" s="151"/>
      <c r="JU193" s="151"/>
      <c r="JV193" s="151"/>
      <c r="JW193" s="151"/>
      <c r="JX193" s="151"/>
      <c r="JY193" s="151"/>
      <c r="JZ193" s="151"/>
      <c r="KA193" s="151"/>
      <c r="KB193" s="151"/>
      <c r="KC193" s="151"/>
      <c r="KD193" s="151"/>
      <c r="KE193" s="151"/>
      <c r="KF193" s="151"/>
      <c r="KG193" s="151"/>
      <c r="KH193" s="151"/>
      <c r="KI193" s="151"/>
      <c r="KJ193" s="151"/>
      <c r="KK193" s="151"/>
      <c r="KL193" s="151"/>
      <c r="KM193" s="151"/>
      <c r="KN193" s="151"/>
      <c r="KO193" s="151"/>
      <c r="KP193" s="151"/>
      <c r="KQ193" s="151"/>
      <c r="KR193" s="151"/>
      <c r="KS193" s="151"/>
      <c r="KT193" s="151"/>
      <c r="KU193" s="151"/>
      <c r="KV193" s="151"/>
      <c r="KW193" s="151"/>
      <c r="KX193" s="151"/>
      <c r="KY193" s="151"/>
      <c r="KZ193" s="151"/>
      <c r="LA193" s="151"/>
      <c r="LB193" s="151"/>
      <c r="LC193" s="151"/>
      <c r="LD193" s="151"/>
      <c r="LE193" s="151"/>
    </row>
    <row r="194" spans="1:317" x14ac:dyDescent="0.2">
      <c r="A194" s="179" t="s">
        <v>849</v>
      </c>
      <c r="B194" s="180" t="s">
        <v>1093</v>
      </c>
      <c r="C194" s="181"/>
      <c r="D194" s="182">
        <v>0</v>
      </c>
      <c r="E194" s="182">
        <v>0</v>
      </c>
      <c r="F194" s="183" t="s">
        <v>1314</v>
      </c>
      <c r="G194" s="183">
        <v>0</v>
      </c>
      <c r="H194" s="183">
        <v>0</v>
      </c>
      <c r="I194" s="183">
        <v>0</v>
      </c>
      <c r="J194" s="183">
        <v>0</v>
      </c>
      <c r="K194" s="183" t="s">
        <v>1368</v>
      </c>
      <c r="L194" s="183">
        <v>0</v>
      </c>
      <c r="M194" s="183">
        <v>0</v>
      </c>
      <c r="N194" s="183" t="s">
        <v>881</v>
      </c>
      <c r="O194" s="183">
        <v>0</v>
      </c>
      <c r="P194" s="183">
        <v>0</v>
      </c>
      <c r="Q194" s="183"/>
      <c r="R194" s="183"/>
      <c r="S194" s="183"/>
      <c r="T194" s="183"/>
      <c r="U194" s="183"/>
      <c r="V194" s="183">
        <v>0</v>
      </c>
      <c r="W194" s="183">
        <v>0</v>
      </c>
      <c r="X194" s="183">
        <v>0</v>
      </c>
      <c r="Y194" s="184">
        <v>0</v>
      </c>
      <c r="Z194" s="184">
        <v>0</v>
      </c>
      <c r="AA194" s="184">
        <v>0</v>
      </c>
      <c r="AB194" s="185" t="s">
        <v>615</v>
      </c>
      <c r="AC194" s="185" t="s">
        <v>615</v>
      </c>
      <c r="AD194" s="186" t="s">
        <v>881</v>
      </c>
      <c r="AE194" s="186" t="s">
        <v>858</v>
      </c>
      <c r="AF194" s="187">
        <v>7</v>
      </c>
      <c r="AG194" s="187">
        <v>3</v>
      </c>
      <c r="AH194" s="187">
        <v>4</v>
      </c>
      <c r="AI194" s="188">
        <v>1</v>
      </c>
      <c r="AJ194" s="188" t="s">
        <v>615</v>
      </c>
      <c r="AK194" s="187" t="s">
        <v>1738</v>
      </c>
      <c r="AL194" s="87" t="s">
        <v>615</v>
      </c>
      <c r="AM194" s="189"/>
      <c r="AN194" s="187" t="s">
        <v>615</v>
      </c>
      <c r="AO194" s="13" t="s">
        <v>615</v>
      </c>
      <c r="AP194" s="187">
        <v>0</v>
      </c>
      <c r="AQ194" s="187">
        <v>0</v>
      </c>
      <c r="AR194" s="190">
        <v>0</v>
      </c>
      <c r="AS194" s="190">
        <v>0</v>
      </c>
      <c r="AT194" s="190">
        <v>0</v>
      </c>
      <c r="AU194" s="187">
        <v>0</v>
      </c>
      <c r="AV194" s="187">
        <v>0</v>
      </c>
      <c r="AW194" s="191"/>
      <c r="AX194" s="192"/>
      <c r="AY194" s="193">
        <v>42666</v>
      </c>
      <c r="AZ194" s="193"/>
      <c r="BA194" s="193"/>
      <c r="BB194" s="194"/>
      <c r="BC194" s="194"/>
      <c r="BD194" s="195"/>
      <c r="BE194" s="195" t="s">
        <v>532</v>
      </c>
      <c r="BF194" s="195"/>
      <c r="BG194" s="195">
        <v>96</v>
      </c>
      <c r="BH194" s="196" t="s">
        <v>547</v>
      </c>
      <c r="BI194" s="197">
        <v>1</v>
      </c>
      <c r="BJ194" s="198"/>
      <c r="BK194" s="199">
        <v>0</v>
      </c>
      <c r="BL194" s="13">
        <v>0</v>
      </c>
      <c r="BM194" s="13">
        <v>0</v>
      </c>
      <c r="BN194" s="13" t="s">
        <v>616</v>
      </c>
      <c r="BO194" s="13" t="s">
        <v>616</v>
      </c>
      <c r="BP194" s="200">
        <v>0</v>
      </c>
      <c r="BQ194" s="201"/>
      <c r="BR194" s="202"/>
      <c r="BS194" s="187">
        <v>1000000000</v>
      </c>
      <c r="BT194" s="203">
        <v>0</v>
      </c>
      <c r="BU194" s="204">
        <v>0</v>
      </c>
      <c r="BV194" s="203">
        <v>0</v>
      </c>
      <c r="BW194" s="205">
        <v>0</v>
      </c>
      <c r="BX194" s="205">
        <v>0</v>
      </c>
      <c r="BY194" s="205">
        <v>0</v>
      </c>
      <c r="BZ194" s="203">
        <v>0</v>
      </c>
      <c r="CA194" s="203">
        <v>0</v>
      </c>
      <c r="CB194" s="203">
        <v>0</v>
      </c>
      <c r="CC194" s="204">
        <v>0</v>
      </c>
      <c r="CD194" s="203">
        <v>0</v>
      </c>
      <c r="CE194" s="203">
        <v>0</v>
      </c>
      <c r="CF194" s="13">
        <v>0</v>
      </c>
      <c r="CG194" s="206">
        <v>0</v>
      </c>
      <c r="CH194" s="207">
        <v>0</v>
      </c>
      <c r="CI194" s="201"/>
      <c r="CJ194" s="208"/>
      <c r="CK194" s="209" t="s">
        <v>615</v>
      </c>
      <c r="CL194" s="210" t="s">
        <v>615</v>
      </c>
      <c r="CM194" s="207">
        <v>0</v>
      </c>
      <c r="CN194" s="207">
        <v>0</v>
      </c>
      <c r="CO194" s="204">
        <v>0</v>
      </c>
      <c r="CP194" s="204">
        <v>0</v>
      </c>
      <c r="CQ194" s="211"/>
      <c r="CR194" s="204">
        <v>1</v>
      </c>
      <c r="CS194" s="212">
        <v>42558</v>
      </c>
      <c r="CT194" s="212">
        <v>42780</v>
      </c>
      <c r="CU194" s="213">
        <v>42780</v>
      </c>
      <c r="CV194" s="214">
        <v>42829</v>
      </c>
      <c r="CW194" s="214" t="s">
        <v>615</v>
      </c>
      <c r="CX194" s="214" t="s">
        <v>615</v>
      </c>
      <c r="CY194" s="204">
        <v>1</v>
      </c>
      <c r="CZ194" s="204">
        <v>0.97959183673469385</v>
      </c>
      <c r="DA194" s="203">
        <v>0</v>
      </c>
      <c r="DB194" s="204">
        <v>0.97959183673469385</v>
      </c>
      <c r="DC194" s="204">
        <v>0</v>
      </c>
      <c r="DD194" s="204">
        <v>0</v>
      </c>
      <c r="DE194" s="204">
        <v>0</v>
      </c>
      <c r="DF194" s="215">
        <v>0</v>
      </c>
      <c r="DG194" s="13" t="s">
        <v>615</v>
      </c>
      <c r="DH194" s="86">
        <v>192</v>
      </c>
      <c r="DI194" s="86"/>
      <c r="DJ194" s="86">
        <v>188</v>
      </c>
      <c r="DK194" s="86" t="s">
        <v>1647</v>
      </c>
      <c r="DL194" s="86" t="e">
        <v>#N/A</v>
      </c>
      <c r="DM194" s="86" t="e">
        <v>#N/A</v>
      </c>
      <c r="DN194" s="86" t="e">
        <v>#N/A</v>
      </c>
      <c r="DO194" s="86">
        <v>350</v>
      </c>
      <c r="DP194" s="86">
        <v>5</v>
      </c>
      <c r="DQ194" s="86">
        <v>49</v>
      </c>
      <c r="DR194" s="152">
        <v>0</v>
      </c>
      <c r="DS194" s="152">
        <v>0</v>
      </c>
      <c r="DT194" s="152">
        <v>0</v>
      </c>
      <c r="DU194" s="152">
        <v>0</v>
      </c>
      <c r="DV194" s="152">
        <v>0</v>
      </c>
      <c r="DW194" s="152">
        <v>0</v>
      </c>
      <c r="DX194" s="152">
        <v>0</v>
      </c>
      <c r="DY194" s="152">
        <v>0</v>
      </c>
      <c r="DZ194" s="152">
        <v>0</v>
      </c>
      <c r="EA194" s="152">
        <v>0</v>
      </c>
      <c r="EB194" s="152">
        <v>0</v>
      </c>
      <c r="EC194" s="152">
        <v>0</v>
      </c>
      <c r="ED194" s="152">
        <v>0</v>
      </c>
      <c r="EE194" s="152">
        <v>0</v>
      </c>
      <c r="EF194" s="152">
        <v>0</v>
      </c>
      <c r="EG194" s="152">
        <v>0</v>
      </c>
      <c r="EH194" s="152">
        <v>0</v>
      </c>
      <c r="EI194" s="152">
        <v>0</v>
      </c>
      <c r="EJ194" s="152">
        <v>0</v>
      </c>
      <c r="EK194" s="152">
        <v>0</v>
      </c>
      <c r="EL194" s="152">
        <v>0</v>
      </c>
      <c r="EM194" s="152">
        <v>0</v>
      </c>
      <c r="EN194" s="152">
        <v>0</v>
      </c>
      <c r="EO194" s="152">
        <v>0</v>
      </c>
      <c r="EP194" s="152">
        <v>0</v>
      </c>
      <c r="EQ194" s="152">
        <v>0</v>
      </c>
      <c r="ER194" s="152">
        <v>0</v>
      </c>
      <c r="ES194" s="152">
        <v>0</v>
      </c>
      <c r="ET194" s="152">
        <v>0</v>
      </c>
      <c r="EU194" s="152">
        <v>0</v>
      </c>
      <c r="EV194" s="152">
        <v>0</v>
      </c>
      <c r="EW194" s="152">
        <v>0</v>
      </c>
      <c r="EX194" s="152">
        <v>0</v>
      </c>
      <c r="EY194" s="152">
        <v>0</v>
      </c>
      <c r="EZ194" s="152">
        <v>0</v>
      </c>
      <c r="FA194" s="152">
        <v>0</v>
      </c>
      <c r="FB194" s="152">
        <v>0</v>
      </c>
      <c r="FC194" s="152">
        <v>0</v>
      </c>
      <c r="FD194" s="152">
        <v>0</v>
      </c>
      <c r="FE194" s="152">
        <v>0</v>
      </c>
      <c r="FF194" s="152">
        <v>0</v>
      </c>
      <c r="FG194" s="152">
        <v>0</v>
      </c>
      <c r="FH194" s="152">
        <v>0</v>
      </c>
      <c r="FI194" s="152">
        <v>0</v>
      </c>
      <c r="FJ194" s="152">
        <v>0</v>
      </c>
      <c r="FK194" s="152">
        <v>0</v>
      </c>
      <c r="FL194" s="152">
        <v>0</v>
      </c>
      <c r="FM194" s="152">
        <v>0</v>
      </c>
      <c r="FN194" s="152">
        <v>0</v>
      </c>
      <c r="FO194" s="152">
        <v>0</v>
      </c>
      <c r="FP194" s="152">
        <v>0</v>
      </c>
      <c r="FQ194" s="152">
        <v>0</v>
      </c>
      <c r="FR194" s="152">
        <v>0</v>
      </c>
      <c r="FS194" s="152">
        <v>0</v>
      </c>
      <c r="FT194" s="152">
        <v>0</v>
      </c>
      <c r="FU194" s="152">
        <v>0</v>
      </c>
      <c r="FV194" s="152">
        <v>0</v>
      </c>
      <c r="FW194" s="152">
        <v>0</v>
      </c>
      <c r="FX194" s="152">
        <v>0</v>
      </c>
      <c r="FY194" s="152">
        <v>0</v>
      </c>
      <c r="FZ194" s="152">
        <v>0</v>
      </c>
      <c r="GA194" s="152">
        <v>0</v>
      </c>
      <c r="GB194" s="152">
        <v>0</v>
      </c>
      <c r="GC194" s="152">
        <v>0</v>
      </c>
      <c r="GD194" s="152">
        <v>0</v>
      </c>
      <c r="GE194" s="152">
        <v>0</v>
      </c>
      <c r="GF194" s="152">
        <v>0</v>
      </c>
      <c r="GG194" s="152">
        <v>0</v>
      </c>
      <c r="GH194" s="152">
        <v>0</v>
      </c>
      <c r="GI194" s="152">
        <v>0</v>
      </c>
      <c r="GJ194" s="152">
        <v>0</v>
      </c>
      <c r="GK194" s="152">
        <v>0</v>
      </c>
      <c r="GL194" s="152">
        <v>0</v>
      </c>
      <c r="GM194" s="152">
        <v>0</v>
      </c>
      <c r="GN194" s="152">
        <v>0</v>
      </c>
      <c r="GO194" s="152">
        <v>0</v>
      </c>
      <c r="GP194" s="152">
        <v>0</v>
      </c>
      <c r="GQ194" s="152">
        <v>0</v>
      </c>
      <c r="GR194" s="152">
        <v>0</v>
      </c>
      <c r="GS194" s="152">
        <v>0</v>
      </c>
      <c r="GT194" s="152">
        <v>0</v>
      </c>
      <c r="GU194" s="152">
        <v>0</v>
      </c>
      <c r="GV194" s="152">
        <v>0</v>
      </c>
      <c r="GW194" s="152">
        <v>0</v>
      </c>
      <c r="GX194" s="152">
        <v>0</v>
      </c>
      <c r="GY194" s="152">
        <v>0</v>
      </c>
      <c r="GZ194" s="152">
        <v>0</v>
      </c>
      <c r="HA194" s="152">
        <v>0</v>
      </c>
      <c r="HB194" s="152">
        <v>0</v>
      </c>
      <c r="HC194" s="152">
        <v>0</v>
      </c>
      <c r="HD194" s="152">
        <v>0</v>
      </c>
      <c r="HE194" s="152">
        <v>0</v>
      </c>
      <c r="HF194" s="152">
        <v>0</v>
      </c>
      <c r="HG194" s="152">
        <v>0</v>
      </c>
      <c r="HH194" s="152">
        <v>0</v>
      </c>
      <c r="HI194" s="152">
        <v>0</v>
      </c>
      <c r="HJ194" s="152">
        <v>0</v>
      </c>
      <c r="HK194" s="152">
        <v>0</v>
      </c>
      <c r="HL194" s="152">
        <v>0</v>
      </c>
      <c r="HM194" s="152">
        <v>0</v>
      </c>
      <c r="HN194" s="152">
        <v>0</v>
      </c>
      <c r="HO194" s="152">
        <v>0</v>
      </c>
      <c r="HP194" s="152">
        <v>0</v>
      </c>
      <c r="HQ194" s="152">
        <v>0</v>
      </c>
      <c r="HR194" s="152">
        <v>0</v>
      </c>
      <c r="HS194" s="152">
        <v>0</v>
      </c>
      <c r="HT194" s="152">
        <v>0</v>
      </c>
      <c r="HU194" s="216"/>
      <c r="HV194" s="152">
        <v>0</v>
      </c>
      <c r="HW194" s="216"/>
      <c r="HX194" s="216"/>
      <c r="HY194" s="216"/>
      <c r="HZ194" s="216"/>
      <c r="IA194" s="216"/>
      <c r="IB194" s="216"/>
      <c r="IC194" s="216"/>
      <c r="ID194" s="216"/>
      <c r="IE194" s="216"/>
      <c r="IF194" s="216"/>
      <c r="IG194" s="216"/>
      <c r="IH194" s="216"/>
      <c r="II194" s="216"/>
      <c r="IJ194" s="216"/>
      <c r="IK194" s="216"/>
      <c r="IL194" s="216"/>
      <c r="IM194" s="216"/>
      <c r="IN194" s="216"/>
      <c r="IO194" s="216"/>
      <c r="IP194" s="216"/>
      <c r="IQ194" s="216"/>
      <c r="IR194" s="216"/>
      <c r="IS194" s="216"/>
      <c r="IT194" s="216"/>
      <c r="IU194" s="216"/>
      <c r="IV194" s="216"/>
      <c r="IW194" s="216"/>
      <c r="IX194" s="216"/>
      <c r="IY194" s="216"/>
      <c r="IZ194" s="216"/>
      <c r="JA194" s="216"/>
      <c r="JB194" s="216"/>
      <c r="JC194" s="216"/>
      <c r="JD194" s="216"/>
      <c r="JE194" s="216"/>
      <c r="JF194" s="216"/>
      <c r="JG194" s="216"/>
      <c r="JH194" s="216"/>
      <c r="JI194" s="216"/>
      <c r="JJ194" s="216"/>
      <c r="JK194" s="216"/>
      <c r="JL194" s="216"/>
      <c r="JM194" s="216"/>
      <c r="JN194" s="216"/>
      <c r="JO194" s="216"/>
      <c r="JP194" s="216"/>
      <c r="JQ194" s="216"/>
      <c r="JR194" s="216"/>
      <c r="JS194" s="216"/>
      <c r="JT194" s="216"/>
      <c r="JU194" s="216"/>
      <c r="JV194" s="216"/>
      <c r="JW194" s="216"/>
      <c r="JX194" s="216"/>
      <c r="JY194" s="216"/>
      <c r="JZ194" s="216"/>
      <c r="KA194" s="216"/>
      <c r="KB194" s="216"/>
      <c r="KC194" s="216"/>
      <c r="KD194" s="216"/>
      <c r="KE194" s="216"/>
      <c r="KF194" s="216"/>
      <c r="KG194" s="216"/>
      <c r="KH194" s="216"/>
      <c r="KI194" s="216"/>
      <c r="KJ194" s="216"/>
      <c r="KK194" s="216"/>
      <c r="KL194" s="216"/>
      <c r="KM194" s="216"/>
      <c r="KN194" s="216"/>
      <c r="KO194" s="216"/>
      <c r="KP194" s="216"/>
      <c r="KQ194" s="216"/>
      <c r="KR194" s="216"/>
      <c r="KS194" s="216"/>
      <c r="KT194" s="216"/>
      <c r="KU194" s="216"/>
      <c r="KV194" s="216"/>
      <c r="KW194" s="216"/>
      <c r="KX194" s="216"/>
      <c r="KY194" s="216"/>
      <c r="KZ194" s="216"/>
      <c r="LA194" s="216"/>
      <c r="LB194" s="216"/>
      <c r="LC194" s="216"/>
      <c r="LD194" s="216"/>
      <c r="LE194" s="216"/>
    </row>
    <row r="195" spans="1:317" x14ac:dyDescent="0.2">
      <c r="A195" s="179" t="s">
        <v>849</v>
      </c>
      <c r="B195" s="180" t="s">
        <v>1094</v>
      </c>
      <c r="C195" s="181"/>
      <c r="D195" s="182">
        <v>0</v>
      </c>
      <c r="E195" s="182">
        <v>0</v>
      </c>
      <c r="F195" s="183" t="s">
        <v>1314</v>
      </c>
      <c r="G195" s="183">
        <v>0</v>
      </c>
      <c r="H195" s="183">
        <v>0</v>
      </c>
      <c r="I195" s="183">
        <v>0</v>
      </c>
      <c r="J195" s="183">
        <v>0</v>
      </c>
      <c r="K195" s="183" t="s">
        <v>1368</v>
      </c>
      <c r="L195" s="183">
        <v>0</v>
      </c>
      <c r="M195" s="183">
        <v>0</v>
      </c>
      <c r="N195" s="183" t="s">
        <v>881</v>
      </c>
      <c r="O195" s="183">
        <v>0</v>
      </c>
      <c r="P195" s="183">
        <v>0</v>
      </c>
      <c r="Q195" s="183"/>
      <c r="R195" s="183"/>
      <c r="S195" s="183"/>
      <c r="T195" s="183"/>
      <c r="U195" s="183"/>
      <c r="V195" s="183">
        <v>0</v>
      </c>
      <c r="W195" s="183">
        <v>0</v>
      </c>
      <c r="X195" s="183">
        <v>0</v>
      </c>
      <c r="Y195" s="184">
        <v>0</v>
      </c>
      <c r="Z195" s="184">
        <v>0</v>
      </c>
      <c r="AA195" s="184">
        <v>0</v>
      </c>
      <c r="AB195" s="185" t="s">
        <v>615</v>
      </c>
      <c r="AC195" s="185" t="s">
        <v>615</v>
      </c>
      <c r="AD195" s="186" t="s">
        <v>881</v>
      </c>
      <c r="AE195" s="186" t="s">
        <v>858</v>
      </c>
      <c r="AF195" s="187">
        <v>7</v>
      </c>
      <c r="AG195" s="187">
        <v>3</v>
      </c>
      <c r="AH195" s="187">
        <v>4</v>
      </c>
      <c r="AI195" s="188">
        <v>1</v>
      </c>
      <c r="AJ195" s="188" t="s">
        <v>615</v>
      </c>
      <c r="AK195" s="187" t="s">
        <v>1738</v>
      </c>
      <c r="AL195" s="87" t="s">
        <v>615</v>
      </c>
      <c r="AM195" s="189"/>
      <c r="AN195" s="187" t="s">
        <v>615</v>
      </c>
      <c r="AO195" s="13" t="s">
        <v>615</v>
      </c>
      <c r="AP195" s="187">
        <v>0</v>
      </c>
      <c r="AQ195" s="187">
        <v>0</v>
      </c>
      <c r="AR195" s="190">
        <v>0</v>
      </c>
      <c r="AS195" s="190">
        <v>0</v>
      </c>
      <c r="AT195" s="190">
        <v>0</v>
      </c>
      <c r="AU195" s="187">
        <v>0</v>
      </c>
      <c r="AV195" s="187">
        <v>0</v>
      </c>
      <c r="AW195" s="191"/>
      <c r="AX195" s="192"/>
      <c r="AY195" s="193">
        <v>42666</v>
      </c>
      <c r="AZ195" s="193"/>
      <c r="BA195" s="193"/>
      <c r="BB195" s="194"/>
      <c r="BC195" s="194"/>
      <c r="BD195" s="195"/>
      <c r="BE195" s="195" t="s">
        <v>532</v>
      </c>
      <c r="BF195" s="195"/>
      <c r="BG195" s="195">
        <v>48</v>
      </c>
      <c r="BH195" s="196" t="s">
        <v>547</v>
      </c>
      <c r="BI195" s="197">
        <v>1</v>
      </c>
      <c r="BJ195" s="198"/>
      <c r="BK195" s="199">
        <v>0</v>
      </c>
      <c r="BL195" s="13">
        <v>0</v>
      </c>
      <c r="BM195" s="13">
        <v>0</v>
      </c>
      <c r="BN195" s="13" t="s">
        <v>616</v>
      </c>
      <c r="BO195" s="13" t="s">
        <v>616</v>
      </c>
      <c r="BP195" s="200">
        <v>0</v>
      </c>
      <c r="BQ195" s="201"/>
      <c r="BR195" s="202"/>
      <c r="BS195" s="187">
        <v>1000000000</v>
      </c>
      <c r="BT195" s="203">
        <v>0</v>
      </c>
      <c r="BU195" s="204">
        <v>0</v>
      </c>
      <c r="BV195" s="203">
        <v>0</v>
      </c>
      <c r="BW195" s="205">
        <v>0</v>
      </c>
      <c r="BX195" s="205">
        <v>0</v>
      </c>
      <c r="BY195" s="205">
        <v>0</v>
      </c>
      <c r="BZ195" s="203">
        <v>0</v>
      </c>
      <c r="CA195" s="203">
        <v>0</v>
      </c>
      <c r="CB195" s="203">
        <v>0</v>
      </c>
      <c r="CC195" s="204">
        <v>0</v>
      </c>
      <c r="CD195" s="203">
        <v>0</v>
      </c>
      <c r="CE195" s="203">
        <v>0</v>
      </c>
      <c r="CF195" s="13">
        <v>0</v>
      </c>
      <c r="CG195" s="206">
        <v>0</v>
      </c>
      <c r="CH195" s="207">
        <v>0</v>
      </c>
      <c r="CI195" s="201"/>
      <c r="CJ195" s="208"/>
      <c r="CK195" s="209" t="s">
        <v>615</v>
      </c>
      <c r="CL195" s="210" t="s">
        <v>615</v>
      </c>
      <c r="CM195" s="207">
        <v>0</v>
      </c>
      <c r="CN195" s="207">
        <v>0</v>
      </c>
      <c r="CO195" s="204">
        <v>0</v>
      </c>
      <c r="CP195" s="204">
        <v>0</v>
      </c>
      <c r="CQ195" s="211"/>
      <c r="CR195" s="204">
        <v>1</v>
      </c>
      <c r="CS195" s="212">
        <v>42558</v>
      </c>
      <c r="CT195" s="212">
        <v>42780</v>
      </c>
      <c r="CU195" s="213">
        <v>42780</v>
      </c>
      <c r="CV195" s="214">
        <v>42829</v>
      </c>
      <c r="CW195" s="214" t="s">
        <v>615</v>
      </c>
      <c r="CX195" s="214" t="s">
        <v>615</v>
      </c>
      <c r="CY195" s="204">
        <v>1</v>
      </c>
      <c r="CZ195" s="204">
        <v>0.97959183673469385</v>
      </c>
      <c r="DA195" s="203">
        <v>0</v>
      </c>
      <c r="DB195" s="204">
        <v>0.97959183673469385</v>
      </c>
      <c r="DC195" s="204">
        <v>0</v>
      </c>
      <c r="DD195" s="204">
        <v>0</v>
      </c>
      <c r="DE195" s="204">
        <v>0</v>
      </c>
      <c r="DF195" s="215">
        <v>0</v>
      </c>
      <c r="DG195" s="13" t="s">
        <v>615</v>
      </c>
      <c r="DH195" s="86">
        <v>193</v>
      </c>
      <c r="DI195" s="86"/>
      <c r="DJ195" s="86">
        <v>189</v>
      </c>
      <c r="DK195" s="86" t="s">
        <v>1648</v>
      </c>
      <c r="DL195" s="86" t="e">
        <v>#N/A</v>
      </c>
      <c r="DM195" s="86" t="e">
        <v>#N/A</v>
      </c>
      <c r="DN195" s="86" t="e">
        <v>#N/A</v>
      </c>
      <c r="DO195" s="86">
        <v>351</v>
      </c>
      <c r="DP195" s="86">
        <v>5</v>
      </c>
      <c r="DQ195" s="86">
        <v>49</v>
      </c>
      <c r="DR195" s="146">
        <v>0</v>
      </c>
      <c r="DS195" s="146">
        <v>0</v>
      </c>
      <c r="DT195" s="146">
        <v>0</v>
      </c>
      <c r="DU195" s="146">
        <v>0</v>
      </c>
      <c r="DV195" s="146">
        <v>0</v>
      </c>
      <c r="DW195" s="146">
        <v>0</v>
      </c>
      <c r="DX195" s="146">
        <v>0</v>
      </c>
      <c r="DY195" s="146">
        <v>0</v>
      </c>
      <c r="DZ195" s="146">
        <v>0</v>
      </c>
      <c r="EA195" s="146">
        <v>0</v>
      </c>
      <c r="EB195" s="146">
        <v>0</v>
      </c>
      <c r="EC195" s="146">
        <v>0</v>
      </c>
      <c r="ED195" s="146">
        <v>0</v>
      </c>
      <c r="EE195" s="146">
        <v>0</v>
      </c>
      <c r="EF195" s="146">
        <v>0</v>
      </c>
      <c r="EG195" s="146">
        <v>0</v>
      </c>
      <c r="EH195" s="146">
        <v>0</v>
      </c>
      <c r="EI195" s="146">
        <v>0</v>
      </c>
      <c r="EJ195" s="146">
        <v>0</v>
      </c>
      <c r="EK195" s="146">
        <v>0</v>
      </c>
      <c r="EL195" s="146">
        <v>0</v>
      </c>
      <c r="EM195" s="146">
        <v>0</v>
      </c>
      <c r="EN195" s="146">
        <v>0</v>
      </c>
      <c r="EO195" s="146">
        <v>0</v>
      </c>
      <c r="EP195" s="146">
        <v>0</v>
      </c>
      <c r="EQ195" s="146">
        <v>0</v>
      </c>
      <c r="ER195" s="146">
        <v>0</v>
      </c>
      <c r="ES195" s="146">
        <v>0</v>
      </c>
      <c r="ET195" s="146">
        <v>0</v>
      </c>
      <c r="EU195" s="146">
        <v>0</v>
      </c>
      <c r="EV195" s="146">
        <v>0</v>
      </c>
      <c r="EW195" s="146">
        <v>0</v>
      </c>
      <c r="EX195" s="146">
        <v>0</v>
      </c>
      <c r="EY195" s="146">
        <v>0</v>
      </c>
      <c r="EZ195" s="146">
        <v>0</v>
      </c>
      <c r="FA195" s="146">
        <v>0</v>
      </c>
      <c r="FB195" s="146">
        <v>0</v>
      </c>
      <c r="FC195" s="146">
        <v>0</v>
      </c>
      <c r="FD195" s="146">
        <v>0</v>
      </c>
      <c r="FE195" s="146">
        <v>0</v>
      </c>
      <c r="FF195" s="146">
        <v>0</v>
      </c>
      <c r="FG195" s="146">
        <v>0</v>
      </c>
      <c r="FH195" s="146">
        <v>0</v>
      </c>
      <c r="FI195" s="146">
        <v>0</v>
      </c>
      <c r="FJ195" s="146">
        <v>0</v>
      </c>
      <c r="FK195" s="146">
        <v>0</v>
      </c>
      <c r="FL195" s="146">
        <v>0</v>
      </c>
      <c r="FM195" s="146">
        <v>0</v>
      </c>
      <c r="FN195" s="146">
        <v>0</v>
      </c>
      <c r="FO195" s="146">
        <v>0</v>
      </c>
      <c r="FP195" s="146">
        <v>0</v>
      </c>
      <c r="FQ195" s="146">
        <v>0</v>
      </c>
      <c r="FR195" s="146">
        <v>0</v>
      </c>
      <c r="FS195" s="146">
        <v>0</v>
      </c>
      <c r="FT195" s="146">
        <v>0</v>
      </c>
      <c r="FU195" s="146">
        <v>0</v>
      </c>
      <c r="FV195" s="146">
        <v>0</v>
      </c>
      <c r="FW195" s="146">
        <v>0</v>
      </c>
      <c r="FX195" s="146">
        <v>0</v>
      </c>
      <c r="FY195" s="146">
        <v>0</v>
      </c>
      <c r="FZ195" s="146">
        <v>0</v>
      </c>
      <c r="GA195" s="146">
        <v>0</v>
      </c>
      <c r="GB195" s="146">
        <v>0</v>
      </c>
      <c r="GC195" s="146">
        <v>0</v>
      </c>
      <c r="GD195" s="146">
        <v>0</v>
      </c>
      <c r="GE195" s="146">
        <v>0</v>
      </c>
      <c r="GF195" s="146">
        <v>0</v>
      </c>
      <c r="GG195" s="146">
        <v>0</v>
      </c>
      <c r="GH195" s="146">
        <v>0</v>
      </c>
      <c r="GI195" s="146">
        <v>0</v>
      </c>
      <c r="GJ195" s="146">
        <v>0</v>
      </c>
      <c r="GK195" s="146">
        <v>0</v>
      </c>
      <c r="GL195" s="146">
        <v>0</v>
      </c>
      <c r="GM195" s="146">
        <v>0</v>
      </c>
      <c r="GN195" s="146">
        <v>0</v>
      </c>
      <c r="GO195" s="146">
        <v>0</v>
      </c>
      <c r="GP195" s="146">
        <v>0</v>
      </c>
      <c r="GQ195" s="146">
        <v>0</v>
      </c>
      <c r="GR195" s="146">
        <v>0</v>
      </c>
      <c r="GS195" s="146">
        <v>0</v>
      </c>
      <c r="GT195" s="146">
        <v>0</v>
      </c>
      <c r="GU195" s="146">
        <v>0</v>
      </c>
      <c r="GV195" s="146">
        <v>0</v>
      </c>
      <c r="GW195" s="146">
        <v>0</v>
      </c>
      <c r="GX195" s="146">
        <v>0</v>
      </c>
      <c r="GY195" s="146">
        <v>0</v>
      </c>
      <c r="GZ195" s="146">
        <v>0</v>
      </c>
      <c r="HA195" s="146">
        <v>0</v>
      </c>
      <c r="HB195" s="146">
        <v>0</v>
      </c>
      <c r="HC195" s="146">
        <v>0</v>
      </c>
      <c r="HD195" s="146">
        <v>0</v>
      </c>
      <c r="HE195" s="146">
        <v>0</v>
      </c>
      <c r="HF195" s="146">
        <v>0</v>
      </c>
      <c r="HG195" s="146">
        <v>0</v>
      </c>
      <c r="HH195" s="146">
        <v>0</v>
      </c>
      <c r="HI195" s="146">
        <v>0</v>
      </c>
      <c r="HJ195" s="146">
        <v>0</v>
      </c>
      <c r="HK195" s="146">
        <v>0</v>
      </c>
      <c r="HL195" s="146">
        <v>0</v>
      </c>
      <c r="HM195" s="146">
        <v>0</v>
      </c>
      <c r="HN195" s="146">
        <v>0</v>
      </c>
      <c r="HO195" s="146">
        <v>0</v>
      </c>
      <c r="HP195" s="146">
        <v>0</v>
      </c>
      <c r="HQ195" s="146">
        <v>0</v>
      </c>
      <c r="HR195" s="146">
        <v>0</v>
      </c>
      <c r="HS195" s="146">
        <v>0</v>
      </c>
      <c r="HT195" s="146">
        <v>0</v>
      </c>
      <c r="HU195" s="151"/>
      <c r="HV195" s="146">
        <v>0</v>
      </c>
      <c r="HW195" s="151"/>
      <c r="HX195" s="151"/>
      <c r="HY195" s="151"/>
      <c r="HZ195" s="151"/>
      <c r="IA195" s="151"/>
      <c r="IB195" s="151"/>
      <c r="IC195" s="151"/>
      <c r="ID195" s="151"/>
      <c r="IE195" s="151"/>
      <c r="IF195" s="151"/>
      <c r="IG195" s="151"/>
      <c r="IH195" s="151"/>
      <c r="II195" s="151"/>
      <c r="IJ195" s="151"/>
      <c r="IK195" s="151"/>
      <c r="IL195" s="151"/>
      <c r="IM195" s="151"/>
      <c r="IN195" s="151"/>
      <c r="IO195" s="151"/>
      <c r="IP195" s="151"/>
      <c r="IQ195" s="151"/>
      <c r="IR195" s="151"/>
      <c r="IS195" s="151"/>
      <c r="IT195" s="151"/>
      <c r="IU195" s="151"/>
      <c r="IV195" s="151"/>
      <c r="IW195" s="151"/>
      <c r="IX195" s="151"/>
      <c r="IY195" s="151"/>
      <c r="IZ195" s="151"/>
      <c r="JA195" s="151"/>
      <c r="JB195" s="151"/>
      <c r="JC195" s="151"/>
      <c r="JD195" s="151"/>
      <c r="JE195" s="151"/>
      <c r="JF195" s="151"/>
      <c r="JG195" s="151"/>
      <c r="JH195" s="151"/>
      <c r="JI195" s="151"/>
      <c r="JJ195" s="151"/>
      <c r="JK195" s="151"/>
      <c r="JL195" s="151"/>
      <c r="JM195" s="151"/>
      <c r="JN195" s="151"/>
      <c r="JO195" s="151"/>
      <c r="JP195" s="151"/>
      <c r="JQ195" s="151"/>
      <c r="JR195" s="151"/>
      <c r="JS195" s="151"/>
      <c r="JT195" s="151"/>
      <c r="JU195" s="151"/>
      <c r="JV195" s="151"/>
      <c r="JW195" s="151"/>
      <c r="JX195" s="151"/>
      <c r="JY195" s="151"/>
      <c r="JZ195" s="151"/>
      <c r="KA195" s="151"/>
      <c r="KB195" s="151"/>
      <c r="KC195" s="151"/>
      <c r="KD195" s="151"/>
      <c r="KE195" s="151"/>
      <c r="KF195" s="151"/>
      <c r="KG195" s="151"/>
      <c r="KH195" s="151"/>
      <c r="KI195" s="151"/>
      <c r="KJ195" s="151"/>
      <c r="KK195" s="151"/>
      <c r="KL195" s="151"/>
      <c r="KM195" s="151"/>
      <c r="KN195" s="151"/>
      <c r="KO195" s="151"/>
      <c r="KP195" s="151"/>
      <c r="KQ195" s="151"/>
      <c r="KR195" s="151"/>
      <c r="KS195" s="151"/>
      <c r="KT195" s="151"/>
      <c r="KU195" s="151"/>
      <c r="KV195" s="151"/>
      <c r="KW195" s="151"/>
      <c r="KX195" s="151"/>
      <c r="KY195" s="151"/>
      <c r="KZ195" s="151"/>
      <c r="LA195" s="151"/>
      <c r="LB195" s="151"/>
      <c r="LC195" s="151"/>
      <c r="LD195" s="151"/>
      <c r="LE195" s="151"/>
    </row>
    <row r="196" spans="1:317" x14ac:dyDescent="0.2">
      <c r="A196" s="179" t="s">
        <v>849</v>
      </c>
      <c r="B196" s="180" t="s">
        <v>1095</v>
      </c>
      <c r="C196" s="181"/>
      <c r="D196" s="182">
        <v>0</v>
      </c>
      <c r="E196" s="182">
        <v>0</v>
      </c>
      <c r="F196" s="183" t="s">
        <v>1314</v>
      </c>
      <c r="G196" s="183">
        <v>0</v>
      </c>
      <c r="H196" s="183">
        <v>0</v>
      </c>
      <c r="I196" s="183">
        <v>0</v>
      </c>
      <c r="J196" s="183">
        <v>0</v>
      </c>
      <c r="K196" s="183" t="s">
        <v>1368</v>
      </c>
      <c r="L196" s="183">
        <v>0</v>
      </c>
      <c r="M196" s="183">
        <v>0</v>
      </c>
      <c r="N196" s="183" t="s">
        <v>881</v>
      </c>
      <c r="O196" s="183">
        <v>0</v>
      </c>
      <c r="P196" s="183">
        <v>0</v>
      </c>
      <c r="Q196" s="183"/>
      <c r="R196" s="183"/>
      <c r="S196" s="183"/>
      <c r="T196" s="183"/>
      <c r="U196" s="183"/>
      <c r="V196" s="183">
        <v>0</v>
      </c>
      <c r="W196" s="183">
        <v>0</v>
      </c>
      <c r="X196" s="183">
        <v>0</v>
      </c>
      <c r="Y196" s="184">
        <v>0</v>
      </c>
      <c r="Z196" s="184">
        <v>0</v>
      </c>
      <c r="AA196" s="184">
        <v>0</v>
      </c>
      <c r="AB196" s="185" t="s">
        <v>615</v>
      </c>
      <c r="AC196" s="185" t="s">
        <v>615</v>
      </c>
      <c r="AD196" s="186" t="s">
        <v>881</v>
      </c>
      <c r="AE196" s="186" t="s">
        <v>858</v>
      </c>
      <c r="AF196" s="187">
        <v>7</v>
      </c>
      <c r="AG196" s="187">
        <v>3</v>
      </c>
      <c r="AH196" s="187">
        <v>4</v>
      </c>
      <c r="AI196" s="188">
        <v>1</v>
      </c>
      <c r="AJ196" s="188" t="s">
        <v>615</v>
      </c>
      <c r="AK196" s="187" t="s">
        <v>1738</v>
      </c>
      <c r="AL196" s="87" t="s">
        <v>615</v>
      </c>
      <c r="AM196" s="189"/>
      <c r="AN196" s="187" t="s">
        <v>615</v>
      </c>
      <c r="AO196" s="13" t="s">
        <v>615</v>
      </c>
      <c r="AP196" s="187">
        <v>0</v>
      </c>
      <c r="AQ196" s="187">
        <v>0</v>
      </c>
      <c r="AR196" s="190">
        <v>0</v>
      </c>
      <c r="AS196" s="190">
        <v>0</v>
      </c>
      <c r="AT196" s="190">
        <v>0</v>
      </c>
      <c r="AU196" s="187">
        <v>0</v>
      </c>
      <c r="AV196" s="187">
        <v>0</v>
      </c>
      <c r="AW196" s="191"/>
      <c r="AX196" s="192"/>
      <c r="AY196" s="193">
        <v>42666</v>
      </c>
      <c r="AZ196" s="193"/>
      <c r="BA196" s="193"/>
      <c r="BB196" s="194"/>
      <c r="BC196" s="194"/>
      <c r="BD196" s="195"/>
      <c r="BE196" s="195" t="s">
        <v>532</v>
      </c>
      <c r="BF196" s="195"/>
      <c r="BG196" s="195">
        <v>120</v>
      </c>
      <c r="BH196" s="196" t="s">
        <v>547</v>
      </c>
      <c r="BI196" s="197">
        <v>1</v>
      </c>
      <c r="BJ196" s="198"/>
      <c r="BK196" s="199">
        <v>0</v>
      </c>
      <c r="BL196" s="13">
        <v>0</v>
      </c>
      <c r="BM196" s="13">
        <v>0</v>
      </c>
      <c r="BN196" s="13" t="s">
        <v>616</v>
      </c>
      <c r="BO196" s="13" t="s">
        <v>616</v>
      </c>
      <c r="BP196" s="200">
        <v>0</v>
      </c>
      <c r="BQ196" s="201"/>
      <c r="BR196" s="202"/>
      <c r="BS196" s="187">
        <v>1000000000</v>
      </c>
      <c r="BT196" s="203">
        <v>0</v>
      </c>
      <c r="BU196" s="204">
        <v>0</v>
      </c>
      <c r="BV196" s="203">
        <v>0</v>
      </c>
      <c r="BW196" s="205">
        <v>0</v>
      </c>
      <c r="BX196" s="205">
        <v>0</v>
      </c>
      <c r="BY196" s="205">
        <v>0</v>
      </c>
      <c r="BZ196" s="203">
        <v>0</v>
      </c>
      <c r="CA196" s="203">
        <v>0</v>
      </c>
      <c r="CB196" s="203">
        <v>0</v>
      </c>
      <c r="CC196" s="204">
        <v>0</v>
      </c>
      <c r="CD196" s="203">
        <v>0</v>
      </c>
      <c r="CE196" s="203">
        <v>0</v>
      </c>
      <c r="CF196" s="13">
        <v>0</v>
      </c>
      <c r="CG196" s="206">
        <v>0</v>
      </c>
      <c r="CH196" s="207">
        <v>0</v>
      </c>
      <c r="CI196" s="201"/>
      <c r="CJ196" s="208"/>
      <c r="CK196" s="209" t="s">
        <v>615</v>
      </c>
      <c r="CL196" s="210" t="s">
        <v>615</v>
      </c>
      <c r="CM196" s="207">
        <v>0</v>
      </c>
      <c r="CN196" s="207">
        <v>0</v>
      </c>
      <c r="CO196" s="204">
        <v>0</v>
      </c>
      <c r="CP196" s="204">
        <v>0</v>
      </c>
      <c r="CQ196" s="211"/>
      <c r="CR196" s="204">
        <v>1</v>
      </c>
      <c r="CS196" s="212">
        <v>42558</v>
      </c>
      <c r="CT196" s="212">
        <v>42780</v>
      </c>
      <c r="CU196" s="213">
        <v>42780</v>
      </c>
      <c r="CV196" s="214">
        <v>42829</v>
      </c>
      <c r="CW196" s="214" t="s">
        <v>615</v>
      </c>
      <c r="CX196" s="214" t="s">
        <v>615</v>
      </c>
      <c r="CY196" s="204">
        <v>1</v>
      </c>
      <c r="CZ196" s="204">
        <v>0.97959183673469385</v>
      </c>
      <c r="DA196" s="203">
        <v>0</v>
      </c>
      <c r="DB196" s="204">
        <v>0.97959183673469385</v>
      </c>
      <c r="DC196" s="204">
        <v>0</v>
      </c>
      <c r="DD196" s="204">
        <v>0</v>
      </c>
      <c r="DE196" s="204">
        <v>0</v>
      </c>
      <c r="DF196" s="215">
        <v>0</v>
      </c>
      <c r="DG196" s="13" t="s">
        <v>615</v>
      </c>
      <c r="DH196" s="86">
        <v>194</v>
      </c>
      <c r="DI196" s="86"/>
      <c r="DJ196" s="86">
        <v>190</v>
      </c>
      <c r="DK196" s="86" t="s">
        <v>1649</v>
      </c>
      <c r="DL196" s="86" t="e">
        <v>#N/A</v>
      </c>
      <c r="DM196" s="86" t="e">
        <v>#N/A</v>
      </c>
      <c r="DN196" s="86" t="e">
        <v>#N/A</v>
      </c>
      <c r="DO196" s="86">
        <v>352</v>
      </c>
      <c r="DP196" s="86">
        <v>5</v>
      </c>
      <c r="DQ196" s="86">
        <v>49</v>
      </c>
      <c r="DR196" s="152">
        <v>0</v>
      </c>
      <c r="DS196" s="152">
        <v>0</v>
      </c>
      <c r="DT196" s="152">
        <v>0</v>
      </c>
      <c r="DU196" s="152">
        <v>0</v>
      </c>
      <c r="DV196" s="152">
        <v>0</v>
      </c>
      <c r="DW196" s="152">
        <v>0</v>
      </c>
      <c r="DX196" s="152">
        <v>0</v>
      </c>
      <c r="DY196" s="152">
        <v>0</v>
      </c>
      <c r="DZ196" s="152">
        <v>0</v>
      </c>
      <c r="EA196" s="152">
        <v>0</v>
      </c>
      <c r="EB196" s="152">
        <v>0</v>
      </c>
      <c r="EC196" s="152">
        <v>0</v>
      </c>
      <c r="ED196" s="152">
        <v>0</v>
      </c>
      <c r="EE196" s="152">
        <v>0</v>
      </c>
      <c r="EF196" s="152">
        <v>0</v>
      </c>
      <c r="EG196" s="152">
        <v>0</v>
      </c>
      <c r="EH196" s="152">
        <v>0</v>
      </c>
      <c r="EI196" s="152">
        <v>0</v>
      </c>
      <c r="EJ196" s="152">
        <v>0</v>
      </c>
      <c r="EK196" s="152">
        <v>0</v>
      </c>
      <c r="EL196" s="152">
        <v>0</v>
      </c>
      <c r="EM196" s="152">
        <v>0</v>
      </c>
      <c r="EN196" s="152">
        <v>0</v>
      </c>
      <c r="EO196" s="152">
        <v>0</v>
      </c>
      <c r="EP196" s="152">
        <v>0</v>
      </c>
      <c r="EQ196" s="152">
        <v>0</v>
      </c>
      <c r="ER196" s="152">
        <v>0</v>
      </c>
      <c r="ES196" s="152">
        <v>0</v>
      </c>
      <c r="ET196" s="152">
        <v>0</v>
      </c>
      <c r="EU196" s="152">
        <v>0</v>
      </c>
      <c r="EV196" s="152">
        <v>0</v>
      </c>
      <c r="EW196" s="152">
        <v>0</v>
      </c>
      <c r="EX196" s="152">
        <v>0</v>
      </c>
      <c r="EY196" s="152">
        <v>0</v>
      </c>
      <c r="EZ196" s="152">
        <v>0</v>
      </c>
      <c r="FA196" s="152">
        <v>0</v>
      </c>
      <c r="FB196" s="152">
        <v>0</v>
      </c>
      <c r="FC196" s="152">
        <v>0</v>
      </c>
      <c r="FD196" s="152">
        <v>0</v>
      </c>
      <c r="FE196" s="152">
        <v>0</v>
      </c>
      <c r="FF196" s="152">
        <v>0</v>
      </c>
      <c r="FG196" s="152">
        <v>0</v>
      </c>
      <c r="FH196" s="152">
        <v>0</v>
      </c>
      <c r="FI196" s="152">
        <v>0</v>
      </c>
      <c r="FJ196" s="152">
        <v>0</v>
      </c>
      <c r="FK196" s="152">
        <v>0</v>
      </c>
      <c r="FL196" s="152">
        <v>0</v>
      </c>
      <c r="FM196" s="152">
        <v>0</v>
      </c>
      <c r="FN196" s="152">
        <v>0</v>
      </c>
      <c r="FO196" s="152">
        <v>0</v>
      </c>
      <c r="FP196" s="152">
        <v>0</v>
      </c>
      <c r="FQ196" s="152">
        <v>0</v>
      </c>
      <c r="FR196" s="152">
        <v>0</v>
      </c>
      <c r="FS196" s="152">
        <v>0</v>
      </c>
      <c r="FT196" s="152">
        <v>0</v>
      </c>
      <c r="FU196" s="152">
        <v>0</v>
      </c>
      <c r="FV196" s="152">
        <v>0</v>
      </c>
      <c r="FW196" s="152">
        <v>0</v>
      </c>
      <c r="FX196" s="152">
        <v>0</v>
      </c>
      <c r="FY196" s="152">
        <v>0</v>
      </c>
      <c r="FZ196" s="152">
        <v>0</v>
      </c>
      <c r="GA196" s="152">
        <v>0</v>
      </c>
      <c r="GB196" s="152">
        <v>0</v>
      </c>
      <c r="GC196" s="152">
        <v>0</v>
      </c>
      <c r="GD196" s="152">
        <v>0</v>
      </c>
      <c r="GE196" s="152">
        <v>0</v>
      </c>
      <c r="GF196" s="152">
        <v>0</v>
      </c>
      <c r="GG196" s="152">
        <v>0</v>
      </c>
      <c r="GH196" s="152">
        <v>0</v>
      </c>
      <c r="GI196" s="152">
        <v>0</v>
      </c>
      <c r="GJ196" s="152">
        <v>0</v>
      </c>
      <c r="GK196" s="152">
        <v>0</v>
      </c>
      <c r="GL196" s="152">
        <v>0</v>
      </c>
      <c r="GM196" s="152">
        <v>0</v>
      </c>
      <c r="GN196" s="152">
        <v>0</v>
      </c>
      <c r="GO196" s="152">
        <v>0</v>
      </c>
      <c r="GP196" s="152">
        <v>0</v>
      </c>
      <c r="GQ196" s="152">
        <v>0</v>
      </c>
      <c r="GR196" s="152">
        <v>0</v>
      </c>
      <c r="GS196" s="152">
        <v>0</v>
      </c>
      <c r="GT196" s="152">
        <v>0</v>
      </c>
      <c r="GU196" s="152">
        <v>0</v>
      </c>
      <c r="GV196" s="152">
        <v>0</v>
      </c>
      <c r="GW196" s="152">
        <v>0</v>
      </c>
      <c r="GX196" s="152">
        <v>0</v>
      </c>
      <c r="GY196" s="152">
        <v>0</v>
      </c>
      <c r="GZ196" s="152">
        <v>0</v>
      </c>
      <c r="HA196" s="152">
        <v>0</v>
      </c>
      <c r="HB196" s="152">
        <v>0</v>
      </c>
      <c r="HC196" s="152">
        <v>0</v>
      </c>
      <c r="HD196" s="152">
        <v>0</v>
      </c>
      <c r="HE196" s="152">
        <v>0</v>
      </c>
      <c r="HF196" s="152">
        <v>0</v>
      </c>
      <c r="HG196" s="152">
        <v>0</v>
      </c>
      <c r="HH196" s="152">
        <v>0</v>
      </c>
      <c r="HI196" s="152">
        <v>0</v>
      </c>
      <c r="HJ196" s="152">
        <v>0</v>
      </c>
      <c r="HK196" s="152">
        <v>0</v>
      </c>
      <c r="HL196" s="152">
        <v>0</v>
      </c>
      <c r="HM196" s="152">
        <v>0</v>
      </c>
      <c r="HN196" s="152">
        <v>0</v>
      </c>
      <c r="HO196" s="152">
        <v>0</v>
      </c>
      <c r="HP196" s="152">
        <v>0</v>
      </c>
      <c r="HQ196" s="152">
        <v>0</v>
      </c>
      <c r="HR196" s="152">
        <v>0</v>
      </c>
      <c r="HS196" s="152">
        <v>0</v>
      </c>
      <c r="HT196" s="152">
        <v>0</v>
      </c>
      <c r="HU196" s="216"/>
      <c r="HV196" s="152">
        <v>0</v>
      </c>
      <c r="HW196" s="216"/>
      <c r="HX196" s="216"/>
      <c r="HY196" s="216"/>
      <c r="HZ196" s="216"/>
      <c r="IA196" s="216"/>
      <c r="IB196" s="216"/>
      <c r="IC196" s="216"/>
      <c r="ID196" s="216"/>
      <c r="IE196" s="216"/>
      <c r="IF196" s="216"/>
      <c r="IG196" s="216"/>
      <c r="IH196" s="216"/>
      <c r="II196" s="216"/>
      <c r="IJ196" s="216"/>
      <c r="IK196" s="216"/>
      <c r="IL196" s="216"/>
      <c r="IM196" s="216"/>
      <c r="IN196" s="216"/>
      <c r="IO196" s="216"/>
      <c r="IP196" s="216"/>
      <c r="IQ196" s="216"/>
      <c r="IR196" s="216"/>
      <c r="IS196" s="216"/>
      <c r="IT196" s="216"/>
      <c r="IU196" s="216"/>
      <c r="IV196" s="216"/>
      <c r="IW196" s="216"/>
      <c r="IX196" s="216"/>
      <c r="IY196" s="216"/>
      <c r="IZ196" s="216"/>
      <c r="JA196" s="216"/>
      <c r="JB196" s="216"/>
      <c r="JC196" s="216"/>
      <c r="JD196" s="216"/>
      <c r="JE196" s="216"/>
      <c r="JF196" s="216"/>
      <c r="JG196" s="216"/>
      <c r="JH196" s="216"/>
      <c r="JI196" s="216"/>
      <c r="JJ196" s="216"/>
      <c r="JK196" s="216"/>
      <c r="JL196" s="216"/>
      <c r="JM196" s="216"/>
      <c r="JN196" s="216"/>
      <c r="JO196" s="216"/>
      <c r="JP196" s="216"/>
      <c r="JQ196" s="216"/>
      <c r="JR196" s="216"/>
      <c r="JS196" s="216"/>
      <c r="JT196" s="216"/>
      <c r="JU196" s="216"/>
      <c r="JV196" s="216"/>
      <c r="JW196" s="216"/>
      <c r="JX196" s="216"/>
      <c r="JY196" s="216"/>
      <c r="JZ196" s="216"/>
      <c r="KA196" s="216"/>
      <c r="KB196" s="216"/>
      <c r="KC196" s="216"/>
      <c r="KD196" s="216"/>
      <c r="KE196" s="216"/>
      <c r="KF196" s="216"/>
      <c r="KG196" s="216"/>
      <c r="KH196" s="216"/>
      <c r="KI196" s="216"/>
      <c r="KJ196" s="216"/>
      <c r="KK196" s="216"/>
      <c r="KL196" s="216"/>
      <c r="KM196" s="216"/>
      <c r="KN196" s="216"/>
      <c r="KO196" s="216"/>
      <c r="KP196" s="216"/>
      <c r="KQ196" s="216"/>
      <c r="KR196" s="216"/>
      <c r="KS196" s="216"/>
      <c r="KT196" s="216"/>
      <c r="KU196" s="216"/>
      <c r="KV196" s="216"/>
      <c r="KW196" s="216"/>
      <c r="KX196" s="216"/>
      <c r="KY196" s="216"/>
      <c r="KZ196" s="216"/>
      <c r="LA196" s="216"/>
      <c r="LB196" s="216"/>
      <c r="LC196" s="216"/>
      <c r="LD196" s="216"/>
      <c r="LE196" s="216"/>
    </row>
    <row r="197" spans="1:317" x14ac:dyDescent="0.2">
      <c r="A197" s="179" t="s">
        <v>849</v>
      </c>
      <c r="B197" s="180" t="s">
        <v>1096</v>
      </c>
      <c r="C197" s="181"/>
      <c r="D197" s="182">
        <v>0</v>
      </c>
      <c r="E197" s="182">
        <v>0</v>
      </c>
      <c r="F197" s="183" t="s">
        <v>1314</v>
      </c>
      <c r="G197" s="183">
        <v>0</v>
      </c>
      <c r="H197" s="183">
        <v>0</v>
      </c>
      <c r="I197" s="183">
        <v>0</v>
      </c>
      <c r="J197" s="183">
        <v>0</v>
      </c>
      <c r="K197" s="183" t="s">
        <v>1368</v>
      </c>
      <c r="L197" s="183">
        <v>0</v>
      </c>
      <c r="M197" s="183">
        <v>0</v>
      </c>
      <c r="N197" s="183" t="s">
        <v>881</v>
      </c>
      <c r="O197" s="183">
        <v>0</v>
      </c>
      <c r="P197" s="183">
        <v>0</v>
      </c>
      <c r="Q197" s="183"/>
      <c r="R197" s="183"/>
      <c r="S197" s="183"/>
      <c r="T197" s="183"/>
      <c r="U197" s="183"/>
      <c r="V197" s="183">
        <v>0</v>
      </c>
      <c r="W197" s="183">
        <v>0</v>
      </c>
      <c r="X197" s="183">
        <v>0</v>
      </c>
      <c r="Y197" s="184">
        <v>0</v>
      </c>
      <c r="Z197" s="184">
        <v>0</v>
      </c>
      <c r="AA197" s="184">
        <v>0</v>
      </c>
      <c r="AB197" s="185" t="s">
        <v>615</v>
      </c>
      <c r="AC197" s="185" t="s">
        <v>615</v>
      </c>
      <c r="AD197" s="186" t="s">
        <v>881</v>
      </c>
      <c r="AE197" s="186" t="s">
        <v>858</v>
      </c>
      <c r="AF197" s="187">
        <v>7</v>
      </c>
      <c r="AG197" s="187">
        <v>3</v>
      </c>
      <c r="AH197" s="187">
        <v>4</v>
      </c>
      <c r="AI197" s="188">
        <v>1</v>
      </c>
      <c r="AJ197" s="188" t="s">
        <v>615</v>
      </c>
      <c r="AK197" s="187" t="s">
        <v>1738</v>
      </c>
      <c r="AL197" s="87" t="s">
        <v>615</v>
      </c>
      <c r="AM197" s="189"/>
      <c r="AN197" s="187" t="s">
        <v>615</v>
      </c>
      <c r="AO197" s="13" t="s">
        <v>615</v>
      </c>
      <c r="AP197" s="187">
        <v>0</v>
      </c>
      <c r="AQ197" s="187">
        <v>0</v>
      </c>
      <c r="AR197" s="190">
        <v>0</v>
      </c>
      <c r="AS197" s="190">
        <v>0</v>
      </c>
      <c r="AT197" s="190">
        <v>0</v>
      </c>
      <c r="AU197" s="187">
        <v>0</v>
      </c>
      <c r="AV197" s="187">
        <v>0</v>
      </c>
      <c r="AW197" s="191"/>
      <c r="AX197" s="192"/>
      <c r="AY197" s="193">
        <v>42666</v>
      </c>
      <c r="AZ197" s="193"/>
      <c r="BA197" s="193"/>
      <c r="BB197" s="194"/>
      <c r="BC197" s="194"/>
      <c r="BD197" s="195"/>
      <c r="BE197" s="195" t="s">
        <v>532</v>
      </c>
      <c r="BF197" s="195"/>
      <c r="BG197" s="195">
        <v>72</v>
      </c>
      <c r="BH197" s="196" t="s">
        <v>547</v>
      </c>
      <c r="BI197" s="197">
        <v>1</v>
      </c>
      <c r="BJ197" s="198"/>
      <c r="BK197" s="199">
        <v>0</v>
      </c>
      <c r="BL197" s="13">
        <v>0</v>
      </c>
      <c r="BM197" s="13">
        <v>0</v>
      </c>
      <c r="BN197" s="13" t="s">
        <v>616</v>
      </c>
      <c r="BO197" s="13" t="s">
        <v>616</v>
      </c>
      <c r="BP197" s="200">
        <v>0</v>
      </c>
      <c r="BQ197" s="201"/>
      <c r="BR197" s="202"/>
      <c r="BS197" s="187">
        <v>1000000000</v>
      </c>
      <c r="BT197" s="203">
        <v>0</v>
      </c>
      <c r="BU197" s="204">
        <v>0</v>
      </c>
      <c r="BV197" s="203">
        <v>0</v>
      </c>
      <c r="BW197" s="205">
        <v>0</v>
      </c>
      <c r="BX197" s="205">
        <v>0</v>
      </c>
      <c r="BY197" s="205">
        <v>0</v>
      </c>
      <c r="BZ197" s="203">
        <v>0</v>
      </c>
      <c r="CA197" s="203">
        <v>0</v>
      </c>
      <c r="CB197" s="203">
        <v>0</v>
      </c>
      <c r="CC197" s="204">
        <v>0</v>
      </c>
      <c r="CD197" s="203">
        <v>0</v>
      </c>
      <c r="CE197" s="203">
        <v>0</v>
      </c>
      <c r="CF197" s="13">
        <v>0</v>
      </c>
      <c r="CG197" s="206">
        <v>0</v>
      </c>
      <c r="CH197" s="207">
        <v>0</v>
      </c>
      <c r="CI197" s="201"/>
      <c r="CJ197" s="208"/>
      <c r="CK197" s="209" t="s">
        <v>615</v>
      </c>
      <c r="CL197" s="210" t="s">
        <v>615</v>
      </c>
      <c r="CM197" s="207">
        <v>0</v>
      </c>
      <c r="CN197" s="207">
        <v>0</v>
      </c>
      <c r="CO197" s="204">
        <v>0</v>
      </c>
      <c r="CP197" s="204">
        <v>0</v>
      </c>
      <c r="CQ197" s="211"/>
      <c r="CR197" s="204">
        <v>1</v>
      </c>
      <c r="CS197" s="212">
        <v>42558</v>
      </c>
      <c r="CT197" s="212">
        <v>42780</v>
      </c>
      <c r="CU197" s="213">
        <v>42780</v>
      </c>
      <c r="CV197" s="214">
        <v>42829</v>
      </c>
      <c r="CW197" s="214" t="s">
        <v>615</v>
      </c>
      <c r="CX197" s="214" t="s">
        <v>615</v>
      </c>
      <c r="CY197" s="204">
        <v>1</v>
      </c>
      <c r="CZ197" s="204">
        <v>0.97959183673469385</v>
      </c>
      <c r="DA197" s="203">
        <v>0</v>
      </c>
      <c r="DB197" s="204">
        <v>0.97959183673469385</v>
      </c>
      <c r="DC197" s="204">
        <v>0</v>
      </c>
      <c r="DD197" s="204">
        <v>0</v>
      </c>
      <c r="DE197" s="204">
        <v>0</v>
      </c>
      <c r="DF197" s="215">
        <v>0</v>
      </c>
      <c r="DG197" s="13" t="s">
        <v>615</v>
      </c>
      <c r="DH197" s="86">
        <v>195</v>
      </c>
      <c r="DI197" s="86"/>
      <c r="DJ197" s="86">
        <v>191</v>
      </c>
      <c r="DK197" s="86" t="s">
        <v>1650</v>
      </c>
      <c r="DL197" s="86" t="e">
        <v>#N/A</v>
      </c>
      <c r="DM197" s="86" t="e">
        <v>#N/A</v>
      </c>
      <c r="DN197" s="86" t="e">
        <v>#N/A</v>
      </c>
      <c r="DO197" s="86">
        <v>353</v>
      </c>
      <c r="DP197" s="86">
        <v>5</v>
      </c>
      <c r="DQ197" s="86">
        <v>49</v>
      </c>
      <c r="DR197" s="146">
        <v>0</v>
      </c>
      <c r="DS197" s="146">
        <v>0</v>
      </c>
      <c r="DT197" s="146">
        <v>0</v>
      </c>
      <c r="DU197" s="146">
        <v>0</v>
      </c>
      <c r="DV197" s="146">
        <v>0</v>
      </c>
      <c r="DW197" s="146">
        <v>0</v>
      </c>
      <c r="DX197" s="146">
        <v>0</v>
      </c>
      <c r="DY197" s="146">
        <v>0</v>
      </c>
      <c r="DZ197" s="146">
        <v>0</v>
      </c>
      <c r="EA197" s="146">
        <v>0</v>
      </c>
      <c r="EB197" s="146">
        <v>0</v>
      </c>
      <c r="EC197" s="146">
        <v>0</v>
      </c>
      <c r="ED197" s="146">
        <v>0</v>
      </c>
      <c r="EE197" s="146">
        <v>0</v>
      </c>
      <c r="EF197" s="146">
        <v>0</v>
      </c>
      <c r="EG197" s="146">
        <v>0</v>
      </c>
      <c r="EH197" s="146">
        <v>0</v>
      </c>
      <c r="EI197" s="146">
        <v>0</v>
      </c>
      <c r="EJ197" s="146">
        <v>0</v>
      </c>
      <c r="EK197" s="146">
        <v>0</v>
      </c>
      <c r="EL197" s="146">
        <v>0</v>
      </c>
      <c r="EM197" s="146">
        <v>0</v>
      </c>
      <c r="EN197" s="146">
        <v>0</v>
      </c>
      <c r="EO197" s="146">
        <v>0</v>
      </c>
      <c r="EP197" s="146">
        <v>0</v>
      </c>
      <c r="EQ197" s="146">
        <v>0</v>
      </c>
      <c r="ER197" s="146">
        <v>0</v>
      </c>
      <c r="ES197" s="146">
        <v>0</v>
      </c>
      <c r="ET197" s="146">
        <v>0</v>
      </c>
      <c r="EU197" s="146">
        <v>0</v>
      </c>
      <c r="EV197" s="146">
        <v>0</v>
      </c>
      <c r="EW197" s="146">
        <v>0</v>
      </c>
      <c r="EX197" s="146">
        <v>0</v>
      </c>
      <c r="EY197" s="146">
        <v>0</v>
      </c>
      <c r="EZ197" s="146">
        <v>0</v>
      </c>
      <c r="FA197" s="146">
        <v>0</v>
      </c>
      <c r="FB197" s="146">
        <v>0</v>
      </c>
      <c r="FC197" s="146">
        <v>0</v>
      </c>
      <c r="FD197" s="146">
        <v>0</v>
      </c>
      <c r="FE197" s="146">
        <v>0</v>
      </c>
      <c r="FF197" s="146">
        <v>0</v>
      </c>
      <c r="FG197" s="146">
        <v>0</v>
      </c>
      <c r="FH197" s="146">
        <v>0</v>
      </c>
      <c r="FI197" s="146">
        <v>0</v>
      </c>
      <c r="FJ197" s="146">
        <v>0</v>
      </c>
      <c r="FK197" s="146">
        <v>0</v>
      </c>
      <c r="FL197" s="146">
        <v>0</v>
      </c>
      <c r="FM197" s="146">
        <v>0</v>
      </c>
      <c r="FN197" s="146">
        <v>0</v>
      </c>
      <c r="FO197" s="146">
        <v>0</v>
      </c>
      <c r="FP197" s="146">
        <v>0</v>
      </c>
      <c r="FQ197" s="146">
        <v>0</v>
      </c>
      <c r="FR197" s="146">
        <v>0</v>
      </c>
      <c r="FS197" s="146">
        <v>0</v>
      </c>
      <c r="FT197" s="146">
        <v>0</v>
      </c>
      <c r="FU197" s="146">
        <v>0</v>
      </c>
      <c r="FV197" s="146">
        <v>0</v>
      </c>
      <c r="FW197" s="146">
        <v>0</v>
      </c>
      <c r="FX197" s="146">
        <v>0</v>
      </c>
      <c r="FY197" s="146">
        <v>0</v>
      </c>
      <c r="FZ197" s="146">
        <v>0</v>
      </c>
      <c r="GA197" s="146">
        <v>0</v>
      </c>
      <c r="GB197" s="146">
        <v>0</v>
      </c>
      <c r="GC197" s="146">
        <v>0</v>
      </c>
      <c r="GD197" s="146">
        <v>0</v>
      </c>
      <c r="GE197" s="146">
        <v>0</v>
      </c>
      <c r="GF197" s="146">
        <v>0</v>
      </c>
      <c r="GG197" s="146">
        <v>0</v>
      </c>
      <c r="GH197" s="146">
        <v>0</v>
      </c>
      <c r="GI197" s="146">
        <v>0</v>
      </c>
      <c r="GJ197" s="146">
        <v>0</v>
      </c>
      <c r="GK197" s="146">
        <v>0</v>
      </c>
      <c r="GL197" s="146">
        <v>0</v>
      </c>
      <c r="GM197" s="146">
        <v>0</v>
      </c>
      <c r="GN197" s="146">
        <v>0</v>
      </c>
      <c r="GO197" s="146">
        <v>0</v>
      </c>
      <c r="GP197" s="146">
        <v>0</v>
      </c>
      <c r="GQ197" s="146">
        <v>0</v>
      </c>
      <c r="GR197" s="146">
        <v>0</v>
      </c>
      <c r="GS197" s="146">
        <v>0</v>
      </c>
      <c r="GT197" s="146">
        <v>0</v>
      </c>
      <c r="GU197" s="146">
        <v>0</v>
      </c>
      <c r="GV197" s="146">
        <v>0</v>
      </c>
      <c r="GW197" s="146">
        <v>0</v>
      </c>
      <c r="GX197" s="146">
        <v>0</v>
      </c>
      <c r="GY197" s="146">
        <v>0</v>
      </c>
      <c r="GZ197" s="146">
        <v>0</v>
      </c>
      <c r="HA197" s="146">
        <v>0</v>
      </c>
      <c r="HB197" s="146">
        <v>0</v>
      </c>
      <c r="HC197" s="146">
        <v>0</v>
      </c>
      <c r="HD197" s="146">
        <v>0</v>
      </c>
      <c r="HE197" s="146">
        <v>0</v>
      </c>
      <c r="HF197" s="146">
        <v>0</v>
      </c>
      <c r="HG197" s="146">
        <v>0</v>
      </c>
      <c r="HH197" s="146">
        <v>0</v>
      </c>
      <c r="HI197" s="146">
        <v>0</v>
      </c>
      <c r="HJ197" s="146">
        <v>0</v>
      </c>
      <c r="HK197" s="146">
        <v>0</v>
      </c>
      <c r="HL197" s="146">
        <v>0</v>
      </c>
      <c r="HM197" s="146">
        <v>0</v>
      </c>
      <c r="HN197" s="146">
        <v>0</v>
      </c>
      <c r="HO197" s="146">
        <v>0</v>
      </c>
      <c r="HP197" s="146">
        <v>0</v>
      </c>
      <c r="HQ197" s="146">
        <v>0</v>
      </c>
      <c r="HR197" s="146">
        <v>0</v>
      </c>
      <c r="HS197" s="146">
        <v>0</v>
      </c>
      <c r="HT197" s="146">
        <v>0</v>
      </c>
      <c r="HU197" s="151"/>
      <c r="HV197" s="146">
        <v>0</v>
      </c>
      <c r="HW197" s="151"/>
      <c r="HX197" s="151"/>
      <c r="HY197" s="151"/>
      <c r="HZ197" s="151"/>
      <c r="IA197" s="151"/>
      <c r="IB197" s="151"/>
      <c r="IC197" s="151"/>
      <c r="ID197" s="151"/>
      <c r="IE197" s="151"/>
      <c r="IF197" s="151"/>
      <c r="IG197" s="151"/>
      <c r="IH197" s="151"/>
      <c r="II197" s="151"/>
      <c r="IJ197" s="151"/>
      <c r="IK197" s="151"/>
      <c r="IL197" s="151"/>
      <c r="IM197" s="151"/>
      <c r="IN197" s="151"/>
      <c r="IO197" s="151"/>
      <c r="IP197" s="151"/>
      <c r="IQ197" s="151"/>
      <c r="IR197" s="151"/>
      <c r="IS197" s="151"/>
      <c r="IT197" s="151"/>
      <c r="IU197" s="151"/>
      <c r="IV197" s="151"/>
      <c r="IW197" s="151"/>
      <c r="IX197" s="151"/>
      <c r="IY197" s="151"/>
      <c r="IZ197" s="151"/>
      <c r="JA197" s="151"/>
      <c r="JB197" s="151"/>
      <c r="JC197" s="151"/>
      <c r="JD197" s="151"/>
      <c r="JE197" s="151"/>
      <c r="JF197" s="151"/>
      <c r="JG197" s="151"/>
      <c r="JH197" s="151"/>
      <c r="JI197" s="151"/>
      <c r="JJ197" s="151"/>
      <c r="JK197" s="151"/>
      <c r="JL197" s="151"/>
      <c r="JM197" s="151"/>
      <c r="JN197" s="151"/>
      <c r="JO197" s="151"/>
      <c r="JP197" s="151"/>
      <c r="JQ197" s="151"/>
      <c r="JR197" s="151"/>
      <c r="JS197" s="151"/>
      <c r="JT197" s="151"/>
      <c r="JU197" s="151"/>
      <c r="JV197" s="151"/>
      <c r="JW197" s="151"/>
      <c r="JX197" s="151"/>
      <c r="JY197" s="151"/>
      <c r="JZ197" s="151"/>
      <c r="KA197" s="151"/>
      <c r="KB197" s="151"/>
      <c r="KC197" s="151"/>
      <c r="KD197" s="151"/>
      <c r="KE197" s="151"/>
      <c r="KF197" s="151"/>
      <c r="KG197" s="151"/>
      <c r="KH197" s="151"/>
      <c r="KI197" s="151"/>
      <c r="KJ197" s="151"/>
      <c r="KK197" s="151"/>
      <c r="KL197" s="151"/>
      <c r="KM197" s="151"/>
      <c r="KN197" s="151"/>
      <c r="KO197" s="151"/>
      <c r="KP197" s="151"/>
      <c r="KQ197" s="151"/>
      <c r="KR197" s="151"/>
      <c r="KS197" s="151"/>
      <c r="KT197" s="151"/>
      <c r="KU197" s="151"/>
      <c r="KV197" s="151"/>
      <c r="KW197" s="151"/>
      <c r="KX197" s="151"/>
      <c r="KY197" s="151"/>
      <c r="KZ197" s="151"/>
      <c r="LA197" s="151"/>
      <c r="LB197" s="151"/>
      <c r="LC197" s="151"/>
      <c r="LD197" s="151"/>
      <c r="LE197" s="151"/>
    </row>
    <row r="198" spans="1:317" x14ac:dyDescent="0.2">
      <c r="A198" s="179" t="s">
        <v>849</v>
      </c>
      <c r="B198" s="180" t="s">
        <v>1097</v>
      </c>
      <c r="C198" s="181"/>
      <c r="D198" s="182">
        <v>0</v>
      </c>
      <c r="E198" s="182">
        <v>0</v>
      </c>
      <c r="F198" s="183" t="s">
        <v>1314</v>
      </c>
      <c r="G198" s="183">
        <v>0</v>
      </c>
      <c r="H198" s="183">
        <v>0</v>
      </c>
      <c r="I198" s="183">
        <v>0</v>
      </c>
      <c r="J198" s="183">
        <v>0</v>
      </c>
      <c r="K198" s="183" t="s">
        <v>1368</v>
      </c>
      <c r="L198" s="183">
        <v>0</v>
      </c>
      <c r="M198" s="183">
        <v>0</v>
      </c>
      <c r="N198" s="183" t="s">
        <v>881</v>
      </c>
      <c r="O198" s="183">
        <v>0</v>
      </c>
      <c r="P198" s="183">
        <v>0</v>
      </c>
      <c r="Q198" s="183"/>
      <c r="R198" s="183"/>
      <c r="S198" s="183"/>
      <c r="T198" s="183"/>
      <c r="U198" s="183"/>
      <c r="V198" s="183">
        <v>0</v>
      </c>
      <c r="W198" s="183">
        <v>0</v>
      </c>
      <c r="X198" s="183">
        <v>0</v>
      </c>
      <c r="Y198" s="184">
        <v>0</v>
      </c>
      <c r="Z198" s="184">
        <v>0</v>
      </c>
      <c r="AA198" s="184">
        <v>0</v>
      </c>
      <c r="AB198" s="185" t="s">
        <v>615</v>
      </c>
      <c r="AC198" s="185" t="s">
        <v>615</v>
      </c>
      <c r="AD198" s="186" t="s">
        <v>881</v>
      </c>
      <c r="AE198" s="186" t="s">
        <v>858</v>
      </c>
      <c r="AF198" s="187">
        <v>7</v>
      </c>
      <c r="AG198" s="187">
        <v>3</v>
      </c>
      <c r="AH198" s="187">
        <v>4</v>
      </c>
      <c r="AI198" s="188">
        <v>1</v>
      </c>
      <c r="AJ198" s="188" t="s">
        <v>615</v>
      </c>
      <c r="AK198" s="187" t="s">
        <v>1738</v>
      </c>
      <c r="AL198" s="87" t="s">
        <v>615</v>
      </c>
      <c r="AM198" s="189"/>
      <c r="AN198" s="187" t="s">
        <v>615</v>
      </c>
      <c r="AO198" s="13" t="s">
        <v>615</v>
      </c>
      <c r="AP198" s="187">
        <v>0</v>
      </c>
      <c r="AQ198" s="187">
        <v>0</v>
      </c>
      <c r="AR198" s="190">
        <v>0</v>
      </c>
      <c r="AS198" s="190">
        <v>0</v>
      </c>
      <c r="AT198" s="190">
        <v>0</v>
      </c>
      <c r="AU198" s="187">
        <v>0</v>
      </c>
      <c r="AV198" s="187">
        <v>0</v>
      </c>
      <c r="AW198" s="191"/>
      <c r="AX198" s="192"/>
      <c r="AY198" s="193">
        <v>42666</v>
      </c>
      <c r="AZ198" s="193"/>
      <c r="BA198" s="193"/>
      <c r="BB198" s="194"/>
      <c r="BC198" s="194"/>
      <c r="BD198" s="195"/>
      <c r="BE198" s="195" t="s">
        <v>532</v>
      </c>
      <c r="BF198" s="195"/>
      <c r="BG198" s="195">
        <v>144</v>
      </c>
      <c r="BH198" s="196" t="s">
        <v>547</v>
      </c>
      <c r="BI198" s="197">
        <v>1</v>
      </c>
      <c r="BJ198" s="198"/>
      <c r="BK198" s="199">
        <v>0</v>
      </c>
      <c r="BL198" s="13">
        <v>0</v>
      </c>
      <c r="BM198" s="13">
        <v>0</v>
      </c>
      <c r="BN198" s="13" t="s">
        <v>616</v>
      </c>
      <c r="BO198" s="13" t="s">
        <v>616</v>
      </c>
      <c r="BP198" s="200">
        <v>0</v>
      </c>
      <c r="BQ198" s="201"/>
      <c r="BR198" s="202"/>
      <c r="BS198" s="187">
        <v>1000000000</v>
      </c>
      <c r="BT198" s="203">
        <v>0</v>
      </c>
      <c r="BU198" s="204">
        <v>0</v>
      </c>
      <c r="BV198" s="203">
        <v>0</v>
      </c>
      <c r="BW198" s="205">
        <v>0</v>
      </c>
      <c r="BX198" s="205">
        <v>0</v>
      </c>
      <c r="BY198" s="205">
        <v>0</v>
      </c>
      <c r="BZ198" s="203">
        <v>0</v>
      </c>
      <c r="CA198" s="203">
        <v>0</v>
      </c>
      <c r="CB198" s="203">
        <v>0</v>
      </c>
      <c r="CC198" s="204">
        <v>0</v>
      </c>
      <c r="CD198" s="203">
        <v>0</v>
      </c>
      <c r="CE198" s="203">
        <v>0</v>
      </c>
      <c r="CF198" s="13">
        <v>0</v>
      </c>
      <c r="CG198" s="206">
        <v>0</v>
      </c>
      <c r="CH198" s="207">
        <v>0</v>
      </c>
      <c r="CI198" s="201"/>
      <c r="CJ198" s="208"/>
      <c r="CK198" s="209" t="s">
        <v>615</v>
      </c>
      <c r="CL198" s="210" t="s">
        <v>615</v>
      </c>
      <c r="CM198" s="207">
        <v>0</v>
      </c>
      <c r="CN198" s="207">
        <v>0</v>
      </c>
      <c r="CO198" s="204">
        <v>0</v>
      </c>
      <c r="CP198" s="204">
        <v>0</v>
      </c>
      <c r="CQ198" s="211"/>
      <c r="CR198" s="204">
        <v>1</v>
      </c>
      <c r="CS198" s="212">
        <v>42558</v>
      </c>
      <c r="CT198" s="212">
        <v>42780</v>
      </c>
      <c r="CU198" s="213">
        <v>42780</v>
      </c>
      <c r="CV198" s="214">
        <v>42829</v>
      </c>
      <c r="CW198" s="214" t="s">
        <v>615</v>
      </c>
      <c r="CX198" s="214" t="s">
        <v>615</v>
      </c>
      <c r="CY198" s="204">
        <v>1</v>
      </c>
      <c r="CZ198" s="204">
        <v>0.97959183673469385</v>
      </c>
      <c r="DA198" s="203">
        <v>0</v>
      </c>
      <c r="DB198" s="204">
        <v>0.97959183673469385</v>
      </c>
      <c r="DC198" s="204">
        <v>0</v>
      </c>
      <c r="DD198" s="204">
        <v>0</v>
      </c>
      <c r="DE198" s="204">
        <v>0</v>
      </c>
      <c r="DF198" s="215">
        <v>0</v>
      </c>
      <c r="DG198" s="13" t="s">
        <v>615</v>
      </c>
      <c r="DH198" s="86">
        <v>196</v>
      </c>
      <c r="DI198" s="86"/>
      <c r="DJ198" s="86">
        <v>192</v>
      </c>
      <c r="DK198" s="86" t="s">
        <v>1651</v>
      </c>
      <c r="DL198" s="86" t="e">
        <v>#N/A</v>
      </c>
      <c r="DM198" s="86" t="e">
        <v>#N/A</v>
      </c>
      <c r="DN198" s="86" t="e">
        <v>#N/A</v>
      </c>
      <c r="DO198" s="86">
        <v>354</v>
      </c>
      <c r="DP198" s="86">
        <v>5</v>
      </c>
      <c r="DQ198" s="86">
        <v>49</v>
      </c>
      <c r="DR198" s="152">
        <v>0</v>
      </c>
      <c r="DS198" s="152">
        <v>0</v>
      </c>
      <c r="DT198" s="152">
        <v>0</v>
      </c>
      <c r="DU198" s="152">
        <v>0</v>
      </c>
      <c r="DV198" s="152">
        <v>0</v>
      </c>
      <c r="DW198" s="152">
        <v>0</v>
      </c>
      <c r="DX198" s="152">
        <v>0</v>
      </c>
      <c r="DY198" s="152">
        <v>0</v>
      </c>
      <c r="DZ198" s="152">
        <v>0</v>
      </c>
      <c r="EA198" s="152">
        <v>0</v>
      </c>
      <c r="EB198" s="152">
        <v>0</v>
      </c>
      <c r="EC198" s="152">
        <v>0</v>
      </c>
      <c r="ED198" s="152">
        <v>0</v>
      </c>
      <c r="EE198" s="152">
        <v>0</v>
      </c>
      <c r="EF198" s="152">
        <v>0</v>
      </c>
      <c r="EG198" s="152">
        <v>0</v>
      </c>
      <c r="EH198" s="152">
        <v>0</v>
      </c>
      <c r="EI198" s="152">
        <v>0</v>
      </c>
      <c r="EJ198" s="152">
        <v>0</v>
      </c>
      <c r="EK198" s="152">
        <v>0</v>
      </c>
      <c r="EL198" s="152">
        <v>0</v>
      </c>
      <c r="EM198" s="152">
        <v>0</v>
      </c>
      <c r="EN198" s="152">
        <v>0</v>
      </c>
      <c r="EO198" s="152">
        <v>0</v>
      </c>
      <c r="EP198" s="152">
        <v>0</v>
      </c>
      <c r="EQ198" s="152">
        <v>0</v>
      </c>
      <c r="ER198" s="152">
        <v>0</v>
      </c>
      <c r="ES198" s="152">
        <v>0</v>
      </c>
      <c r="ET198" s="152">
        <v>0</v>
      </c>
      <c r="EU198" s="152">
        <v>0</v>
      </c>
      <c r="EV198" s="152">
        <v>0</v>
      </c>
      <c r="EW198" s="152">
        <v>0</v>
      </c>
      <c r="EX198" s="152">
        <v>0</v>
      </c>
      <c r="EY198" s="152">
        <v>0</v>
      </c>
      <c r="EZ198" s="152">
        <v>0</v>
      </c>
      <c r="FA198" s="152">
        <v>0</v>
      </c>
      <c r="FB198" s="152">
        <v>0</v>
      </c>
      <c r="FC198" s="152">
        <v>0</v>
      </c>
      <c r="FD198" s="152">
        <v>0</v>
      </c>
      <c r="FE198" s="152">
        <v>0</v>
      </c>
      <c r="FF198" s="152">
        <v>0</v>
      </c>
      <c r="FG198" s="152">
        <v>0</v>
      </c>
      <c r="FH198" s="152">
        <v>0</v>
      </c>
      <c r="FI198" s="152">
        <v>0</v>
      </c>
      <c r="FJ198" s="152">
        <v>0</v>
      </c>
      <c r="FK198" s="152">
        <v>0</v>
      </c>
      <c r="FL198" s="152">
        <v>0</v>
      </c>
      <c r="FM198" s="152">
        <v>0</v>
      </c>
      <c r="FN198" s="152">
        <v>0</v>
      </c>
      <c r="FO198" s="152">
        <v>0</v>
      </c>
      <c r="FP198" s="152">
        <v>0</v>
      </c>
      <c r="FQ198" s="152">
        <v>0</v>
      </c>
      <c r="FR198" s="152">
        <v>0</v>
      </c>
      <c r="FS198" s="152">
        <v>0</v>
      </c>
      <c r="FT198" s="152">
        <v>0</v>
      </c>
      <c r="FU198" s="152">
        <v>0</v>
      </c>
      <c r="FV198" s="152">
        <v>0</v>
      </c>
      <c r="FW198" s="152">
        <v>0</v>
      </c>
      <c r="FX198" s="152">
        <v>0</v>
      </c>
      <c r="FY198" s="152">
        <v>0</v>
      </c>
      <c r="FZ198" s="152">
        <v>0</v>
      </c>
      <c r="GA198" s="152">
        <v>0</v>
      </c>
      <c r="GB198" s="152">
        <v>0</v>
      </c>
      <c r="GC198" s="152">
        <v>0</v>
      </c>
      <c r="GD198" s="152">
        <v>0</v>
      </c>
      <c r="GE198" s="152">
        <v>0</v>
      </c>
      <c r="GF198" s="152">
        <v>0</v>
      </c>
      <c r="GG198" s="152">
        <v>0</v>
      </c>
      <c r="GH198" s="152">
        <v>0</v>
      </c>
      <c r="GI198" s="152">
        <v>0</v>
      </c>
      <c r="GJ198" s="152">
        <v>0</v>
      </c>
      <c r="GK198" s="152">
        <v>0</v>
      </c>
      <c r="GL198" s="152">
        <v>0</v>
      </c>
      <c r="GM198" s="152">
        <v>0</v>
      </c>
      <c r="GN198" s="152">
        <v>0</v>
      </c>
      <c r="GO198" s="152">
        <v>0</v>
      </c>
      <c r="GP198" s="152">
        <v>0</v>
      </c>
      <c r="GQ198" s="152">
        <v>0</v>
      </c>
      <c r="GR198" s="152">
        <v>0</v>
      </c>
      <c r="GS198" s="152">
        <v>0</v>
      </c>
      <c r="GT198" s="152">
        <v>0</v>
      </c>
      <c r="GU198" s="152">
        <v>0</v>
      </c>
      <c r="GV198" s="152">
        <v>0</v>
      </c>
      <c r="GW198" s="152">
        <v>0</v>
      </c>
      <c r="GX198" s="152">
        <v>0</v>
      </c>
      <c r="GY198" s="152">
        <v>0</v>
      </c>
      <c r="GZ198" s="152">
        <v>0</v>
      </c>
      <c r="HA198" s="152">
        <v>0</v>
      </c>
      <c r="HB198" s="152">
        <v>0</v>
      </c>
      <c r="HC198" s="152">
        <v>0</v>
      </c>
      <c r="HD198" s="152">
        <v>0</v>
      </c>
      <c r="HE198" s="152">
        <v>0</v>
      </c>
      <c r="HF198" s="152">
        <v>0</v>
      </c>
      <c r="HG198" s="152">
        <v>0</v>
      </c>
      <c r="HH198" s="152">
        <v>0</v>
      </c>
      <c r="HI198" s="152">
        <v>0</v>
      </c>
      <c r="HJ198" s="152">
        <v>0</v>
      </c>
      <c r="HK198" s="152">
        <v>0</v>
      </c>
      <c r="HL198" s="152">
        <v>0</v>
      </c>
      <c r="HM198" s="152">
        <v>0</v>
      </c>
      <c r="HN198" s="152">
        <v>0</v>
      </c>
      <c r="HO198" s="152">
        <v>0</v>
      </c>
      <c r="HP198" s="152">
        <v>0</v>
      </c>
      <c r="HQ198" s="152">
        <v>0</v>
      </c>
      <c r="HR198" s="152">
        <v>0</v>
      </c>
      <c r="HS198" s="152">
        <v>0</v>
      </c>
      <c r="HT198" s="152">
        <v>0</v>
      </c>
      <c r="HU198" s="216"/>
      <c r="HV198" s="152">
        <v>0</v>
      </c>
      <c r="HW198" s="216"/>
      <c r="HX198" s="216"/>
      <c r="HY198" s="216"/>
      <c r="HZ198" s="216"/>
      <c r="IA198" s="216"/>
      <c r="IB198" s="216"/>
      <c r="IC198" s="216"/>
      <c r="ID198" s="216"/>
      <c r="IE198" s="216"/>
      <c r="IF198" s="216"/>
      <c r="IG198" s="216"/>
      <c r="IH198" s="216"/>
      <c r="II198" s="216"/>
      <c r="IJ198" s="216"/>
      <c r="IK198" s="216"/>
      <c r="IL198" s="216"/>
      <c r="IM198" s="216"/>
      <c r="IN198" s="216"/>
      <c r="IO198" s="216"/>
      <c r="IP198" s="216"/>
      <c r="IQ198" s="216"/>
      <c r="IR198" s="216"/>
      <c r="IS198" s="216"/>
      <c r="IT198" s="216"/>
      <c r="IU198" s="216"/>
      <c r="IV198" s="216"/>
      <c r="IW198" s="216"/>
      <c r="IX198" s="216"/>
      <c r="IY198" s="216"/>
      <c r="IZ198" s="216"/>
      <c r="JA198" s="216"/>
      <c r="JB198" s="216"/>
      <c r="JC198" s="216"/>
      <c r="JD198" s="216"/>
      <c r="JE198" s="216"/>
      <c r="JF198" s="216"/>
      <c r="JG198" s="216"/>
      <c r="JH198" s="216"/>
      <c r="JI198" s="216"/>
      <c r="JJ198" s="216"/>
      <c r="JK198" s="216"/>
      <c r="JL198" s="216"/>
      <c r="JM198" s="216"/>
      <c r="JN198" s="216"/>
      <c r="JO198" s="216"/>
      <c r="JP198" s="216"/>
      <c r="JQ198" s="216"/>
      <c r="JR198" s="216"/>
      <c r="JS198" s="216"/>
      <c r="JT198" s="216"/>
      <c r="JU198" s="216"/>
      <c r="JV198" s="216"/>
      <c r="JW198" s="216"/>
      <c r="JX198" s="216"/>
      <c r="JY198" s="216"/>
      <c r="JZ198" s="216"/>
      <c r="KA198" s="216"/>
      <c r="KB198" s="216"/>
      <c r="KC198" s="216"/>
      <c r="KD198" s="216"/>
      <c r="KE198" s="216"/>
      <c r="KF198" s="216"/>
      <c r="KG198" s="216"/>
      <c r="KH198" s="216"/>
      <c r="KI198" s="216"/>
      <c r="KJ198" s="216"/>
      <c r="KK198" s="216"/>
      <c r="KL198" s="216"/>
      <c r="KM198" s="216"/>
      <c r="KN198" s="216"/>
      <c r="KO198" s="216"/>
      <c r="KP198" s="216"/>
      <c r="KQ198" s="216"/>
      <c r="KR198" s="216"/>
      <c r="KS198" s="216"/>
      <c r="KT198" s="216"/>
      <c r="KU198" s="216"/>
      <c r="KV198" s="216"/>
      <c r="KW198" s="216"/>
      <c r="KX198" s="216"/>
      <c r="KY198" s="216"/>
      <c r="KZ198" s="216"/>
      <c r="LA198" s="216"/>
      <c r="LB198" s="216"/>
      <c r="LC198" s="216"/>
      <c r="LD198" s="216"/>
      <c r="LE198" s="216"/>
    </row>
    <row r="199" spans="1:317" x14ac:dyDescent="0.2">
      <c r="A199" s="179" t="s">
        <v>849</v>
      </c>
      <c r="B199" s="180" t="s">
        <v>1098</v>
      </c>
      <c r="C199" s="181"/>
      <c r="D199" s="182">
        <v>0</v>
      </c>
      <c r="E199" s="182">
        <v>0</v>
      </c>
      <c r="F199" s="183" t="s">
        <v>1314</v>
      </c>
      <c r="G199" s="183">
        <v>0</v>
      </c>
      <c r="H199" s="183">
        <v>0</v>
      </c>
      <c r="I199" s="183">
        <v>0</v>
      </c>
      <c r="J199" s="183">
        <v>0</v>
      </c>
      <c r="K199" s="183" t="s">
        <v>1368</v>
      </c>
      <c r="L199" s="183">
        <v>0</v>
      </c>
      <c r="M199" s="183">
        <v>0</v>
      </c>
      <c r="N199" s="183" t="s">
        <v>881</v>
      </c>
      <c r="O199" s="183">
        <v>0</v>
      </c>
      <c r="P199" s="183">
        <v>0</v>
      </c>
      <c r="Q199" s="183"/>
      <c r="R199" s="183"/>
      <c r="S199" s="183"/>
      <c r="T199" s="183"/>
      <c r="U199" s="183"/>
      <c r="V199" s="183">
        <v>0</v>
      </c>
      <c r="W199" s="183">
        <v>0</v>
      </c>
      <c r="X199" s="183">
        <v>0</v>
      </c>
      <c r="Y199" s="184">
        <v>0</v>
      </c>
      <c r="Z199" s="184">
        <v>0</v>
      </c>
      <c r="AA199" s="184">
        <v>0</v>
      </c>
      <c r="AB199" s="185" t="s">
        <v>615</v>
      </c>
      <c r="AC199" s="185" t="s">
        <v>615</v>
      </c>
      <c r="AD199" s="186" t="s">
        <v>881</v>
      </c>
      <c r="AE199" s="186" t="s">
        <v>858</v>
      </c>
      <c r="AF199" s="187">
        <v>7</v>
      </c>
      <c r="AG199" s="187">
        <v>3</v>
      </c>
      <c r="AH199" s="187">
        <v>4</v>
      </c>
      <c r="AI199" s="188">
        <v>1</v>
      </c>
      <c r="AJ199" s="188" t="s">
        <v>615</v>
      </c>
      <c r="AK199" s="187" t="s">
        <v>1738</v>
      </c>
      <c r="AL199" s="87" t="s">
        <v>615</v>
      </c>
      <c r="AM199" s="189"/>
      <c r="AN199" s="187" t="s">
        <v>615</v>
      </c>
      <c r="AO199" s="13" t="s">
        <v>615</v>
      </c>
      <c r="AP199" s="187">
        <v>0</v>
      </c>
      <c r="AQ199" s="187">
        <v>0</v>
      </c>
      <c r="AR199" s="190">
        <v>0</v>
      </c>
      <c r="AS199" s="190">
        <v>0</v>
      </c>
      <c r="AT199" s="190">
        <v>0</v>
      </c>
      <c r="AU199" s="187">
        <v>0</v>
      </c>
      <c r="AV199" s="187">
        <v>0</v>
      </c>
      <c r="AW199" s="191"/>
      <c r="AX199" s="192"/>
      <c r="AY199" s="193">
        <v>42666</v>
      </c>
      <c r="AZ199" s="193"/>
      <c r="BA199" s="193"/>
      <c r="BB199" s="194"/>
      <c r="BC199" s="194"/>
      <c r="BD199" s="195"/>
      <c r="BE199" s="195" t="s">
        <v>532</v>
      </c>
      <c r="BF199" s="195"/>
      <c r="BG199" s="195">
        <v>120</v>
      </c>
      <c r="BH199" s="196" t="s">
        <v>547</v>
      </c>
      <c r="BI199" s="197">
        <v>1</v>
      </c>
      <c r="BJ199" s="198"/>
      <c r="BK199" s="199">
        <v>0</v>
      </c>
      <c r="BL199" s="13">
        <v>0</v>
      </c>
      <c r="BM199" s="13">
        <v>0</v>
      </c>
      <c r="BN199" s="13" t="s">
        <v>616</v>
      </c>
      <c r="BO199" s="13" t="s">
        <v>616</v>
      </c>
      <c r="BP199" s="200">
        <v>0</v>
      </c>
      <c r="BQ199" s="201"/>
      <c r="BR199" s="202"/>
      <c r="BS199" s="187">
        <v>1000000000</v>
      </c>
      <c r="BT199" s="203">
        <v>0</v>
      </c>
      <c r="BU199" s="204">
        <v>0</v>
      </c>
      <c r="BV199" s="203">
        <v>0</v>
      </c>
      <c r="BW199" s="205">
        <v>0</v>
      </c>
      <c r="BX199" s="205">
        <v>0</v>
      </c>
      <c r="BY199" s="205">
        <v>0</v>
      </c>
      <c r="BZ199" s="203">
        <v>0</v>
      </c>
      <c r="CA199" s="203">
        <v>0</v>
      </c>
      <c r="CB199" s="203">
        <v>0</v>
      </c>
      <c r="CC199" s="204">
        <v>0</v>
      </c>
      <c r="CD199" s="203">
        <v>0</v>
      </c>
      <c r="CE199" s="203">
        <v>0</v>
      </c>
      <c r="CF199" s="13">
        <v>0</v>
      </c>
      <c r="CG199" s="206">
        <v>0</v>
      </c>
      <c r="CH199" s="207">
        <v>0</v>
      </c>
      <c r="CI199" s="201"/>
      <c r="CJ199" s="208"/>
      <c r="CK199" s="209" t="s">
        <v>615</v>
      </c>
      <c r="CL199" s="210" t="s">
        <v>615</v>
      </c>
      <c r="CM199" s="207">
        <v>0</v>
      </c>
      <c r="CN199" s="207">
        <v>0</v>
      </c>
      <c r="CO199" s="204">
        <v>0</v>
      </c>
      <c r="CP199" s="204">
        <v>0</v>
      </c>
      <c r="CQ199" s="211"/>
      <c r="CR199" s="204">
        <v>1</v>
      </c>
      <c r="CS199" s="212">
        <v>42558</v>
      </c>
      <c r="CT199" s="212">
        <v>42780</v>
      </c>
      <c r="CU199" s="213">
        <v>42780</v>
      </c>
      <c r="CV199" s="214">
        <v>42829</v>
      </c>
      <c r="CW199" s="214" t="s">
        <v>615</v>
      </c>
      <c r="CX199" s="214" t="s">
        <v>615</v>
      </c>
      <c r="CY199" s="204">
        <v>1</v>
      </c>
      <c r="CZ199" s="204">
        <v>0.97959183673469385</v>
      </c>
      <c r="DA199" s="203">
        <v>0</v>
      </c>
      <c r="DB199" s="204">
        <v>0.97959183673469385</v>
      </c>
      <c r="DC199" s="204">
        <v>0</v>
      </c>
      <c r="DD199" s="204">
        <v>0</v>
      </c>
      <c r="DE199" s="204">
        <v>0</v>
      </c>
      <c r="DF199" s="215">
        <v>0</v>
      </c>
      <c r="DG199" s="13" t="s">
        <v>615</v>
      </c>
      <c r="DH199" s="86">
        <v>197</v>
      </c>
      <c r="DI199" s="86"/>
      <c r="DJ199" s="86">
        <v>193</v>
      </c>
      <c r="DK199" s="86" t="s">
        <v>1652</v>
      </c>
      <c r="DL199" s="86" t="e">
        <v>#N/A</v>
      </c>
      <c r="DM199" s="86" t="e">
        <v>#N/A</v>
      </c>
      <c r="DN199" s="86" t="e">
        <v>#N/A</v>
      </c>
      <c r="DO199" s="86">
        <v>355</v>
      </c>
      <c r="DP199" s="86">
        <v>5</v>
      </c>
      <c r="DQ199" s="86">
        <v>49</v>
      </c>
      <c r="DR199" s="146">
        <v>0</v>
      </c>
      <c r="DS199" s="146">
        <v>0</v>
      </c>
      <c r="DT199" s="146">
        <v>0</v>
      </c>
      <c r="DU199" s="146">
        <v>0</v>
      </c>
      <c r="DV199" s="146">
        <v>0</v>
      </c>
      <c r="DW199" s="146">
        <v>0</v>
      </c>
      <c r="DX199" s="146">
        <v>0</v>
      </c>
      <c r="DY199" s="146">
        <v>0</v>
      </c>
      <c r="DZ199" s="146">
        <v>0</v>
      </c>
      <c r="EA199" s="146">
        <v>0</v>
      </c>
      <c r="EB199" s="146">
        <v>0</v>
      </c>
      <c r="EC199" s="146">
        <v>0</v>
      </c>
      <c r="ED199" s="146">
        <v>0</v>
      </c>
      <c r="EE199" s="146">
        <v>0</v>
      </c>
      <c r="EF199" s="146">
        <v>0</v>
      </c>
      <c r="EG199" s="146">
        <v>0</v>
      </c>
      <c r="EH199" s="146">
        <v>0</v>
      </c>
      <c r="EI199" s="146">
        <v>0</v>
      </c>
      <c r="EJ199" s="146">
        <v>0</v>
      </c>
      <c r="EK199" s="146">
        <v>0</v>
      </c>
      <c r="EL199" s="146">
        <v>0</v>
      </c>
      <c r="EM199" s="146">
        <v>0</v>
      </c>
      <c r="EN199" s="146">
        <v>0</v>
      </c>
      <c r="EO199" s="146">
        <v>0</v>
      </c>
      <c r="EP199" s="146">
        <v>0</v>
      </c>
      <c r="EQ199" s="146">
        <v>0</v>
      </c>
      <c r="ER199" s="146">
        <v>0</v>
      </c>
      <c r="ES199" s="146">
        <v>0</v>
      </c>
      <c r="ET199" s="146">
        <v>0</v>
      </c>
      <c r="EU199" s="146">
        <v>0</v>
      </c>
      <c r="EV199" s="146">
        <v>0</v>
      </c>
      <c r="EW199" s="146">
        <v>0</v>
      </c>
      <c r="EX199" s="146">
        <v>0</v>
      </c>
      <c r="EY199" s="146">
        <v>0</v>
      </c>
      <c r="EZ199" s="146">
        <v>0</v>
      </c>
      <c r="FA199" s="146">
        <v>0</v>
      </c>
      <c r="FB199" s="146">
        <v>0</v>
      </c>
      <c r="FC199" s="146">
        <v>0</v>
      </c>
      <c r="FD199" s="146">
        <v>0</v>
      </c>
      <c r="FE199" s="146">
        <v>0</v>
      </c>
      <c r="FF199" s="146">
        <v>0</v>
      </c>
      <c r="FG199" s="146">
        <v>0</v>
      </c>
      <c r="FH199" s="146">
        <v>0</v>
      </c>
      <c r="FI199" s="146">
        <v>0</v>
      </c>
      <c r="FJ199" s="146">
        <v>0</v>
      </c>
      <c r="FK199" s="146">
        <v>0</v>
      </c>
      <c r="FL199" s="146">
        <v>0</v>
      </c>
      <c r="FM199" s="146">
        <v>0</v>
      </c>
      <c r="FN199" s="146">
        <v>0</v>
      </c>
      <c r="FO199" s="146">
        <v>0</v>
      </c>
      <c r="FP199" s="146">
        <v>0</v>
      </c>
      <c r="FQ199" s="146">
        <v>0</v>
      </c>
      <c r="FR199" s="146">
        <v>0</v>
      </c>
      <c r="FS199" s="146">
        <v>0</v>
      </c>
      <c r="FT199" s="146">
        <v>0</v>
      </c>
      <c r="FU199" s="146">
        <v>0</v>
      </c>
      <c r="FV199" s="146">
        <v>0</v>
      </c>
      <c r="FW199" s="146">
        <v>0</v>
      </c>
      <c r="FX199" s="146">
        <v>0</v>
      </c>
      <c r="FY199" s="146">
        <v>0</v>
      </c>
      <c r="FZ199" s="146">
        <v>0</v>
      </c>
      <c r="GA199" s="146">
        <v>0</v>
      </c>
      <c r="GB199" s="146">
        <v>0</v>
      </c>
      <c r="GC199" s="146">
        <v>0</v>
      </c>
      <c r="GD199" s="146">
        <v>0</v>
      </c>
      <c r="GE199" s="146">
        <v>0</v>
      </c>
      <c r="GF199" s="146">
        <v>0</v>
      </c>
      <c r="GG199" s="146">
        <v>0</v>
      </c>
      <c r="GH199" s="146">
        <v>0</v>
      </c>
      <c r="GI199" s="146">
        <v>0</v>
      </c>
      <c r="GJ199" s="146">
        <v>0</v>
      </c>
      <c r="GK199" s="146">
        <v>0</v>
      </c>
      <c r="GL199" s="146">
        <v>0</v>
      </c>
      <c r="GM199" s="146">
        <v>0</v>
      </c>
      <c r="GN199" s="146">
        <v>0</v>
      </c>
      <c r="GO199" s="146">
        <v>0</v>
      </c>
      <c r="GP199" s="146">
        <v>0</v>
      </c>
      <c r="GQ199" s="146">
        <v>0</v>
      </c>
      <c r="GR199" s="146">
        <v>0</v>
      </c>
      <c r="GS199" s="146">
        <v>0</v>
      </c>
      <c r="GT199" s="146">
        <v>0</v>
      </c>
      <c r="GU199" s="146">
        <v>0</v>
      </c>
      <c r="GV199" s="146">
        <v>0</v>
      </c>
      <c r="GW199" s="146">
        <v>0</v>
      </c>
      <c r="GX199" s="146">
        <v>0</v>
      </c>
      <c r="GY199" s="146">
        <v>0</v>
      </c>
      <c r="GZ199" s="146">
        <v>0</v>
      </c>
      <c r="HA199" s="146">
        <v>0</v>
      </c>
      <c r="HB199" s="146">
        <v>0</v>
      </c>
      <c r="HC199" s="146">
        <v>0</v>
      </c>
      <c r="HD199" s="146">
        <v>0</v>
      </c>
      <c r="HE199" s="146">
        <v>0</v>
      </c>
      <c r="HF199" s="146">
        <v>0</v>
      </c>
      <c r="HG199" s="146">
        <v>0</v>
      </c>
      <c r="HH199" s="146">
        <v>0</v>
      </c>
      <c r="HI199" s="146">
        <v>0</v>
      </c>
      <c r="HJ199" s="146">
        <v>0</v>
      </c>
      <c r="HK199" s="146">
        <v>0</v>
      </c>
      <c r="HL199" s="146">
        <v>0</v>
      </c>
      <c r="HM199" s="146">
        <v>0</v>
      </c>
      <c r="HN199" s="146">
        <v>0</v>
      </c>
      <c r="HO199" s="146">
        <v>0</v>
      </c>
      <c r="HP199" s="146">
        <v>0</v>
      </c>
      <c r="HQ199" s="146">
        <v>0</v>
      </c>
      <c r="HR199" s="146">
        <v>0</v>
      </c>
      <c r="HS199" s="146">
        <v>0</v>
      </c>
      <c r="HT199" s="146">
        <v>0</v>
      </c>
      <c r="HU199" s="151"/>
      <c r="HV199" s="146">
        <v>0</v>
      </c>
      <c r="HW199" s="151"/>
      <c r="HX199" s="151"/>
      <c r="HY199" s="151"/>
      <c r="HZ199" s="151"/>
      <c r="IA199" s="151"/>
      <c r="IB199" s="151"/>
      <c r="IC199" s="151"/>
      <c r="ID199" s="151"/>
      <c r="IE199" s="151"/>
      <c r="IF199" s="151"/>
      <c r="IG199" s="151"/>
      <c r="IH199" s="151"/>
      <c r="II199" s="151"/>
      <c r="IJ199" s="151"/>
      <c r="IK199" s="151"/>
      <c r="IL199" s="151"/>
      <c r="IM199" s="151"/>
      <c r="IN199" s="151"/>
      <c r="IO199" s="151"/>
      <c r="IP199" s="151"/>
      <c r="IQ199" s="151"/>
      <c r="IR199" s="151"/>
      <c r="IS199" s="151"/>
      <c r="IT199" s="151"/>
      <c r="IU199" s="151"/>
      <c r="IV199" s="151"/>
      <c r="IW199" s="151"/>
      <c r="IX199" s="151"/>
      <c r="IY199" s="151"/>
      <c r="IZ199" s="151"/>
      <c r="JA199" s="151"/>
      <c r="JB199" s="151"/>
      <c r="JC199" s="151"/>
      <c r="JD199" s="151"/>
      <c r="JE199" s="151"/>
      <c r="JF199" s="151"/>
      <c r="JG199" s="151"/>
      <c r="JH199" s="151"/>
      <c r="JI199" s="151"/>
      <c r="JJ199" s="151"/>
      <c r="JK199" s="151"/>
      <c r="JL199" s="151"/>
      <c r="JM199" s="151"/>
      <c r="JN199" s="151"/>
      <c r="JO199" s="151"/>
      <c r="JP199" s="151"/>
      <c r="JQ199" s="151"/>
      <c r="JR199" s="151"/>
      <c r="JS199" s="151"/>
      <c r="JT199" s="151"/>
      <c r="JU199" s="151"/>
      <c r="JV199" s="151"/>
      <c r="JW199" s="151"/>
      <c r="JX199" s="151"/>
      <c r="JY199" s="151"/>
      <c r="JZ199" s="151"/>
      <c r="KA199" s="151"/>
      <c r="KB199" s="151"/>
      <c r="KC199" s="151"/>
      <c r="KD199" s="151"/>
      <c r="KE199" s="151"/>
      <c r="KF199" s="151"/>
      <c r="KG199" s="151"/>
      <c r="KH199" s="151"/>
      <c r="KI199" s="151"/>
      <c r="KJ199" s="151"/>
      <c r="KK199" s="151"/>
      <c r="KL199" s="151"/>
      <c r="KM199" s="151"/>
      <c r="KN199" s="151"/>
      <c r="KO199" s="151"/>
      <c r="KP199" s="151"/>
      <c r="KQ199" s="151"/>
      <c r="KR199" s="151"/>
      <c r="KS199" s="151"/>
      <c r="KT199" s="151"/>
      <c r="KU199" s="151"/>
      <c r="KV199" s="151"/>
      <c r="KW199" s="151"/>
      <c r="KX199" s="151"/>
      <c r="KY199" s="151"/>
      <c r="KZ199" s="151"/>
      <c r="LA199" s="151"/>
      <c r="LB199" s="151"/>
      <c r="LC199" s="151"/>
      <c r="LD199" s="151"/>
      <c r="LE199" s="151"/>
    </row>
    <row r="200" spans="1:317" x14ac:dyDescent="0.2">
      <c r="A200" s="179" t="s">
        <v>849</v>
      </c>
      <c r="B200" s="180" t="s">
        <v>1099</v>
      </c>
      <c r="C200" s="181"/>
      <c r="D200" s="182">
        <v>0</v>
      </c>
      <c r="E200" s="182">
        <v>0</v>
      </c>
      <c r="F200" s="183" t="s">
        <v>1314</v>
      </c>
      <c r="G200" s="183">
        <v>0</v>
      </c>
      <c r="H200" s="183">
        <v>0</v>
      </c>
      <c r="I200" s="183">
        <v>0</v>
      </c>
      <c r="J200" s="183">
        <v>0</v>
      </c>
      <c r="K200" s="183" t="s">
        <v>1368</v>
      </c>
      <c r="L200" s="183">
        <v>0</v>
      </c>
      <c r="M200" s="183">
        <v>0</v>
      </c>
      <c r="N200" s="183" t="s">
        <v>881</v>
      </c>
      <c r="O200" s="183">
        <v>0</v>
      </c>
      <c r="P200" s="183">
        <v>0</v>
      </c>
      <c r="Q200" s="183"/>
      <c r="R200" s="183"/>
      <c r="S200" s="183"/>
      <c r="T200" s="183"/>
      <c r="U200" s="183"/>
      <c r="V200" s="183">
        <v>0</v>
      </c>
      <c r="W200" s="183">
        <v>0</v>
      </c>
      <c r="X200" s="183">
        <v>0</v>
      </c>
      <c r="Y200" s="184">
        <v>0</v>
      </c>
      <c r="Z200" s="184">
        <v>0</v>
      </c>
      <c r="AA200" s="184">
        <v>0</v>
      </c>
      <c r="AB200" s="185" t="s">
        <v>615</v>
      </c>
      <c r="AC200" s="185" t="s">
        <v>615</v>
      </c>
      <c r="AD200" s="186" t="s">
        <v>881</v>
      </c>
      <c r="AE200" s="186" t="s">
        <v>858</v>
      </c>
      <c r="AF200" s="187">
        <v>7</v>
      </c>
      <c r="AG200" s="187">
        <v>3</v>
      </c>
      <c r="AH200" s="187">
        <v>4</v>
      </c>
      <c r="AI200" s="188">
        <v>1</v>
      </c>
      <c r="AJ200" s="188" t="s">
        <v>615</v>
      </c>
      <c r="AK200" s="187" t="s">
        <v>1738</v>
      </c>
      <c r="AL200" s="87" t="s">
        <v>615</v>
      </c>
      <c r="AM200" s="189"/>
      <c r="AN200" s="187" t="s">
        <v>615</v>
      </c>
      <c r="AO200" s="13" t="s">
        <v>615</v>
      </c>
      <c r="AP200" s="187">
        <v>0</v>
      </c>
      <c r="AQ200" s="187">
        <v>0</v>
      </c>
      <c r="AR200" s="190">
        <v>0</v>
      </c>
      <c r="AS200" s="190">
        <v>0</v>
      </c>
      <c r="AT200" s="190">
        <v>0</v>
      </c>
      <c r="AU200" s="187">
        <v>0</v>
      </c>
      <c r="AV200" s="187">
        <v>0</v>
      </c>
      <c r="AW200" s="191"/>
      <c r="AX200" s="192"/>
      <c r="AY200" s="193">
        <v>42666</v>
      </c>
      <c r="AZ200" s="193"/>
      <c r="BA200" s="193"/>
      <c r="BB200" s="194"/>
      <c r="BC200" s="194"/>
      <c r="BD200" s="195"/>
      <c r="BE200" s="195" t="s">
        <v>532</v>
      </c>
      <c r="BF200" s="195"/>
      <c r="BG200" s="195">
        <v>48</v>
      </c>
      <c r="BH200" s="196" t="s">
        <v>547</v>
      </c>
      <c r="BI200" s="197">
        <v>1</v>
      </c>
      <c r="BJ200" s="198"/>
      <c r="BK200" s="199">
        <v>0</v>
      </c>
      <c r="BL200" s="13">
        <v>0</v>
      </c>
      <c r="BM200" s="13">
        <v>0</v>
      </c>
      <c r="BN200" s="13" t="s">
        <v>616</v>
      </c>
      <c r="BO200" s="13" t="s">
        <v>616</v>
      </c>
      <c r="BP200" s="200">
        <v>0</v>
      </c>
      <c r="BQ200" s="201"/>
      <c r="BR200" s="202"/>
      <c r="BS200" s="187">
        <v>1000000000</v>
      </c>
      <c r="BT200" s="203">
        <v>0</v>
      </c>
      <c r="BU200" s="204">
        <v>0</v>
      </c>
      <c r="BV200" s="203">
        <v>0</v>
      </c>
      <c r="BW200" s="205">
        <v>0</v>
      </c>
      <c r="BX200" s="205">
        <v>0</v>
      </c>
      <c r="BY200" s="205">
        <v>0</v>
      </c>
      <c r="BZ200" s="203">
        <v>0</v>
      </c>
      <c r="CA200" s="203">
        <v>0</v>
      </c>
      <c r="CB200" s="203">
        <v>0</v>
      </c>
      <c r="CC200" s="204">
        <v>0</v>
      </c>
      <c r="CD200" s="203">
        <v>0</v>
      </c>
      <c r="CE200" s="203">
        <v>0</v>
      </c>
      <c r="CF200" s="13">
        <v>0</v>
      </c>
      <c r="CG200" s="206">
        <v>0</v>
      </c>
      <c r="CH200" s="207">
        <v>0</v>
      </c>
      <c r="CI200" s="201"/>
      <c r="CJ200" s="208"/>
      <c r="CK200" s="209" t="s">
        <v>615</v>
      </c>
      <c r="CL200" s="210" t="s">
        <v>615</v>
      </c>
      <c r="CM200" s="207">
        <v>0</v>
      </c>
      <c r="CN200" s="207">
        <v>0</v>
      </c>
      <c r="CO200" s="204">
        <v>0</v>
      </c>
      <c r="CP200" s="204">
        <v>0</v>
      </c>
      <c r="CQ200" s="211"/>
      <c r="CR200" s="204">
        <v>1</v>
      </c>
      <c r="CS200" s="212">
        <v>42558</v>
      </c>
      <c r="CT200" s="212">
        <v>42780</v>
      </c>
      <c r="CU200" s="213">
        <v>42780</v>
      </c>
      <c r="CV200" s="214">
        <v>42829</v>
      </c>
      <c r="CW200" s="214" t="s">
        <v>615</v>
      </c>
      <c r="CX200" s="214" t="s">
        <v>615</v>
      </c>
      <c r="CY200" s="204">
        <v>1</v>
      </c>
      <c r="CZ200" s="204">
        <v>0.97959183673469385</v>
      </c>
      <c r="DA200" s="203">
        <v>0</v>
      </c>
      <c r="DB200" s="204">
        <v>0.97959183673469385</v>
      </c>
      <c r="DC200" s="204">
        <v>0</v>
      </c>
      <c r="DD200" s="204">
        <v>0</v>
      </c>
      <c r="DE200" s="204">
        <v>0</v>
      </c>
      <c r="DF200" s="215">
        <v>0</v>
      </c>
      <c r="DG200" s="13" t="s">
        <v>615</v>
      </c>
      <c r="DH200" s="86">
        <v>198</v>
      </c>
      <c r="DI200" s="86"/>
      <c r="DJ200" s="86">
        <v>194</v>
      </c>
      <c r="DK200" s="86" t="s">
        <v>1653</v>
      </c>
      <c r="DL200" s="86" t="e">
        <v>#N/A</v>
      </c>
      <c r="DM200" s="86" t="e">
        <v>#N/A</v>
      </c>
      <c r="DN200" s="86" t="e">
        <v>#N/A</v>
      </c>
      <c r="DO200" s="86">
        <v>356</v>
      </c>
      <c r="DP200" s="86">
        <v>5</v>
      </c>
      <c r="DQ200" s="86">
        <v>49</v>
      </c>
      <c r="DR200" s="152">
        <v>0</v>
      </c>
      <c r="DS200" s="152">
        <v>0</v>
      </c>
      <c r="DT200" s="152">
        <v>0</v>
      </c>
      <c r="DU200" s="152">
        <v>0</v>
      </c>
      <c r="DV200" s="152">
        <v>0</v>
      </c>
      <c r="DW200" s="152">
        <v>0</v>
      </c>
      <c r="DX200" s="152">
        <v>0</v>
      </c>
      <c r="DY200" s="152">
        <v>0</v>
      </c>
      <c r="DZ200" s="152">
        <v>0</v>
      </c>
      <c r="EA200" s="152">
        <v>0</v>
      </c>
      <c r="EB200" s="152">
        <v>0</v>
      </c>
      <c r="EC200" s="152">
        <v>0</v>
      </c>
      <c r="ED200" s="152">
        <v>0</v>
      </c>
      <c r="EE200" s="152">
        <v>0</v>
      </c>
      <c r="EF200" s="152">
        <v>0</v>
      </c>
      <c r="EG200" s="152">
        <v>0</v>
      </c>
      <c r="EH200" s="152">
        <v>0</v>
      </c>
      <c r="EI200" s="152">
        <v>0</v>
      </c>
      <c r="EJ200" s="152">
        <v>0</v>
      </c>
      <c r="EK200" s="152">
        <v>0</v>
      </c>
      <c r="EL200" s="152">
        <v>0</v>
      </c>
      <c r="EM200" s="152">
        <v>0</v>
      </c>
      <c r="EN200" s="152">
        <v>0</v>
      </c>
      <c r="EO200" s="152">
        <v>0</v>
      </c>
      <c r="EP200" s="152">
        <v>0</v>
      </c>
      <c r="EQ200" s="152">
        <v>0</v>
      </c>
      <c r="ER200" s="152">
        <v>0</v>
      </c>
      <c r="ES200" s="152">
        <v>0</v>
      </c>
      <c r="ET200" s="152">
        <v>0</v>
      </c>
      <c r="EU200" s="152">
        <v>0</v>
      </c>
      <c r="EV200" s="152">
        <v>0</v>
      </c>
      <c r="EW200" s="152">
        <v>0</v>
      </c>
      <c r="EX200" s="152">
        <v>0</v>
      </c>
      <c r="EY200" s="152">
        <v>0</v>
      </c>
      <c r="EZ200" s="152">
        <v>0</v>
      </c>
      <c r="FA200" s="152">
        <v>0</v>
      </c>
      <c r="FB200" s="152">
        <v>0</v>
      </c>
      <c r="FC200" s="152">
        <v>0</v>
      </c>
      <c r="FD200" s="152">
        <v>0</v>
      </c>
      <c r="FE200" s="152">
        <v>0</v>
      </c>
      <c r="FF200" s="152">
        <v>0</v>
      </c>
      <c r="FG200" s="152">
        <v>0</v>
      </c>
      <c r="FH200" s="152">
        <v>0</v>
      </c>
      <c r="FI200" s="152">
        <v>0</v>
      </c>
      <c r="FJ200" s="152">
        <v>0</v>
      </c>
      <c r="FK200" s="152">
        <v>0</v>
      </c>
      <c r="FL200" s="152">
        <v>0</v>
      </c>
      <c r="FM200" s="152">
        <v>0</v>
      </c>
      <c r="FN200" s="152">
        <v>0</v>
      </c>
      <c r="FO200" s="152">
        <v>0</v>
      </c>
      <c r="FP200" s="152">
        <v>0</v>
      </c>
      <c r="FQ200" s="152">
        <v>0</v>
      </c>
      <c r="FR200" s="152">
        <v>0</v>
      </c>
      <c r="FS200" s="152">
        <v>0</v>
      </c>
      <c r="FT200" s="152">
        <v>0</v>
      </c>
      <c r="FU200" s="152">
        <v>0</v>
      </c>
      <c r="FV200" s="152">
        <v>0</v>
      </c>
      <c r="FW200" s="152">
        <v>0</v>
      </c>
      <c r="FX200" s="152">
        <v>0</v>
      </c>
      <c r="FY200" s="152">
        <v>0</v>
      </c>
      <c r="FZ200" s="152">
        <v>0</v>
      </c>
      <c r="GA200" s="152">
        <v>0</v>
      </c>
      <c r="GB200" s="152">
        <v>0</v>
      </c>
      <c r="GC200" s="152">
        <v>0</v>
      </c>
      <c r="GD200" s="152">
        <v>0</v>
      </c>
      <c r="GE200" s="152">
        <v>0</v>
      </c>
      <c r="GF200" s="152">
        <v>0</v>
      </c>
      <c r="GG200" s="152">
        <v>0</v>
      </c>
      <c r="GH200" s="152">
        <v>0</v>
      </c>
      <c r="GI200" s="152">
        <v>0</v>
      </c>
      <c r="GJ200" s="152">
        <v>0</v>
      </c>
      <c r="GK200" s="152">
        <v>0</v>
      </c>
      <c r="GL200" s="152">
        <v>0</v>
      </c>
      <c r="GM200" s="152">
        <v>0</v>
      </c>
      <c r="GN200" s="152">
        <v>0</v>
      </c>
      <c r="GO200" s="152">
        <v>0</v>
      </c>
      <c r="GP200" s="152">
        <v>0</v>
      </c>
      <c r="GQ200" s="152">
        <v>0</v>
      </c>
      <c r="GR200" s="152">
        <v>0</v>
      </c>
      <c r="GS200" s="152">
        <v>0</v>
      </c>
      <c r="GT200" s="152">
        <v>0</v>
      </c>
      <c r="GU200" s="152">
        <v>0</v>
      </c>
      <c r="GV200" s="152">
        <v>0</v>
      </c>
      <c r="GW200" s="152">
        <v>0</v>
      </c>
      <c r="GX200" s="152">
        <v>0</v>
      </c>
      <c r="GY200" s="152">
        <v>0</v>
      </c>
      <c r="GZ200" s="152">
        <v>0</v>
      </c>
      <c r="HA200" s="152">
        <v>0</v>
      </c>
      <c r="HB200" s="152">
        <v>0</v>
      </c>
      <c r="HC200" s="152">
        <v>0</v>
      </c>
      <c r="HD200" s="152">
        <v>0</v>
      </c>
      <c r="HE200" s="152">
        <v>0</v>
      </c>
      <c r="HF200" s="152">
        <v>0</v>
      </c>
      <c r="HG200" s="152">
        <v>0</v>
      </c>
      <c r="HH200" s="152">
        <v>0</v>
      </c>
      <c r="HI200" s="152">
        <v>0</v>
      </c>
      <c r="HJ200" s="152">
        <v>0</v>
      </c>
      <c r="HK200" s="152">
        <v>0</v>
      </c>
      <c r="HL200" s="152">
        <v>0</v>
      </c>
      <c r="HM200" s="152">
        <v>0</v>
      </c>
      <c r="HN200" s="152">
        <v>0</v>
      </c>
      <c r="HO200" s="152">
        <v>0</v>
      </c>
      <c r="HP200" s="152">
        <v>0</v>
      </c>
      <c r="HQ200" s="152">
        <v>0</v>
      </c>
      <c r="HR200" s="152">
        <v>0</v>
      </c>
      <c r="HS200" s="152">
        <v>0</v>
      </c>
      <c r="HT200" s="152">
        <v>0</v>
      </c>
      <c r="HU200" s="216"/>
      <c r="HV200" s="152">
        <v>0</v>
      </c>
      <c r="HW200" s="216"/>
      <c r="HX200" s="216"/>
      <c r="HY200" s="216"/>
      <c r="HZ200" s="216"/>
      <c r="IA200" s="216"/>
      <c r="IB200" s="216"/>
      <c r="IC200" s="216"/>
      <c r="ID200" s="216"/>
      <c r="IE200" s="216"/>
      <c r="IF200" s="216"/>
      <c r="IG200" s="216"/>
      <c r="IH200" s="216"/>
      <c r="II200" s="216"/>
      <c r="IJ200" s="216"/>
      <c r="IK200" s="216"/>
      <c r="IL200" s="216"/>
      <c r="IM200" s="216"/>
      <c r="IN200" s="216"/>
      <c r="IO200" s="216"/>
      <c r="IP200" s="216"/>
      <c r="IQ200" s="216"/>
      <c r="IR200" s="216"/>
      <c r="IS200" s="216"/>
      <c r="IT200" s="216"/>
      <c r="IU200" s="216"/>
      <c r="IV200" s="216"/>
      <c r="IW200" s="216"/>
      <c r="IX200" s="216"/>
      <c r="IY200" s="216"/>
      <c r="IZ200" s="216"/>
      <c r="JA200" s="216"/>
      <c r="JB200" s="216"/>
      <c r="JC200" s="216"/>
      <c r="JD200" s="216"/>
      <c r="JE200" s="216"/>
      <c r="JF200" s="216"/>
      <c r="JG200" s="216"/>
      <c r="JH200" s="216"/>
      <c r="JI200" s="216"/>
      <c r="JJ200" s="216"/>
      <c r="JK200" s="216"/>
      <c r="JL200" s="216"/>
      <c r="JM200" s="216"/>
      <c r="JN200" s="216"/>
      <c r="JO200" s="216"/>
      <c r="JP200" s="216"/>
      <c r="JQ200" s="216"/>
      <c r="JR200" s="216"/>
      <c r="JS200" s="216"/>
      <c r="JT200" s="216"/>
      <c r="JU200" s="216"/>
      <c r="JV200" s="216"/>
      <c r="JW200" s="216"/>
      <c r="JX200" s="216"/>
      <c r="JY200" s="216"/>
      <c r="JZ200" s="216"/>
      <c r="KA200" s="216"/>
      <c r="KB200" s="216"/>
      <c r="KC200" s="216"/>
      <c r="KD200" s="216"/>
      <c r="KE200" s="216"/>
      <c r="KF200" s="216"/>
      <c r="KG200" s="216"/>
      <c r="KH200" s="216"/>
      <c r="KI200" s="216"/>
      <c r="KJ200" s="216"/>
      <c r="KK200" s="216"/>
      <c r="KL200" s="216"/>
      <c r="KM200" s="216"/>
      <c r="KN200" s="216"/>
      <c r="KO200" s="216"/>
      <c r="KP200" s="216"/>
      <c r="KQ200" s="216"/>
      <c r="KR200" s="216"/>
      <c r="KS200" s="216"/>
      <c r="KT200" s="216"/>
      <c r="KU200" s="216"/>
      <c r="KV200" s="216"/>
      <c r="KW200" s="216"/>
      <c r="KX200" s="216"/>
      <c r="KY200" s="216"/>
      <c r="KZ200" s="216"/>
      <c r="LA200" s="216"/>
      <c r="LB200" s="216"/>
      <c r="LC200" s="216"/>
      <c r="LD200" s="216"/>
      <c r="LE200" s="216"/>
    </row>
    <row r="201" spans="1:317" x14ac:dyDescent="0.2">
      <c r="A201" s="179" t="s">
        <v>849</v>
      </c>
      <c r="B201" s="180" t="s">
        <v>1100</v>
      </c>
      <c r="C201" s="181"/>
      <c r="D201" s="182">
        <v>0</v>
      </c>
      <c r="E201" s="182">
        <v>0</v>
      </c>
      <c r="F201" s="183" t="s">
        <v>1314</v>
      </c>
      <c r="G201" s="183">
        <v>0</v>
      </c>
      <c r="H201" s="183">
        <v>0</v>
      </c>
      <c r="I201" s="183">
        <v>0</v>
      </c>
      <c r="J201" s="183">
        <v>0</v>
      </c>
      <c r="K201" s="183" t="s">
        <v>1368</v>
      </c>
      <c r="L201" s="183">
        <v>0</v>
      </c>
      <c r="M201" s="183">
        <v>0</v>
      </c>
      <c r="N201" s="183" t="s">
        <v>881</v>
      </c>
      <c r="O201" s="183">
        <v>0</v>
      </c>
      <c r="P201" s="183">
        <v>0</v>
      </c>
      <c r="Q201" s="183"/>
      <c r="R201" s="183"/>
      <c r="S201" s="183"/>
      <c r="T201" s="183"/>
      <c r="U201" s="183"/>
      <c r="V201" s="183">
        <v>0</v>
      </c>
      <c r="W201" s="183">
        <v>0</v>
      </c>
      <c r="X201" s="183">
        <v>0</v>
      </c>
      <c r="Y201" s="184">
        <v>0</v>
      </c>
      <c r="Z201" s="184">
        <v>0</v>
      </c>
      <c r="AA201" s="184">
        <v>0</v>
      </c>
      <c r="AB201" s="185" t="s">
        <v>615</v>
      </c>
      <c r="AC201" s="185" t="s">
        <v>615</v>
      </c>
      <c r="AD201" s="186" t="s">
        <v>881</v>
      </c>
      <c r="AE201" s="186" t="s">
        <v>858</v>
      </c>
      <c r="AF201" s="187">
        <v>7</v>
      </c>
      <c r="AG201" s="187">
        <v>3</v>
      </c>
      <c r="AH201" s="187">
        <v>4</v>
      </c>
      <c r="AI201" s="188">
        <v>1</v>
      </c>
      <c r="AJ201" s="188" t="s">
        <v>615</v>
      </c>
      <c r="AK201" s="187" t="s">
        <v>1738</v>
      </c>
      <c r="AL201" s="87" t="s">
        <v>615</v>
      </c>
      <c r="AM201" s="189"/>
      <c r="AN201" s="187" t="s">
        <v>615</v>
      </c>
      <c r="AO201" s="13" t="s">
        <v>615</v>
      </c>
      <c r="AP201" s="187">
        <v>0</v>
      </c>
      <c r="AQ201" s="187">
        <v>0</v>
      </c>
      <c r="AR201" s="190">
        <v>0</v>
      </c>
      <c r="AS201" s="190">
        <v>0</v>
      </c>
      <c r="AT201" s="190">
        <v>0</v>
      </c>
      <c r="AU201" s="187">
        <v>0</v>
      </c>
      <c r="AV201" s="187">
        <v>0</v>
      </c>
      <c r="AW201" s="191"/>
      <c r="AX201" s="192"/>
      <c r="AY201" s="193">
        <v>42666</v>
      </c>
      <c r="AZ201" s="193"/>
      <c r="BA201" s="193"/>
      <c r="BB201" s="194"/>
      <c r="BC201" s="194"/>
      <c r="BD201" s="195"/>
      <c r="BE201" s="195" t="s">
        <v>532</v>
      </c>
      <c r="BF201" s="195"/>
      <c r="BG201" s="195">
        <v>120</v>
      </c>
      <c r="BH201" s="196" t="s">
        <v>547</v>
      </c>
      <c r="BI201" s="197">
        <v>1</v>
      </c>
      <c r="BJ201" s="198"/>
      <c r="BK201" s="199">
        <v>0</v>
      </c>
      <c r="BL201" s="13">
        <v>0</v>
      </c>
      <c r="BM201" s="13">
        <v>0</v>
      </c>
      <c r="BN201" s="13" t="s">
        <v>616</v>
      </c>
      <c r="BO201" s="13" t="s">
        <v>616</v>
      </c>
      <c r="BP201" s="200">
        <v>0</v>
      </c>
      <c r="BQ201" s="201"/>
      <c r="BR201" s="202"/>
      <c r="BS201" s="187">
        <v>1000000000</v>
      </c>
      <c r="BT201" s="203">
        <v>0</v>
      </c>
      <c r="BU201" s="204">
        <v>0</v>
      </c>
      <c r="BV201" s="203">
        <v>0</v>
      </c>
      <c r="BW201" s="205">
        <v>0</v>
      </c>
      <c r="BX201" s="205">
        <v>0</v>
      </c>
      <c r="BY201" s="205">
        <v>0</v>
      </c>
      <c r="BZ201" s="203">
        <v>0</v>
      </c>
      <c r="CA201" s="203">
        <v>0</v>
      </c>
      <c r="CB201" s="203">
        <v>0</v>
      </c>
      <c r="CC201" s="204">
        <v>0</v>
      </c>
      <c r="CD201" s="203">
        <v>0</v>
      </c>
      <c r="CE201" s="203">
        <v>0</v>
      </c>
      <c r="CF201" s="13">
        <v>0</v>
      </c>
      <c r="CG201" s="206">
        <v>0</v>
      </c>
      <c r="CH201" s="207">
        <v>0</v>
      </c>
      <c r="CI201" s="201"/>
      <c r="CJ201" s="208"/>
      <c r="CK201" s="209" t="s">
        <v>615</v>
      </c>
      <c r="CL201" s="210" t="s">
        <v>615</v>
      </c>
      <c r="CM201" s="207">
        <v>0</v>
      </c>
      <c r="CN201" s="207">
        <v>0</v>
      </c>
      <c r="CO201" s="204">
        <v>0</v>
      </c>
      <c r="CP201" s="204">
        <v>0</v>
      </c>
      <c r="CQ201" s="211"/>
      <c r="CR201" s="204">
        <v>1</v>
      </c>
      <c r="CS201" s="212">
        <v>42558</v>
      </c>
      <c r="CT201" s="212">
        <v>42780</v>
      </c>
      <c r="CU201" s="213">
        <v>42780</v>
      </c>
      <c r="CV201" s="214">
        <v>42829</v>
      </c>
      <c r="CW201" s="214" t="s">
        <v>615</v>
      </c>
      <c r="CX201" s="214" t="s">
        <v>615</v>
      </c>
      <c r="CY201" s="204">
        <v>1</v>
      </c>
      <c r="CZ201" s="204">
        <v>0.97959183673469385</v>
      </c>
      <c r="DA201" s="203">
        <v>0</v>
      </c>
      <c r="DB201" s="204">
        <v>0.97959183673469385</v>
      </c>
      <c r="DC201" s="204">
        <v>0</v>
      </c>
      <c r="DD201" s="204">
        <v>0</v>
      </c>
      <c r="DE201" s="204">
        <v>0</v>
      </c>
      <c r="DF201" s="215">
        <v>0</v>
      </c>
      <c r="DG201" s="13" t="s">
        <v>615</v>
      </c>
      <c r="DH201" s="86">
        <v>199</v>
      </c>
      <c r="DI201" s="86"/>
      <c r="DJ201" s="86">
        <v>195</v>
      </c>
      <c r="DK201" s="86" t="s">
        <v>1654</v>
      </c>
      <c r="DL201" s="86" t="e">
        <v>#N/A</v>
      </c>
      <c r="DM201" s="86" t="e">
        <v>#N/A</v>
      </c>
      <c r="DN201" s="86" t="e">
        <v>#N/A</v>
      </c>
      <c r="DO201" s="86">
        <v>357</v>
      </c>
      <c r="DP201" s="86">
        <v>5</v>
      </c>
      <c r="DQ201" s="86">
        <v>49</v>
      </c>
      <c r="DR201" s="146">
        <v>0</v>
      </c>
      <c r="DS201" s="146">
        <v>0</v>
      </c>
      <c r="DT201" s="146">
        <v>0</v>
      </c>
      <c r="DU201" s="146">
        <v>0</v>
      </c>
      <c r="DV201" s="146">
        <v>0</v>
      </c>
      <c r="DW201" s="146">
        <v>0</v>
      </c>
      <c r="DX201" s="146">
        <v>0</v>
      </c>
      <c r="DY201" s="146">
        <v>0</v>
      </c>
      <c r="DZ201" s="146">
        <v>0</v>
      </c>
      <c r="EA201" s="146">
        <v>0</v>
      </c>
      <c r="EB201" s="146">
        <v>0</v>
      </c>
      <c r="EC201" s="146">
        <v>0</v>
      </c>
      <c r="ED201" s="146">
        <v>0</v>
      </c>
      <c r="EE201" s="146">
        <v>0</v>
      </c>
      <c r="EF201" s="146">
        <v>0</v>
      </c>
      <c r="EG201" s="146">
        <v>0</v>
      </c>
      <c r="EH201" s="146">
        <v>0</v>
      </c>
      <c r="EI201" s="146">
        <v>0</v>
      </c>
      <c r="EJ201" s="146">
        <v>0</v>
      </c>
      <c r="EK201" s="146">
        <v>0</v>
      </c>
      <c r="EL201" s="146">
        <v>0</v>
      </c>
      <c r="EM201" s="146">
        <v>0</v>
      </c>
      <c r="EN201" s="146">
        <v>0</v>
      </c>
      <c r="EO201" s="146">
        <v>0</v>
      </c>
      <c r="EP201" s="146">
        <v>0</v>
      </c>
      <c r="EQ201" s="146">
        <v>0</v>
      </c>
      <c r="ER201" s="146">
        <v>0</v>
      </c>
      <c r="ES201" s="146">
        <v>0</v>
      </c>
      <c r="ET201" s="146">
        <v>0</v>
      </c>
      <c r="EU201" s="146">
        <v>0</v>
      </c>
      <c r="EV201" s="146">
        <v>0</v>
      </c>
      <c r="EW201" s="146">
        <v>0</v>
      </c>
      <c r="EX201" s="146">
        <v>0</v>
      </c>
      <c r="EY201" s="146">
        <v>0</v>
      </c>
      <c r="EZ201" s="146">
        <v>0</v>
      </c>
      <c r="FA201" s="146">
        <v>0</v>
      </c>
      <c r="FB201" s="146">
        <v>0</v>
      </c>
      <c r="FC201" s="146">
        <v>0</v>
      </c>
      <c r="FD201" s="146">
        <v>0</v>
      </c>
      <c r="FE201" s="146">
        <v>0</v>
      </c>
      <c r="FF201" s="146">
        <v>0</v>
      </c>
      <c r="FG201" s="146">
        <v>0</v>
      </c>
      <c r="FH201" s="146">
        <v>0</v>
      </c>
      <c r="FI201" s="146">
        <v>0</v>
      </c>
      <c r="FJ201" s="146">
        <v>0</v>
      </c>
      <c r="FK201" s="146">
        <v>0</v>
      </c>
      <c r="FL201" s="146">
        <v>0</v>
      </c>
      <c r="FM201" s="146">
        <v>0</v>
      </c>
      <c r="FN201" s="146">
        <v>0</v>
      </c>
      <c r="FO201" s="146">
        <v>0</v>
      </c>
      <c r="FP201" s="146">
        <v>0</v>
      </c>
      <c r="FQ201" s="146">
        <v>0</v>
      </c>
      <c r="FR201" s="146">
        <v>0</v>
      </c>
      <c r="FS201" s="146">
        <v>0</v>
      </c>
      <c r="FT201" s="146">
        <v>0</v>
      </c>
      <c r="FU201" s="146">
        <v>0</v>
      </c>
      <c r="FV201" s="146">
        <v>0</v>
      </c>
      <c r="FW201" s="146">
        <v>0</v>
      </c>
      <c r="FX201" s="146">
        <v>0</v>
      </c>
      <c r="FY201" s="146">
        <v>0</v>
      </c>
      <c r="FZ201" s="146">
        <v>0</v>
      </c>
      <c r="GA201" s="146">
        <v>0</v>
      </c>
      <c r="GB201" s="146">
        <v>0</v>
      </c>
      <c r="GC201" s="146">
        <v>0</v>
      </c>
      <c r="GD201" s="146">
        <v>0</v>
      </c>
      <c r="GE201" s="146">
        <v>0</v>
      </c>
      <c r="GF201" s="146">
        <v>0</v>
      </c>
      <c r="GG201" s="146">
        <v>0</v>
      </c>
      <c r="GH201" s="146">
        <v>0</v>
      </c>
      <c r="GI201" s="146">
        <v>0</v>
      </c>
      <c r="GJ201" s="146">
        <v>0</v>
      </c>
      <c r="GK201" s="146">
        <v>0</v>
      </c>
      <c r="GL201" s="146">
        <v>0</v>
      </c>
      <c r="GM201" s="146">
        <v>0</v>
      </c>
      <c r="GN201" s="146">
        <v>0</v>
      </c>
      <c r="GO201" s="146">
        <v>0</v>
      </c>
      <c r="GP201" s="146">
        <v>0</v>
      </c>
      <c r="GQ201" s="146">
        <v>0</v>
      </c>
      <c r="GR201" s="146">
        <v>0</v>
      </c>
      <c r="GS201" s="146">
        <v>0</v>
      </c>
      <c r="GT201" s="146">
        <v>0</v>
      </c>
      <c r="GU201" s="146">
        <v>0</v>
      </c>
      <c r="GV201" s="146">
        <v>0</v>
      </c>
      <c r="GW201" s="146">
        <v>0</v>
      </c>
      <c r="GX201" s="146">
        <v>0</v>
      </c>
      <c r="GY201" s="146">
        <v>0</v>
      </c>
      <c r="GZ201" s="146">
        <v>0</v>
      </c>
      <c r="HA201" s="146">
        <v>0</v>
      </c>
      <c r="HB201" s="146">
        <v>0</v>
      </c>
      <c r="HC201" s="146">
        <v>0</v>
      </c>
      <c r="HD201" s="146">
        <v>0</v>
      </c>
      <c r="HE201" s="146">
        <v>0</v>
      </c>
      <c r="HF201" s="146">
        <v>0</v>
      </c>
      <c r="HG201" s="146">
        <v>0</v>
      </c>
      <c r="HH201" s="146">
        <v>0</v>
      </c>
      <c r="HI201" s="146">
        <v>0</v>
      </c>
      <c r="HJ201" s="146">
        <v>0</v>
      </c>
      <c r="HK201" s="146">
        <v>0</v>
      </c>
      <c r="HL201" s="146">
        <v>0</v>
      </c>
      <c r="HM201" s="146">
        <v>0</v>
      </c>
      <c r="HN201" s="146">
        <v>0</v>
      </c>
      <c r="HO201" s="146">
        <v>0</v>
      </c>
      <c r="HP201" s="146">
        <v>0</v>
      </c>
      <c r="HQ201" s="146">
        <v>0</v>
      </c>
      <c r="HR201" s="146">
        <v>0</v>
      </c>
      <c r="HS201" s="146">
        <v>0</v>
      </c>
      <c r="HT201" s="146">
        <v>0</v>
      </c>
      <c r="HU201" s="151"/>
      <c r="HV201" s="146">
        <v>0</v>
      </c>
      <c r="HW201" s="151"/>
      <c r="HX201" s="151"/>
      <c r="HY201" s="151"/>
      <c r="HZ201" s="151"/>
      <c r="IA201" s="151"/>
      <c r="IB201" s="151"/>
      <c r="IC201" s="151"/>
      <c r="ID201" s="151"/>
      <c r="IE201" s="151"/>
      <c r="IF201" s="151"/>
      <c r="IG201" s="151"/>
      <c r="IH201" s="151"/>
      <c r="II201" s="151"/>
      <c r="IJ201" s="151"/>
      <c r="IK201" s="151"/>
      <c r="IL201" s="151"/>
      <c r="IM201" s="151"/>
      <c r="IN201" s="151"/>
      <c r="IO201" s="151"/>
      <c r="IP201" s="151"/>
      <c r="IQ201" s="151"/>
      <c r="IR201" s="151"/>
      <c r="IS201" s="151"/>
      <c r="IT201" s="151"/>
      <c r="IU201" s="151"/>
      <c r="IV201" s="151"/>
      <c r="IW201" s="151"/>
      <c r="IX201" s="151"/>
      <c r="IY201" s="151"/>
      <c r="IZ201" s="151"/>
      <c r="JA201" s="151"/>
      <c r="JB201" s="151"/>
      <c r="JC201" s="151"/>
      <c r="JD201" s="151"/>
      <c r="JE201" s="151"/>
      <c r="JF201" s="151"/>
      <c r="JG201" s="151"/>
      <c r="JH201" s="151"/>
      <c r="JI201" s="151"/>
      <c r="JJ201" s="151"/>
      <c r="JK201" s="151"/>
      <c r="JL201" s="151"/>
      <c r="JM201" s="151"/>
      <c r="JN201" s="151"/>
      <c r="JO201" s="151"/>
      <c r="JP201" s="151"/>
      <c r="JQ201" s="151"/>
      <c r="JR201" s="151"/>
      <c r="JS201" s="151"/>
      <c r="JT201" s="151"/>
      <c r="JU201" s="151"/>
      <c r="JV201" s="151"/>
      <c r="JW201" s="151"/>
      <c r="JX201" s="151"/>
      <c r="JY201" s="151"/>
      <c r="JZ201" s="151"/>
      <c r="KA201" s="151"/>
      <c r="KB201" s="151"/>
      <c r="KC201" s="151"/>
      <c r="KD201" s="151"/>
      <c r="KE201" s="151"/>
      <c r="KF201" s="151"/>
      <c r="KG201" s="151"/>
      <c r="KH201" s="151"/>
      <c r="KI201" s="151"/>
      <c r="KJ201" s="151"/>
      <c r="KK201" s="151"/>
      <c r="KL201" s="151"/>
      <c r="KM201" s="151"/>
      <c r="KN201" s="151"/>
      <c r="KO201" s="151"/>
      <c r="KP201" s="151"/>
      <c r="KQ201" s="151"/>
      <c r="KR201" s="151"/>
      <c r="KS201" s="151"/>
      <c r="KT201" s="151"/>
      <c r="KU201" s="151"/>
      <c r="KV201" s="151"/>
      <c r="KW201" s="151"/>
      <c r="KX201" s="151"/>
      <c r="KY201" s="151"/>
      <c r="KZ201" s="151"/>
      <c r="LA201" s="151"/>
      <c r="LB201" s="151"/>
      <c r="LC201" s="151"/>
      <c r="LD201" s="151"/>
      <c r="LE201" s="151"/>
    </row>
    <row r="202" spans="1:317" x14ac:dyDescent="0.2">
      <c r="A202" s="179" t="s">
        <v>849</v>
      </c>
      <c r="B202" s="180" t="s">
        <v>1101</v>
      </c>
      <c r="C202" s="181"/>
      <c r="D202" s="182">
        <v>0</v>
      </c>
      <c r="E202" s="182">
        <v>0</v>
      </c>
      <c r="F202" s="183" t="s">
        <v>1314</v>
      </c>
      <c r="G202" s="183">
        <v>0</v>
      </c>
      <c r="H202" s="183">
        <v>0</v>
      </c>
      <c r="I202" s="183">
        <v>0</v>
      </c>
      <c r="J202" s="183">
        <v>0</v>
      </c>
      <c r="K202" s="183" t="s">
        <v>1368</v>
      </c>
      <c r="L202" s="183">
        <v>0</v>
      </c>
      <c r="M202" s="183">
        <v>0</v>
      </c>
      <c r="N202" s="183" t="s">
        <v>881</v>
      </c>
      <c r="O202" s="183">
        <v>0</v>
      </c>
      <c r="P202" s="183">
        <v>0</v>
      </c>
      <c r="Q202" s="183"/>
      <c r="R202" s="183"/>
      <c r="S202" s="183"/>
      <c r="T202" s="183"/>
      <c r="U202" s="183"/>
      <c r="V202" s="183">
        <v>0</v>
      </c>
      <c r="W202" s="183">
        <v>0</v>
      </c>
      <c r="X202" s="183">
        <v>0</v>
      </c>
      <c r="Y202" s="184">
        <v>0</v>
      </c>
      <c r="Z202" s="184">
        <v>0</v>
      </c>
      <c r="AA202" s="184">
        <v>0</v>
      </c>
      <c r="AB202" s="185" t="s">
        <v>615</v>
      </c>
      <c r="AC202" s="185" t="s">
        <v>615</v>
      </c>
      <c r="AD202" s="186" t="s">
        <v>881</v>
      </c>
      <c r="AE202" s="186" t="s">
        <v>858</v>
      </c>
      <c r="AF202" s="187">
        <v>7</v>
      </c>
      <c r="AG202" s="187">
        <v>3</v>
      </c>
      <c r="AH202" s="187">
        <v>4</v>
      </c>
      <c r="AI202" s="188">
        <v>1</v>
      </c>
      <c r="AJ202" s="188" t="s">
        <v>615</v>
      </c>
      <c r="AK202" s="187" t="s">
        <v>1738</v>
      </c>
      <c r="AL202" s="87" t="s">
        <v>615</v>
      </c>
      <c r="AM202" s="189"/>
      <c r="AN202" s="187" t="s">
        <v>615</v>
      </c>
      <c r="AO202" s="13" t="s">
        <v>615</v>
      </c>
      <c r="AP202" s="187">
        <v>0</v>
      </c>
      <c r="AQ202" s="187">
        <v>0</v>
      </c>
      <c r="AR202" s="190">
        <v>0</v>
      </c>
      <c r="AS202" s="190">
        <v>0</v>
      </c>
      <c r="AT202" s="190">
        <v>0</v>
      </c>
      <c r="AU202" s="187">
        <v>0</v>
      </c>
      <c r="AV202" s="187">
        <v>0</v>
      </c>
      <c r="AW202" s="191"/>
      <c r="AX202" s="192"/>
      <c r="AY202" s="193">
        <v>42666</v>
      </c>
      <c r="AZ202" s="193"/>
      <c r="BA202" s="193"/>
      <c r="BB202" s="194"/>
      <c r="BC202" s="194"/>
      <c r="BD202" s="195"/>
      <c r="BE202" s="195" t="s">
        <v>532</v>
      </c>
      <c r="BF202" s="195"/>
      <c r="BG202" s="195">
        <v>96</v>
      </c>
      <c r="BH202" s="196" t="s">
        <v>547</v>
      </c>
      <c r="BI202" s="197">
        <v>1</v>
      </c>
      <c r="BJ202" s="198"/>
      <c r="BK202" s="199">
        <v>0</v>
      </c>
      <c r="BL202" s="13">
        <v>0</v>
      </c>
      <c r="BM202" s="13">
        <v>0</v>
      </c>
      <c r="BN202" s="13" t="s">
        <v>616</v>
      </c>
      <c r="BO202" s="13" t="s">
        <v>616</v>
      </c>
      <c r="BP202" s="200">
        <v>0</v>
      </c>
      <c r="BQ202" s="201"/>
      <c r="BR202" s="202"/>
      <c r="BS202" s="187">
        <v>1000000000</v>
      </c>
      <c r="BT202" s="203">
        <v>0</v>
      </c>
      <c r="BU202" s="204">
        <v>0</v>
      </c>
      <c r="BV202" s="203">
        <v>0</v>
      </c>
      <c r="BW202" s="205">
        <v>0</v>
      </c>
      <c r="BX202" s="205">
        <v>0</v>
      </c>
      <c r="BY202" s="205">
        <v>0</v>
      </c>
      <c r="BZ202" s="203">
        <v>0</v>
      </c>
      <c r="CA202" s="203">
        <v>0</v>
      </c>
      <c r="CB202" s="203">
        <v>0</v>
      </c>
      <c r="CC202" s="204">
        <v>0</v>
      </c>
      <c r="CD202" s="203">
        <v>0</v>
      </c>
      <c r="CE202" s="203">
        <v>0</v>
      </c>
      <c r="CF202" s="13">
        <v>0</v>
      </c>
      <c r="CG202" s="206">
        <v>0</v>
      </c>
      <c r="CH202" s="207">
        <v>0</v>
      </c>
      <c r="CI202" s="201"/>
      <c r="CJ202" s="208"/>
      <c r="CK202" s="209" t="s">
        <v>615</v>
      </c>
      <c r="CL202" s="210" t="s">
        <v>615</v>
      </c>
      <c r="CM202" s="207">
        <v>0</v>
      </c>
      <c r="CN202" s="207">
        <v>0</v>
      </c>
      <c r="CO202" s="204">
        <v>0</v>
      </c>
      <c r="CP202" s="204">
        <v>0</v>
      </c>
      <c r="CQ202" s="211"/>
      <c r="CR202" s="204">
        <v>1</v>
      </c>
      <c r="CS202" s="212">
        <v>42558</v>
      </c>
      <c r="CT202" s="212">
        <v>42780</v>
      </c>
      <c r="CU202" s="213">
        <v>42780</v>
      </c>
      <c r="CV202" s="214">
        <v>42829</v>
      </c>
      <c r="CW202" s="214" t="s">
        <v>615</v>
      </c>
      <c r="CX202" s="214" t="s">
        <v>615</v>
      </c>
      <c r="CY202" s="204">
        <v>1</v>
      </c>
      <c r="CZ202" s="204">
        <v>0.97959183673469385</v>
      </c>
      <c r="DA202" s="203">
        <v>0</v>
      </c>
      <c r="DB202" s="204">
        <v>0.97959183673469385</v>
      </c>
      <c r="DC202" s="204">
        <v>0</v>
      </c>
      <c r="DD202" s="204">
        <v>0</v>
      </c>
      <c r="DE202" s="204">
        <v>0</v>
      </c>
      <c r="DF202" s="215">
        <v>0</v>
      </c>
      <c r="DG202" s="13" t="s">
        <v>615</v>
      </c>
      <c r="DH202" s="86">
        <v>200</v>
      </c>
      <c r="DI202" s="86"/>
      <c r="DJ202" s="86">
        <v>196</v>
      </c>
      <c r="DK202" s="86" t="s">
        <v>1655</v>
      </c>
      <c r="DL202" s="86" t="e">
        <v>#N/A</v>
      </c>
      <c r="DM202" s="86" t="e">
        <v>#N/A</v>
      </c>
      <c r="DN202" s="86" t="e">
        <v>#N/A</v>
      </c>
      <c r="DO202" s="86">
        <v>358</v>
      </c>
      <c r="DP202" s="86">
        <v>5</v>
      </c>
      <c r="DQ202" s="86">
        <v>49</v>
      </c>
      <c r="DR202" s="152">
        <v>0</v>
      </c>
      <c r="DS202" s="152">
        <v>0</v>
      </c>
      <c r="DT202" s="152">
        <v>0</v>
      </c>
      <c r="DU202" s="152">
        <v>0</v>
      </c>
      <c r="DV202" s="152">
        <v>0</v>
      </c>
      <c r="DW202" s="152">
        <v>0</v>
      </c>
      <c r="DX202" s="152">
        <v>0</v>
      </c>
      <c r="DY202" s="152">
        <v>0</v>
      </c>
      <c r="DZ202" s="152">
        <v>0</v>
      </c>
      <c r="EA202" s="152">
        <v>0</v>
      </c>
      <c r="EB202" s="152">
        <v>0</v>
      </c>
      <c r="EC202" s="152">
        <v>0</v>
      </c>
      <c r="ED202" s="152">
        <v>0</v>
      </c>
      <c r="EE202" s="152">
        <v>0</v>
      </c>
      <c r="EF202" s="152">
        <v>0</v>
      </c>
      <c r="EG202" s="152">
        <v>0</v>
      </c>
      <c r="EH202" s="152">
        <v>0</v>
      </c>
      <c r="EI202" s="152">
        <v>0</v>
      </c>
      <c r="EJ202" s="152">
        <v>0</v>
      </c>
      <c r="EK202" s="152">
        <v>0</v>
      </c>
      <c r="EL202" s="152">
        <v>0</v>
      </c>
      <c r="EM202" s="152">
        <v>0</v>
      </c>
      <c r="EN202" s="152">
        <v>0</v>
      </c>
      <c r="EO202" s="152">
        <v>0</v>
      </c>
      <c r="EP202" s="152">
        <v>0</v>
      </c>
      <c r="EQ202" s="152">
        <v>0</v>
      </c>
      <c r="ER202" s="152">
        <v>0</v>
      </c>
      <c r="ES202" s="152">
        <v>0</v>
      </c>
      <c r="ET202" s="152">
        <v>0</v>
      </c>
      <c r="EU202" s="152">
        <v>0</v>
      </c>
      <c r="EV202" s="152">
        <v>0</v>
      </c>
      <c r="EW202" s="152">
        <v>0</v>
      </c>
      <c r="EX202" s="152">
        <v>0</v>
      </c>
      <c r="EY202" s="152">
        <v>0</v>
      </c>
      <c r="EZ202" s="152">
        <v>0</v>
      </c>
      <c r="FA202" s="152">
        <v>0</v>
      </c>
      <c r="FB202" s="152">
        <v>0</v>
      </c>
      <c r="FC202" s="152">
        <v>0</v>
      </c>
      <c r="FD202" s="152">
        <v>0</v>
      </c>
      <c r="FE202" s="152">
        <v>0</v>
      </c>
      <c r="FF202" s="152">
        <v>0</v>
      </c>
      <c r="FG202" s="152">
        <v>0</v>
      </c>
      <c r="FH202" s="152">
        <v>0</v>
      </c>
      <c r="FI202" s="152">
        <v>0</v>
      </c>
      <c r="FJ202" s="152">
        <v>0</v>
      </c>
      <c r="FK202" s="152">
        <v>0</v>
      </c>
      <c r="FL202" s="152">
        <v>0</v>
      </c>
      <c r="FM202" s="152">
        <v>0</v>
      </c>
      <c r="FN202" s="152">
        <v>0</v>
      </c>
      <c r="FO202" s="152">
        <v>0</v>
      </c>
      <c r="FP202" s="152">
        <v>0</v>
      </c>
      <c r="FQ202" s="152">
        <v>0</v>
      </c>
      <c r="FR202" s="152">
        <v>0</v>
      </c>
      <c r="FS202" s="152">
        <v>0</v>
      </c>
      <c r="FT202" s="152">
        <v>0</v>
      </c>
      <c r="FU202" s="152">
        <v>0</v>
      </c>
      <c r="FV202" s="152">
        <v>0</v>
      </c>
      <c r="FW202" s="152">
        <v>0</v>
      </c>
      <c r="FX202" s="152">
        <v>0</v>
      </c>
      <c r="FY202" s="152">
        <v>0</v>
      </c>
      <c r="FZ202" s="152">
        <v>0</v>
      </c>
      <c r="GA202" s="152">
        <v>0</v>
      </c>
      <c r="GB202" s="152">
        <v>0</v>
      </c>
      <c r="GC202" s="152">
        <v>0</v>
      </c>
      <c r="GD202" s="152">
        <v>0</v>
      </c>
      <c r="GE202" s="152">
        <v>0</v>
      </c>
      <c r="GF202" s="152">
        <v>0</v>
      </c>
      <c r="GG202" s="152">
        <v>0</v>
      </c>
      <c r="GH202" s="152">
        <v>0</v>
      </c>
      <c r="GI202" s="152">
        <v>0</v>
      </c>
      <c r="GJ202" s="152">
        <v>0</v>
      </c>
      <c r="GK202" s="152">
        <v>0</v>
      </c>
      <c r="GL202" s="152">
        <v>0</v>
      </c>
      <c r="GM202" s="152">
        <v>0</v>
      </c>
      <c r="GN202" s="152">
        <v>0</v>
      </c>
      <c r="GO202" s="152">
        <v>0</v>
      </c>
      <c r="GP202" s="152">
        <v>0</v>
      </c>
      <c r="GQ202" s="152">
        <v>0</v>
      </c>
      <c r="GR202" s="152">
        <v>0</v>
      </c>
      <c r="GS202" s="152">
        <v>0</v>
      </c>
      <c r="GT202" s="152">
        <v>0</v>
      </c>
      <c r="GU202" s="152">
        <v>0</v>
      </c>
      <c r="GV202" s="152">
        <v>0</v>
      </c>
      <c r="GW202" s="152">
        <v>0</v>
      </c>
      <c r="GX202" s="152">
        <v>0</v>
      </c>
      <c r="GY202" s="152">
        <v>0</v>
      </c>
      <c r="GZ202" s="152">
        <v>0</v>
      </c>
      <c r="HA202" s="152">
        <v>0</v>
      </c>
      <c r="HB202" s="152">
        <v>0</v>
      </c>
      <c r="HC202" s="152">
        <v>0</v>
      </c>
      <c r="HD202" s="152">
        <v>0</v>
      </c>
      <c r="HE202" s="152">
        <v>0</v>
      </c>
      <c r="HF202" s="152">
        <v>0</v>
      </c>
      <c r="HG202" s="152">
        <v>0</v>
      </c>
      <c r="HH202" s="152">
        <v>0</v>
      </c>
      <c r="HI202" s="152">
        <v>0</v>
      </c>
      <c r="HJ202" s="152">
        <v>0</v>
      </c>
      <c r="HK202" s="152">
        <v>0</v>
      </c>
      <c r="HL202" s="152">
        <v>0</v>
      </c>
      <c r="HM202" s="152">
        <v>0</v>
      </c>
      <c r="HN202" s="152">
        <v>0</v>
      </c>
      <c r="HO202" s="152">
        <v>0</v>
      </c>
      <c r="HP202" s="152">
        <v>0</v>
      </c>
      <c r="HQ202" s="152">
        <v>0</v>
      </c>
      <c r="HR202" s="152">
        <v>0</v>
      </c>
      <c r="HS202" s="152">
        <v>0</v>
      </c>
      <c r="HT202" s="152">
        <v>0</v>
      </c>
      <c r="HU202" s="216"/>
      <c r="HV202" s="152">
        <v>0</v>
      </c>
      <c r="HW202" s="216"/>
      <c r="HX202" s="216"/>
      <c r="HY202" s="216"/>
      <c r="HZ202" s="216"/>
      <c r="IA202" s="216"/>
      <c r="IB202" s="216"/>
      <c r="IC202" s="216"/>
      <c r="ID202" s="216"/>
      <c r="IE202" s="216"/>
      <c r="IF202" s="216"/>
      <c r="IG202" s="216"/>
      <c r="IH202" s="216"/>
      <c r="II202" s="216"/>
      <c r="IJ202" s="216"/>
      <c r="IK202" s="216"/>
      <c r="IL202" s="216"/>
      <c r="IM202" s="216"/>
      <c r="IN202" s="216"/>
      <c r="IO202" s="216"/>
      <c r="IP202" s="216"/>
      <c r="IQ202" s="216"/>
      <c r="IR202" s="216"/>
      <c r="IS202" s="216"/>
      <c r="IT202" s="216"/>
      <c r="IU202" s="216"/>
      <c r="IV202" s="216"/>
      <c r="IW202" s="216"/>
      <c r="IX202" s="216"/>
      <c r="IY202" s="216"/>
      <c r="IZ202" s="216"/>
      <c r="JA202" s="216"/>
      <c r="JB202" s="216"/>
      <c r="JC202" s="216"/>
      <c r="JD202" s="216"/>
      <c r="JE202" s="216"/>
      <c r="JF202" s="216"/>
      <c r="JG202" s="216"/>
      <c r="JH202" s="216"/>
      <c r="JI202" s="216"/>
      <c r="JJ202" s="216"/>
      <c r="JK202" s="216"/>
      <c r="JL202" s="216"/>
      <c r="JM202" s="216"/>
      <c r="JN202" s="216"/>
      <c r="JO202" s="216"/>
      <c r="JP202" s="216"/>
      <c r="JQ202" s="216"/>
      <c r="JR202" s="216"/>
      <c r="JS202" s="216"/>
      <c r="JT202" s="216"/>
      <c r="JU202" s="216"/>
      <c r="JV202" s="216"/>
      <c r="JW202" s="216"/>
      <c r="JX202" s="216"/>
      <c r="JY202" s="216"/>
      <c r="JZ202" s="216"/>
      <c r="KA202" s="216"/>
      <c r="KB202" s="216"/>
      <c r="KC202" s="216"/>
      <c r="KD202" s="216"/>
      <c r="KE202" s="216"/>
      <c r="KF202" s="216"/>
      <c r="KG202" s="216"/>
      <c r="KH202" s="216"/>
      <c r="KI202" s="216"/>
      <c r="KJ202" s="216"/>
      <c r="KK202" s="216"/>
      <c r="KL202" s="216"/>
      <c r="KM202" s="216"/>
      <c r="KN202" s="216"/>
      <c r="KO202" s="216"/>
      <c r="KP202" s="216"/>
      <c r="KQ202" s="216"/>
      <c r="KR202" s="216"/>
      <c r="KS202" s="216"/>
      <c r="KT202" s="216"/>
      <c r="KU202" s="216"/>
      <c r="KV202" s="216"/>
      <c r="KW202" s="216"/>
      <c r="KX202" s="216"/>
      <c r="KY202" s="216"/>
      <c r="KZ202" s="216"/>
      <c r="LA202" s="216"/>
      <c r="LB202" s="216"/>
      <c r="LC202" s="216"/>
      <c r="LD202" s="216"/>
      <c r="LE202" s="216"/>
    </row>
    <row r="203" spans="1:317" x14ac:dyDescent="0.2">
      <c r="A203" s="179" t="s">
        <v>849</v>
      </c>
      <c r="B203" s="180" t="s">
        <v>1102</v>
      </c>
      <c r="C203" s="181"/>
      <c r="D203" s="182">
        <v>0</v>
      </c>
      <c r="E203" s="182">
        <v>0</v>
      </c>
      <c r="F203" s="183" t="s">
        <v>1314</v>
      </c>
      <c r="G203" s="183">
        <v>0</v>
      </c>
      <c r="H203" s="183">
        <v>0</v>
      </c>
      <c r="I203" s="183">
        <v>0</v>
      </c>
      <c r="J203" s="183">
        <v>0</v>
      </c>
      <c r="K203" s="183" t="s">
        <v>1368</v>
      </c>
      <c r="L203" s="183">
        <v>0</v>
      </c>
      <c r="M203" s="183">
        <v>0</v>
      </c>
      <c r="N203" s="183" t="s">
        <v>881</v>
      </c>
      <c r="O203" s="183">
        <v>0</v>
      </c>
      <c r="P203" s="183">
        <v>0</v>
      </c>
      <c r="Q203" s="183"/>
      <c r="R203" s="183"/>
      <c r="S203" s="183"/>
      <c r="T203" s="183"/>
      <c r="U203" s="183"/>
      <c r="V203" s="183">
        <v>0</v>
      </c>
      <c r="W203" s="183">
        <v>0</v>
      </c>
      <c r="X203" s="183">
        <v>0</v>
      </c>
      <c r="Y203" s="184">
        <v>0</v>
      </c>
      <c r="Z203" s="184">
        <v>0</v>
      </c>
      <c r="AA203" s="184">
        <v>0</v>
      </c>
      <c r="AB203" s="185" t="s">
        <v>615</v>
      </c>
      <c r="AC203" s="185" t="s">
        <v>615</v>
      </c>
      <c r="AD203" s="186" t="s">
        <v>881</v>
      </c>
      <c r="AE203" s="186" t="s">
        <v>858</v>
      </c>
      <c r="AF203" s="187">
        <v>7</v>
      </c>
      <c r="AG203" s="187">
        <v>3</v>
      </c>
      <c r="AH203" s="187">
        <v>4</v>
      </c>
      <c r="AI203" s="188">
        <v>1</v>
      </c>
      <c r="AJ203" s="188" t="s">
        <v>615</v>
      </c>
      <c r="AK203" s="187" t="s">
        <v>1738</v>
      </c>
      <c r="AL203" s="87" t="s">
        <v>615</v>
      </c>
      <c r="AM203" s="189"/>
      <c r="AN203" s="187" t="s">
        <v>615</v>
      </c>
      <c r="AO203" s="13" t="s">
        <v>615</v>
      </c>
      <c r="AP203" s="187">
        <v>0</v>
      </c>
      <c r="AQ203" s="187">
        <v>0</v>
      </c>
      <c r="AR203" s="190">
        <v>0</v>
      </c>
      <c r="AS203" s="190">
        <v>0</v>
      </c>
      <c r="AT203" s="190">
        <v>0</v>
      </c>
      <c r="AU203" s="187">
        <v>0</v>
      </c>
      <c r="AV203" s="187">
        <v>0</v>
      </c>
      <c r="AW203" s="191"/>
      <c r="AX203" s="192"/>
      <c r="AY203" s="193">
        <v>42666</v>
      </c>
      <c r="AZ203" s="193"/>
      <c r="BA203" s="193"/>
      <c r="BB203" s="194"/>
      <c r="BC203" s="194"/>
      <c r="BD203" s="195"/>
      <c r="BE203" s="195" t="s">
        <v>532</v>
      </c>
      <c r="BF203" s="195"/>
      <c r="BG203" s="195">
        <v>48</v>
      </c>
      <c r="BH203" s="196" t="s">
        <v>547</v>
      </c>
      <c r="BI203" s="197">
        <v>1</v>
      </c>
      <c r="BJ203" s="198"/>
      <c r="BK203" s="199">
        <v>0</v>
      </c>
      <c r="BL203" s="13">
        <v>0</v>
      </c>
      <c r="BM203" s="13">
        <v>0</v>
      </c>
      <c r="BN203" s="13" t="s">
        <v>616</v>
      </c>
      <c r="BO203" s="13" t="s">
        <v>616</v>
      </c>
      <c r="BP203" s="200">
        <v>0</v>
      </c>
      <c r="BQ203" s="201"/>
      <c r="BR203" s="202"/>
      <c r="BS203" s="187">
        <v>1000000000</v>
      </c>
      <c r="BT203" s="203">
        <v>0</v>
      </c>
      <c r="BU203" s="204">
        <v>0</v>
      </c>
      <c r="BV203" s="203">
        <v>0</v>
      </c>
      <c r="BW203" s="205">
        <v>0</v>
      </c>
      <c r="BX203" s="205">
        <v>0</v>
      </c>
      <c r="BY203" s="205">
        <v>0</v>
      </c>
      <c r="BZ203" s="203">
        <v>0</v>
      </c>
      <c r="CA203" s="203">
        <v>0</v>
      </c>
      <c r="CB203" s="203">
        <v>0</v>
      </c>
      <c r="CC203" s="204">
        <v>0</v>
      </c>
      <c r="CD203" s="203">
        <v>0</v>
      </c>
      <c r="CE203" s="203">
        <v>0</v>
      </c>
      <c r="CF203" s="13">
        <v>0</v>
      </c>
      <c r="CG203" s="206">
        <v>0</v>
      </c>
      <c r="CH203" s="207">
        <v>0</v>
      </c>
      <c r="CI203" s="201"/>
      <c r="CJ203" s="208"/>
      <c r="CK203" s="209" t="s">
        <v>615</v>
      </c>
      <c r="CL203" s="210" t="s">
        <v>615</v>
      </c>
      <c r="CM203" s="207">
        <v>0</v>
      </c>
      <c r="CN203" s="207">
        <v>0</v>
      </c>
      <c r="CO203" s="204">
        <v>0</v>
      </c>
      <c r="CP203" s="204">
        <v>0</v>
      </c>
      <c r="CQ203" s="211"/>
      <c r="CR203" s="204">
        <v>1</v>
      </c>
      <c r="CS203" s="212">
        <v>42558</v>
      </c>
      <c r="CT203" s="212">
        <v>42780</v>
      </c>
      <c r="CU203" s="213">
        <v>42780</v>
      </c>
      <c r="CV203" s="214">
        <v>42829</v>
      </c>
      <c r="CW203" s="214" t="s">
        <v>615</v>
      </c>
      <c r="CX203" s="214" t="s">
        <v>615</v>
      </c>
      <c r="CY203" s="204">
        <v>1</v>
      </c>
      <c r="CZ203" s="204">
        <v>0.97959183673469385</v>
      </c>
      <c r="DA203" s="203">
        <v>0</v>
      </c>
      <c r="DB203" s="204">
        <v>0.97959183673469385</v>
      </c>
      <c r="DC203" s="204">
        <v>0</v>
      </c>
      <c r="DD203" s="204">
        <v>0</v>
      </c>
      <c r="DE203" s="204">
        <v>0</v>
      </c>
      <c r="DF203" s="215">
        <v>0</v>
      </c>
      <c r="DG203" s="13" t="s">
        <v>615</v>
      </c>
      <c r="DH203" s="86">
        <v>201</v>
      </c>
      <c r="DI203" s="86"/>
      <c r="DJ203" s="86">
        <v>197</v>
      </c>
      <c r="DK203" s="86" t="s">
        <v>1656</v>
      </c>
      <c r="DL203" s="86" t="e">
        <v>#N/A</v>
      </c>
      <c r="DM203" s="86" t="e">
        <v>#N/A</v>
      </c>
      <c r="DN203" s="86" t="e">
        <v>#N/A</v>
      </c>
      <c r="DO203" s="86">
        <v>359</v>
      </c>
      <c r="DP203" s="86">
        <v>5</v>
      </c>
      <c r="DQ203" s="86">
        <v>49</v>
      </c>
      <c r="DR203" s="146">
        <v>0</v>
      </c>
      <c r="DS203" s="146">
        <v>0</v>
      </c>
      <c r="DT203" s="146">
        <v>0</v>
      </c>
      <c r="DU203" s="146">
        <v>0</v>
      </c>
      <c r="DV203" s="146">
        <v>0</v>
      </c>
      <c r="DW203" s="146">
        <v>0</v>
      </c>
      <c r="DX203" s="146">
        <v>0</v>
      </c>
      <c r="DY203" s="146">
        <v>0</v>
      </c>
      <c r="DZ203" s="146">
        <v>0</v>
      </c>
      <c r="EA203" s="146">
        <v>0</v>
      </c>
      <c r="EB203" s="146">
        <v>0</v>
      </c>
      <c r="EC203" s="146">
        <v>0</v>
      </c>
      <c r="ED203" s="146">
        <v>0</v>
      </c>
      <c r="EE203" s="146">
        <v>0</v>
      </c>
      <c r="EF203" s="146">
        <v>0</v>
      </c>
      <c r="EG203" s="146">
        <v>0</v>
      </c>
      <c r="EH203" s="146">
        <v>0</v>
      </c>
      <c r="EI203" s="146">
        <v>0</v>
      </c>
      <c r="EJ203" s="146">
        <v>0</v>
      </c>
      <c r="EK203" s="146">
        <v>0</v>
      </c>
      <c r="EL203" s="146">
        <v>0</v>
      </c>
      <c r="EM203" s="146">
        <v>0</v>
      </c>
      <c r="EN203" s="146">
        <v>0</v>
      </c>
      <c r="EO203" s="146">
        <v>0</v>
      </c>
      <c r="EP203" s="146">
        <v>0</v>
      </c>
      <c r="EQ203" s="146">
        <v>0</v>
      </c>
      <c r="ER203" s="146">
        <v>0</v>
      </c>
      <c r="ES203" s="146">
        <v>0</v>
      </c>
      <c r="ET203" s="146">
        <v>0</v>
      </c>
      <c r="EU203" s="146">
        <v>0</v>
      </c>
      <c r="EV203" s="146">
        <v>0</v>
      </c>
      <c r="EW203" s="146">
        <v>0</v>
      </c>
      <c r="EX203" s="146">
        <v>0</v>
      </c>
      <c r="EY203" s="146">
        <v>0</v>
      </c>
      <c r="EZ203" s="146">
        <v>0</v>
      </c>
      <c r="FA203" s="146">
        <v>0</v>
      </c>
      <c r="FB203" s="146">
        <v>0</v>
      </c>
      <c r="FC203" s="146">
        <v>0</v>
      </c>
      <c r="FD203" s="146">
        <v>0</v>
      </c>
      <c r="FE203" s="146">
        <v>0</v>
      </c>
      <c r="FF203" s="146">
        <v>0</v>
      </c>
      <c r="FG203" s="146">
        <v>0</v>
      </c>
      <c r="FH203" s="146">
        <v>0</v>
      </c>
      <c r="FI203" s="146">
        <v>0</v>
      </c>
      <c r="FJ203" s="146">
        <v>0</v>
      </c>
      <c r="FK203" s="146">
        <v>0</v>
      </c>
      <c r="FL203" s="146">
        <v>0</v>
      </c>
      <c r="FM203" s="146">
        <v>0</v>
      </c>
      <c r="FN203" s="146">
        <v>0</v>
      </c>
      <c r="FO203" s="146">
        <v>0</v>
      </c>
      <c r="FP203" s="146">
        <v>0</v>
      </c>
      <c r="FQ203" s="146">
        <v>0</v>
      </c>
      <c r="FR203" s="146">
        <v>0</v>
      </c>
      <c r="FS203" s="146">
        <v>0</v>
      </c>
      <c r="FT203" s="146">
        <v>0</v>
      </c>
      <c r="FU203" s="146">
        <v>0</v>
      </c>
      <c r="FV203" s="146">
        <v>0</v>
      </c>
      <c r="FW203" s="146">
        <v>0</v>
      </c>
      <c r="FX203" s="146">
        <v>0</v>
      </c>
      <c r="FY203" s="146">
        <v>0</v>
      </c>
      <c r="FZ203" s="146">
        <v>0</v>
      </c>
      <c r="GA203" s="146">
        <v>0</v>
      </c>
      <c r="GB203" s="146">
        <v>0</v>
      </c>
      <c r="GC203" s="146">
        <v>0</v>
      </c>
      <c r="GD203" s="146">
        <v>0</v>
      </c>
      <c r="GE203" s="146">
        <v>0</v>
      </c>
      <c r="GF203" s="146">
        <v>0</v>
      </c>
      <c r="GG203" s="146">
        <v>0</v>
      </c>
      <c r="GH203" s="146">
        <v>0</v>
      </c>
      <c r="GI203" s="146">
        <v>0</v>
      </c>
      <c r="GJ203" s="146">
        <v>0</v>
      </c>
      <c r="GK203" s="146">
        <v>0</v>
      </c>
      <c r="GL203" s="146">
        <v>0</v>
      </c>
      <c r="GM203" s="146">
        <v>0</v>
      </c>
      <c r="GN203" s="146">
        <v>0</v>
      </c>
      <c r="GO203" s="146">
        <v>0</v>
      </c>
      <c r="GP203" s="146">
        <v>0</v>
      </c>
      <c r="GQ203" s="146">
        <v>0</v>
      </c>
      <c r="GR203" s="146">
        <v>0</v>
      </c>
      <c r="GS203" s="146">
        <v>0</v>
      </c>
      <c r="GT203" s="146">
        <v>0</v>
      </c>
      <c r="GU203" s="146">
        <v>0</v>
      </c>
      <c r="GV203" s="146">
        <v>0</v>
      </c>
      <c r="GW203" s="146">
        <v>0</v>
      </c>
      <c r="GX203" s="146">
        <v>0</v>
      </c>
      <c r="GY203" s="146">
        <v>0</v>
      </c>
      <c r="GZ203" s="146">
        <v>0</v>
      </c>
      <c r="HA203" s="146">
        <v>0</v>
      </c>
      <c r="HB203" s="146">
        <v>0</v>
      </c>
      <c r="HC203" s="146">
        <v>0</v>
      </c>
      <c r="HD203" s="146">
        <v>0</v>
      </c>
      <c r="HE203" s="146">
        <v>0</v>
      </c>
      <c r="HF203" s="146">
        <v>0</v>
      </c>
      <c r="HG203" s="146">
        <v>0</v>
      </c>
      <c r="HH203" s="146">
        <v>0</v>
      </c>
      <c r="HI203" s="146">
        <v>0</v>
      </c>
      <c r="HJ203" s="146">
        <v>0</v>
      </c>
      <c r="HK203" s="146">
        <v>0</v>
      </c>
      <c r="HL203" s="146">
        <v>0</v>
      </c>
      <c r="HM203" s="146">
        <v>0</v>
      </c>
      <c r="HN203" s="146">
        <v>0</v>
      </c>
      <c r="HO203" s="146">
        <v>0</v>
      </c>
      <c r="HP203" s="146">
        <v>0</v>
      </c>
      <c r="HQ203" s="146">
        <v>0</v>
      </c>
      <c r="HR203" s="146">
        <v>0</v>
      </c>
      <c r="HS203" s="146">
        <v>0</v>
      </c>
      <c r="HT203" s="146">
        <v>0</v>
      </c>
      <c r="HU203" s="151"/>
      <c r="HV203" s="146">
        <v>0</v>
      </c>
      <c r="HW203" s="151"/>
      <c r="HX203" s="151"/>
      <c r="HY203" s="151"/>
      <c r="HZ203" s="151"/>
      <c r="IA203" s="151"/>
      <c r="IB203" s="151"/>
      <c r="IC203" s="151"/>
      <c r="ID203" s="151"/>
      <c r="IE203" s="151"/>
      <c r="IF203" s="151"/>
      <c r="IG203" s="151"/>
      <c r="IH203" s="151"/>
      <c r="II203" s="151"/>
      <c r="IJ203" s="151"/>
      <c r="IK203" s="151"/>
      <c r="IL203" s="151"/>
      <c r="IM203" s="151"/>
      <c r="IN203" s="151"/>
      <c r="IO203" s="151"/>
      <c r="IP203" s="151"/>
      <c r="IQ203" s="151"/>
      <c r="IR203" s="151"/>
      <c r="IS203" s="151"/>
      <c r="IT203" s="151"/>
      <c r="IU203" s="151"/>
      <c r="IV203" s="151"/>
      <c r="IW203" s="151"/>
      <c r="IX203" s="151"/>
      <c r="IY203" s="151"/>
      <c r="IZ203" s="151"/>
      <c r="JA203" s="151"/>
      <c r="JB203" s="151"/>
      <c r="JC203" s="151"/>
      <c r="JD203" s="151"/>
      <c r="JE203" s="151"/>
      <c r="JF203" s="151"/>
      <c r="JG203" s="151"/>
      <c r="JH203" s="151"/>
      <c r="JI203" s="151"/>
      <c r="JJ203" s="151"/>
      <c r="JK203" s="151"/>
      <c r="JL203" s="151"/>
      <c r="JM203" s="151"/>
      <c r="JN203" s="151"/>
      <c r="JO203" s="151"/>
      <c r="JP203" s="151"/>
      <c r="JQ203" s="151"/>
      <c r="JR203" s="151"/>
      <c r="JS203" s="151"/>
      <c r="JT203" s="151"/>
      <c r="JU203" s="151"/>
      <c r="JV203" s="151"/>
      <c r="JW203" s="151"/>
      <c r="JX203" s="151"/>
      <c r="JY203" s="151"/>
      <c r="JZ203" s="151"/>
      <c r="KA203" s="151"/>
      <c r="KB203" s="151"/>
      <c r="KC203" s="151"/>
      <c r="KD203" s="151"/>
      <c r="KE203" s="151"/>
      <c r="KF203" s="151"/>
      <c r="KG203" s="151"/>
      <c r="KH203" s="151"/>
      <c r="KI203" s="151"/>
      <c r="KJ203" s="151"/>
      <c r="KK203" s="151"/>
      <c r="KL203" s="151"/>
      <c r="KM203" s="151"/>
      <c r="KN203" s="151"/>
      <c r="KO203" s="151"/>
      <c r="KP203" s="151"/>
      <c r="KQ203" s="151"/>
      <c r="KR203" s="151"/>
      <c r="KS203" s="151"/>
      <c r="KT203" s="151"/>
      <c r="KU203" s="151"/>
      <c r="KV203" s="151"/>
      <c r="KW203" s="151"/>
      <c r="KX203" s="151"/>
      <c r="KY203" s="151"/>
      <c r="KZ203" s="151"/>
      <c r="LA203" s="151"/>
      <c r="LB203" s="151"/>
      <c r="LC203" s="151"/>
      <c r="LD203" s="151"/>
      <c r="LE203" s="151"/>
    </row>
    <row r="204" spans="1:317" x14ac:dyDescent="0.2">
      <c r="A204" s="179" t="s">
        <v>849</v>
      </c>
      <c r="B204" s="180" t="s">
        <v>1103</v>
      </c>
      <c r="C204" s="181"/>
      <c r="D204" s="182">
        <v>0</v>
      </c>
      <c r="E204" s="182">
        <v>0</v>
      </c>
      <c r="F204" s="183" t="s">
        <v>1314</v>
      </c>
      <c r="G204" s="183">
        <v>0</v>
      </c>
      <c r="H204" s="183">
        <v>0</v>
      </c>
      <c r="I204" s="183">
        <v>0</v>
      </c>
      <c r="J204" s="183">
        <v>0</v>
      </c>
      <c r="K204" s="183" t="s">
        <v>1368</v>
      </c>
      <c r="L204" s="183">
        <v>0</v>
      </c>
      <c r="M204" s="183">
        <v>0</v>
      </c>
      <c r="N204" s="183" t="s">
        <v>881</v>
      </c>
      <c r="O204" s="183">
        <v>0</v>
      </c>
      <c r="P204" s="183">
        <v>0</v>
      </c>
      <c r="Q204" s="183"/>
      <c r="R204" s="183"/>
      <c r="S204" s="183"/>
      <c r="T204" s="183"/>
      <c r="U204" s="183"/>
      <c r="V204" s="183">
        <v>0</v>
      </c>
      <c r="W204" s="183">
        <v>0</v>
      </c>
      <c r="X204" s="183">
        <v>0</v>
      </c>
      <c r="Y204" s="184">
        <v>0</v>
      </c>
      <c r="Z204" s="184">
        <v>0</v>
      </c>
      <c r="AA204" s="184">
        <v>0</v>
      </c>
      <c r="AB204" s="185" t="s">
        <v>615</v>
      </c>
      <c r="AC204" s="185" t="s">
        <v>615</v>
      </c>
      <c r="AD204" s="186" t="s">
        <v>881</v>
      </c>
      <c r="AE204" s="186" t="s">
        <v>858</v>
      </c>
      <c r="AF204" s="187">
        <v>7</v>
      </c>
      <c r="AG204" s="187">
        <v>3</v>
      </c>
      <c r="AH204" s="187">
        <v>4</v>
      </c>
      <c r="AI204" s="188">
        <v>1</v>
      </c>
      <c r="AJ204" s="188" t="s">
        <v>615</v>
      </c>
      <c r="AK204" s="187" t="s">
        <v>1738</v>
      </c>
      <c r="AL204" s="87" t="s">
        <v>615</v>
      </c>
      <c r="AM204" s="189"/>
      <c r="AN204" s="187" t="s">
        <v>615</v>
      </c>
      <c r="AO204" s="13" t="s">
        <v>615</v>
      </c>
      <c r="AP204" s="187">
        <v>0</v>
      </c>
      <c r="AQ204" s="187">
        <v>0</v>
      </c>
      <c r="AR204" s="190">
        <v>0</v>
      </c>
      <c r="AS204" s="190">
        <v>0</v>
      </c>
      <c r="AT204" s="190">
        <v>0</v>
      </c>
      <c r="AU204" s="187">
        <v>0</v>
      </c>
      <c r="AV204" s="187">
        <v>0</v>
      </c>
      <c r="AW204" s="191"/>
      <c r="AX204" s="192"/>
      <c r="AY204" s="193">
        <v>42666</v>
      </c>
      <c r="AZ204" s="193"/>
      <c r="BA204" s="193"/>
      <c r="BB204" s="194"/>
      <c r="BC204" s="194"/>
      <c r="BD204" s="195"/>
      <c r="BE204" s="195" t="s">
        <v>532</v>
      </c>
      <c r="BF204" s="195"/>
      <c r="BG204" s="195">
        <v>24</v>
      </c>
      <c r="BH204" s="196" t="s">
        <v>547</v>
      </c>
      <c r="BI204" s="197">
        <v>1</v>
      </c>
      <c r="BJ204" s="198"/>
      <c r="BK204" s="199">
        <v>0</v>
      </c>
      <c r="BL204" s="13">
        <v>0</v>
      </c>
      <c r="BM204" s="13">
        <v>0</v>
      </c>
      <c r="BN204" s="13" t="s">
        <v>616</v>
      </c>
      <c r="BO204" s="13" t="s">
        <v>616</v>
      </c>
      <c r="BP204" s="200">
        <v>0</v>
      </c>
      <c r="BQ204" s="201"/>
      <c r="BR204" s="202"/>
      <c r="BS204" s="187">
        <v>1000000000</v>
      </c>
      <c r="BT204" s="203">
        <v>0</v>
      </c>
      <c r="BU204" s="204">
        <v>0</v>
      </c>
      <c r="BV204" s="203">
        <v>0</v>
      </c>
      <c r="BW204" s="205">
        <v>0</v>
      </c>
      <c r="BX204" s="205">
        <v>0</v>
      </c>
      <c r="BY204" s="205">
        <v>0</v>
      </c>
      <c r="BZ204" s="203">
        <v>0</v>
      </c>
      <c r="CA204" s="203">
        <v>0</v>
      </c>
      <c r="CB204" s="203">
        <v>0</v>
      </c>
      <c r="CC204" s="204">
        <v>0</v>
      </c>
      <c r="CD204" s="203">
        <v>0</v>
      </c>
      <c r="CE204" s="203">
        <v>0</v>
      </c>
      <c r="CF204" s="13">
        <v>0</v>
      </c>
      <c r="CG204" s="206">
        <v>0</v>
      </c>
      <c r="CH204" s="207">
        <v>0</v>
      </c>
      <c r="CI204" s="201"/>
      <c r="CJ204" s="208"/>
      <c r="CK204" s="209" t="s">
        <v>615</v>
      </c>
      <c r="CL204" s="210" t="s">
        <v>615</v>
      </c>
      <c r="CM204" s="207">
        <v>0</v>
      </c>
      <c r="CN204" s="207">
        <v>0</v>
      </c>
      <c r="CO204" s="204">
        <v>0</v>
      </c>
      <c r="CP204" s="204">
        <v>0</v>
      </c>
      <c r="CQ204" s="211"/>
      <c r="CR204" s="204">
        <v>1</v>
      </c>
      <c r="CS204" s="212">
        <v>42558</v>
      </c>
      <c r="CT204" s="212">
        <v>42780</v>
      </c>
      <c r="CU204" s="213">
        <v>42780</v>
      </c>
      <c r="CV204" s="214">
        <v>42829</v>
      </c>
      <c r="CW204" s="214" t="s">
        <v>615</v>
      </c>
      <c r="CX204" s="214" t="s">
        <v>615</v>
      </c>
      <c r="CY204" s="204">
        <v>1</v>
      </c>
      <c r="CZ204" s="204">
        <v>0.97959183673469385</v>
      </c>
      <c r="DA204" s="203">
        <v>0</v>
      </c>
      <c r="DB204" s="204">
        <v>0.97959183673469385</v>
      </c>
      <c r="DC204" s="204">
        <v>0</v>
      </c>
      <c r="DD204" s="204">
        <v>0</v>
      </c>
      <c r="DE204" s="204">
        <v>0</v>
      </c>
      <c r="DF204" s="215">
        <v>0</v>
      </c>
      <c r="DG204" s="13" t="s">
        <v>615</v>
      </c>
      <c r="DH204" s="86">
        <v>202</v>
      </c>
      <c r="DI204" s="86"/>
      <c r="DJ204" s="86">
        <v>198</v>
      </c>
      <c r="DK204" s="86" t="s">
        <v>1657</v>
      </c>
      <c r="DL204" s="86" t="e">
        <v>#N/A</v>
      </c>
      <c r="DM204" s="86" t="e">
        <v>#N/A</v>
      </c>
      <c r="DN204" s="86" t="e">
        <v>#N/A</v>
      </c>
      <c r="DO204" s="86">
        <v>360</v>
      </c>
      <c r="DP204" s="86">
        <v>5</v>
      </c>
      <c r="DQ204" s="86">
        <v>49</v>
      </c>
      <c r="DR204" s="152">
        <v>0</v>
      </c>
      <c r="DS204" s="152">
        <v>0</v>
      </c>
      <c r="DT204" s="152">
        <v>0</v>
      </c>
      <c r="DU204" s="152">
        <v>0</v>
      </c>
      <c r="DV204" s="152">
        <v>0</v>
      </c>
      <c r="DW204" s="152">
        <v>0</v>
      </c>
      <c r="DX204" s="152">
        <v>0</v>
      </c>
      <c r="DY204" s="152">
        <v>0</v>
      </c>
      <c r="DZ204" s="152">
        <v>0</v>
      </c>
      <c r="EA204" s="152">
        <v>0</v>
      </c>
      <c r="EB204" s="152">
        <v>0</v>
      </c>
      <c r="EC204" s="152">
        <v>0</v>
      </c>
      <c r="ED204" s="152">
        <v>0</v>
      </c>
      <c r="EE204" s="152">
        <v>0</v>
      </c>
      <c r="EF204" s="152">
        <v>0</v>
      </c>
      <c r="EG204" s="152">
        <v>0</v>
      </c>
      <c r="EH204" s="152">
        <v>0</v>
      </c>
      <c r="EI204" s="152">
        <v>0</v>
      </c>
      <c r="EJ204" s="152">
        <v>0</v>
      </c>
      <c r="EK204" s="152">
        <v>0</v>
      </c>
      <c r="EL204" s="152">
        <v>0</v>
      </c>
      <c r="EM204" s="152">
        <v>0</v>
      </c>
      <c r="EN204" s="152">
        <v>0</v>
      </c>
      <c r="EO204" s="152">
        <v>0</v>
      </c>
      <c r="EP204" s="152">
        <v>0</v>
      </c>
      <c r="EQ204" s="152">
        <v>0</v>
      </c>
      <c r="ER204" s="152">
        <v>0</v>
      </c>
      <c r="ES204" s="152">
        <v>0</v>
      </c>
      <c r="ET204" s="152">
        <v>0</v>
      </c>
      <c r="EU204" s="152">
        <v>0</v>
      </c>
      <c r="EV204" s="152">
        <v>0</v>
      </c>
      <c r="EW204" s="152">
        <v>0</v>
      </c>
      <c r="EX204" s="152">
        <v>0</v>
      </c>
      <c r="EY204" s="152">
        <v>0</v>
      </c>
      <c r="EZ204" s="152">
        <v>0</v>
      </c>
      <c r="FA204" s="152">
        <v>0</v>
      </c>
      <c r="FB204" s="152">
        <v>0</v>
      </c>
      <c r="FC204" s="152">
        <v>0</v>
      </c>
      <c r="FD204" s="152">
        <v>0</v>
      </c>
      <c r="FE204" s="152">
        <v>0</v>
      </c>
      <c r="FF204" s="152">
        <v>0</v>
      </c>
      <c r="FG204" s="152">
        <v>0</v>
      </c>
      <c r="FH204" s="152">
        <v>0</v>
      </c>
      <c r="FI204" s="152">
        <v>0</v>
      </c>
      <c r="FJ204" s="152">
        <v>0</v>
      </c>
      <c r="FK204" s="152">
        <v>0</v>
      </c>
      <c r="FL204" s="152">
        <v>0</v>
      </c>
      <c r="FM204" s="152">
        <v>0</v>
      </c>
      <c r="FN204" s="152">
        <v>0</v>
      </c>
      <c r="FO204" s="152">
        <v>0</v>
      </c>
      <c r="FP204" s="152">
        <v>0</v>
      </c>
      <c r="FQ204" s="152">
        <v>0</v>
      </c>
      <c r="FR204" s="152">
        <v>0</v>
      </c>
      <c r="FS204" s="152">
        <v>0</v>
      </c>
      <c r="FT204" s="152">
        <v>0</v>
      </c>
      <c r="FU204" s="152">
        <v>0</v>
      </c>
      <c r="FV204" s="152">
        <v>0</v>
      </c>
      <c r="FW204" s="152">
        <v>0</v>
      </c>
      <c r="FX204" s="152">
        <v>0</v>
      </c>
      <c r="FY204" s="152">
        <v>0</v>
      </c>
      <c r="FZ204" s="152">
        <v>0</v>
      </c>
      <c r="GA204" s="152">
        <v>0</v>
      </c>
      <c r="GB204" s="152">
        <v>0</v>
      </c>
      <c r="GC204" s="152">
        <v>0</v>
      </c>
      <c r="GD204" s="152">
        <v>0</v>
      </c>
      <c r="GE204" s="152">
        <v>0</v>
      </c>
      <c r="GF204" s="152">
        <v>0</v>
      </c>
      <c r="GG204" s="152">
        <v>0</v>
      </c>
      <c r="GH204" s="152">
        <v>0</v>
      </c>
      <c r="GI204" s="152">
        <v>0</v>
      </c>
      <c r="GJ204" s="152">
        <v>0</v>
      </c>
      <c r="GK204" s="152">
        <v>0</v>
      </c>
      <c r="GL204" s="152">
        <v>0</v>
      </c>
      <c r="GM204" s="152">
        <v>0</v>
      </c>
      <c r="GN204" s="152">
        <v>0</v>
      </c>
      <c r="GO204" s="152">
        <v>0</v>
      </c>
      <c r="GP204" s="152">
        <v>0</v>
      </c>
      <c r="GQ204" s="152">
        <v>0</v>
      </c>
      <c r="GR204" s="152">
        <v>0</v>
      </c>
      <c r="GS204" s="152">
        <v>0</v>
      </c>
      <c r="GT204" s="152">
        <v>0</v>
      </c>
      <c r="GU204" s="152">
        <v>0</v>
      </c>
      <c r="GV204" s="152">
        <v>0</v>
      </c>
      <c r="GW204" s="152">
        <v>0</v>
      </c>
      <c r="GX204" s="152">
        <v>0</v>
      </c>
      <c r="GY204" s="152">
        <v>0</v>
      </c>
      <c r="GZ204" s="152">
        <v>0</v>
      </c>
      <c r="HA204" s="152">
        <v>0</v>
      </c>
      <c r="HB204" s="152">
        <v>0</v>
      </c>
      <c r="HC204" s="152">
        <v>0</v>
      </c>
      <c r="HD204" s="152">
        <v>0</v>
      </c>
      <c r="HE204" s="152">
        <v>0</v>
      </c>
      <c r="HF204" s="152">
        <v>0</v>
      </c>
      <c r="HG204" s="152">
        <v>0</v>
      </c>
      <c r="HH204" s="152">
        <v>0</v>
      </c>
      <c r="HI204" s="152">
        <v>0</v>
      </c>
      <c r="HJ204" s="152">
        <v>0</v>
      </c>
      <c r="HK204" s="152">
        <v>0</v>
      </c>
      <c r="HL204" s="152">
        <v>0</v>
      </c>
      <c r="HM204" s="152">
        <v>0</v>
      </c>
      <c r="HN204" s="152">
        <v>0</v>
      </c>
      <c r="HO204" s="152">
        <v>0</v>
      </c>
      <c r="HP204" s="152">
        <v>0</v>
      </c>
      <c r="HQ204" s="152">
        <v>0</v>
      </c>
      <c r="HR204" s="152">
        <v>0</v>
      </c>
      <c r="HS204" s="152">
        <v>0</v>
      </c>
      <c r="HT204" s="152">
        <v>0</v>
      </c>
      <c r="HU204" s="216"/>
      <c r="HV204" s="152">
        <v>0</v>
      </c>
      <c r="HW204" s="216"/>
      <c r="HX204" s="216"/>
      <c r="HY204" s="216"/>
      <c r="HZ204" s="216"/>
      <c r="IA204" s="216"/>
      <c r="IB204" s="216"/>
      <c r="IC204" s="216"/>
      <c r="ID204" s="216"/>
      <c r="IE204" s="216"/>
      <c r="IF204" s="216"/>
      <c r="IG204" s="216"/>
      <c r="IH204" s="216"/>
      <c r="II204" s="216"/>
      <c r="IJ204" s="216"/>
      <c r="IK204" s="216"/>
      <c r="IL204" s="216"/>
      <c r="IM204" s="216"/>
      <c r="IN204" s="216"/>
      <c r="IO204" s="216"/>
      <c r="IP204" s="216"/>
      <c r="IQ204" s="216"/>
      <c r="IR204" s="216"/>
      <c r="IS204" s="216"/>
      <c r="IT204" s="216"/>
      <c r="IU204" s="216"/>
      <c r="IV204" s="216"/>
      <c r="IW204" s="216"/>
      <c r="IX204" s="216"/>
      <c r="IY204" s="216"/>
      <c r="IZ204" s="216"/>
      <c r="JA204" s="216"/>
      <c r="JB204" s="216"/>
      <c r="JC204" s="216"/>
      <c r="JD204" s="216"/>
      <c r="JE204" s="216"/>
      <c r="JF204" s="216"/>
      <c r="JG204" s="216"/>
      <c r="JH204" s="216"/>
      <c r="JI204" s="216"/>
      <c r="JJ204" s="216"/>
      <c r="JK204" s="216"/>
      <c r="JL204" s="216"/>
      <c r="JM204" s="216"/>
      <c r="JN204" s="216"/>
      <c r="JO204" s="216"/>
      <c r="JP204" s="216"/>
      <c r="JQ204" s="216"/>
      <c r="JR204" s="216"/>
      <c r="JS204" s="216"/>
      <c r="JT204" s="216"/>
      <c r="JU204" s="216"/>
      <c r="JV204" s="216"/>
      <c r="JW204" s="216"/>
      <c r="JX204" s="216"/>
      <c r="JY204" s="216"/>
      <c r="JZ204" s="216"/>
      <c r="KA204" s="216"/>
      <c r="KB204" s="216"/>
      <c r="KC204" s="216"/>
      <c r="KD204" s="216"/>
      <c r="KE204" s="216"/>
      <c r="KF204" s="216"/>
      <c r="KG204" s="216"/>
      <c r="KH204" s="216"/>
      <c r="KI204" s="216"/>
      <c r="KJ204" s="216"/>
      <c r="KK204" s="216"/>
      <c r="KL204" s="216"/>
      <c r="KM204" s="216"/>
      <c r="KN204" s="216"/>
      <c r="KO204" s="216"/>
      <c r="KP204" s="216"/>
      <c r="KQ204" s="216"/>
      <c r="KR204" s="216"/>
      <c r="KS204" s="216"/>
      <c r="KT204" s="216"/>
      <c r="KU204" s="216"/>
      <c r="KV204" s="216"/>
      <c r="KW204" s="216"/>
      <c r="KX204" s="216"/>
      <c r="KY204" s="216"/>
      <c r="KZ204" s="216"/>
      <c r="LA204" s="216"/>
      <c r="LB204" s="216"/>
      <c r="LC204" s="216"/>
      <c r="LD204" s="216"/>
      <c r="LE204" s="216"/>
    </row>
    <row r="205" spans="1:317" x14ac:dyDescent="0.2">
      <c r="A205" s="179" t="s">
        <v>849</v>
      </c>
      <c r="B205" s="180" t="s">
        <v>1104</v>
      </c>
      <c r="C205" s="181"/>
      <c r="D205" s="182">
        <v>0</v>
      </c>
      <c r="E205" s="182">
        <v>0</v>
      </c>
      <c r="F205" s="183" t="s">
        <v>1314</v>
      </c>
      <c r="G205" s="183">
        <v>0</v>
      </c>
      <c r="H205" s="183">
        <v>0</v>
      </c>
      <c r="I205" s="183">
        <v>0</v>
      </c>
      <c r="J205" s="183">
        <v>0</v>
      </c>
      <c r="K205" s="183" t="s">
        <v>1368</v>
      </c>
      <c r="L205" s="183">
        <v>0</v>
      </c>
      <c r="M205" s="183">
        <v>0</v>
      </c>
      <c r="N205" s="183" t="s">
        <v>881</v>
      </c>
      <c r="O205" s="183">
        <v>0</v>
      </c>
      <c r="P205" s="183">
        <v>0</v>
      </c>
      <c r="Q205" s="183"/>
      <c r="R205" s="183"/>
      <c r="S205" s="183"/>
      <c r="T205" s="183"/>
      <c r="U205" s="183"/>
      <c r="V205" s="183">
        <v>0</v>
      </c>
      <c r="W205" s="183">
        <v>0</v>
      </c>
      <c r="X205" s="183">
        <v>0</v>
      </c>
      <c r="Y205" s="184">
        <v>0</v>
      </c>
      <c r="Z205" s="184">
        <v>0</v>
      </c>
      <c r="AA205" s="184">
        <v>0</v>
      </c>
      <c r="AB205" s="185" t="s">
        <v>615</v>
      </c>
      <c r="AC205" s="185" t="s">
        <v>615</v>
      </c>
      <c r="AD205" s="186" t="s">
        <v>881</v>
      </c>
      <c r="AE205" s="186" t="s">
        <v>858</v>
      </c>
      <c r="AF205" s="187">
        <v>7</v>
      </c>
      <c r="AG205" s="187">
        <v>3</v>
      </c>
      <c r="AH205" s="187">
        <v>4</v>
      </c>
      <c r="AI205" s="188">
        <v>1</v>
      </c>
      <c r="AJ205" s="188" t="s">
        <v>615</v>
      </c>
      <c r="AK205" s="187" t="s">
        <v>1738</v>
      </c>
      <c r="AL205" s="87" t="s">
        <v>615</v>
      </c>
      <c r="AM205" s="189"/>
      <c r="AN205" s="187" t="s">
        <v>615</v>
      </c>
      <c r="AO205" s="13" t="s">
        <v>615</v>
      </c>
      <c r="AP205" s="187">
        <v>0</v>
      </c>
      <c r="AQ205" s="187">
        <v>0</v>
      </c>
      <c r="AR205" s="190">
        <v>0</v>
      </c>
      <c r="AS205" s="190">
        <v>0</v>
      </c>
      <c r="AT205" s="190">
        <v>0</v>
      </c>
      <c r="AU205" s="187">
        <v>0</v>
      </c>
      <c r="AV205" s="187">
        <v>0</v>
      </c>
      <c r="AW205" s="191"/>
      <c r="AX205" s="192"/>
      <c r="AY205" s="193">
        <v>42666</v>
      </c>
      <c r="AZ205" s="193"/>
      <c r="BA205" s="193"/>
      <c r="BB205" s="194"/>
      <c r="BC205" s="194"/>
      <c r="BD205" s="195"/>
      <c r="BE205" s="195" t="s">
        <v>532</v>
      </c>
      <c r="BF205" s="195"/>
      <c r="BG205" s="195">
        <v>480</v>
      </c>
      <c r="BH205" s="196" t="s">
        <v>547</v>
      </c>
      <c r="BI205" s="197">
        <v>1</v>
      </c>
      <c r="BJ205" s="198"/>
      <c r="BK205" s="199">
        <v>0</v>
      </c>
      <c r="BL205" s="13">
        <v>0</v>
      </c>
      <c r="BM205" s="13">
        <v>0</v>
      </c>
      <c r="BN205" s="13" t="s">
        <v>616</v>
      </c>
      <c r="BO205" s="13" t="s">
        <v>616</v>
      </c>
      <c r="BP205" s="200">
        <v>0</v>
      </c>
      <c r="BQ205" s="201"/>
      <c r="BR205" s="202"/>
      <c r="BS205" s="187">
        <v>1000000000</v>
      </c>
      <c r="BT205" s="203">
        <v>0</v>
      </c>
      <c r="BU205" s="204">
        <v>0</v>
      </c>
      <c r="BV205" s="203">
        <v>0</v>
      </c>
      <c r="BW205" s="205">
        <v>0</v>
      </c>
      <c r="BX205" s="205">
        <v>0</v>
      </c>
      <c r="BY205" s="205">
        <v>0</v>
      </c>
      <c r="BZ205" s="203">
        <v>0</v>
      </c>
      <c r="CA205" s="203">
        <v>0</v>
      </c>
      <c r="CB205" s="203">
        <v>0</v>
      </c>
      <c r="CC205" s="204">
        <v>0</v>
      </c>
      <c r="CD205" s="203">
        <v>0</v>
      </c>
      <c r="CE205" s="203">
        <v>0</v>
      </c>
      <c r="CF205" s="13">
        <v>0</v>
      </c>
      <c r="CG205" s="206">
        <v>0</v>
      </c>
      <c r="CH205" s="207">
        <v>0</v>
      </c>
      <c r="CI205" s="201"/>
      <c r="CJ205" s="208"/>
      <c r="CK205" s="209" t="s">
        <v>615</v>
      </c>
      <c r="CL205" s="210" t="s">
        <v>615</v>
      </c>
      <c r="CM205" s="207">
        <v>0</v>
      </c>
      <c r="CN205" s="207">
        <v>0</v>
      </c>
      <c r="CO205" s="204">
        <v>0</v>
      </c>
      <c r="CP205" s="204">
        <v>0</v>
      </c>
      <c r="CQ205" s="211"/>
      <c r="CR205" s="204">
        <v>1</v>
      </c>
      <c r="CS205" s="212">
        <v>42558</v>
      </c>
      <c r="CT205" s="212">
        <v>42780</v>
      </c>
      <c r="CU205" s="213">
        <v>42780</v>
      </c>
      <c r="CV205" s="214">
        <v>42829</v>
      </c>
      <c r="CW205" s="214" t="s">
        <v>615</v>
      </c>
      <c r="CX205" s="214" t="s">
        <v>615</v>
      </c>
      <c r="CY205" s="204">
        <v>1</v>
      </c>
      <c r="CZ205" s="204">
        <v>0.97959183673469385</v>
      </c>
      <c r="DA205" s="203">
        <v>0</v>
      </c>
      <c r="DB205" s="204">
        <v>0.97959183673469385</v>
      </c>
      <c r="DC205" s="204">
        <v>0</v>
      </c>
      <c r="DD205" s="204">
        <v>0</v>
      </c>
      <c r="DE205" s="204">
        <v>0</v>
      </c>
      <c r="DF205" s="215">
        <v>0</v>
      </c>
      <c r="DG205" s="13" t="s">
        <v>615</v>
      </c>
      <c r="DH205" s="86">
        <v>203</v>
      </c>
      <c r="DI205" s="86"/>
      <c r="DJ205" s="86">
        <v>199</v>
      </c>
      <c r="DK205" s="86" t="s">
        <v>1658</v>
      </c>
      <c r="DL205" s="86" t="e">
        <v>#N/A</v>
      </c>
      <c r="DM205" s="86" t="e">
        <v>#N/A</v>
      </c>
      <c r="DN205" s="86" t="e">
        <v>#N/A</v>
      </c>
      <c r="DO205" s="86">
        <v>361</v>
      </c>
      <c r="DP205" s="86">
        <v>5</v>
      </c>
      <c r="DQ205" s="86">
        <v>49</v>
      </c>
      <c r="DR205" s="146">
        <v>0</v>
      </c>
      <c r="DS205" s="146">
        <v>0</v>
      </c>
      <c r="DT205" s="146">
        <v>0</v>
      </c>
      <c r="DU205" s="146">
        <v>0</v>
      </c>
      <c r="DV205" s="146">
        <v>0</v>
      </c>
      <c r="DW205" s="146">
        <v>0</v>
      </c>
      <c r="DX205" s="146">
        <v>0</v>
      </c>
      <c r="DY205" s="146">
        <v>0</v>
      </c>
      <c r="DZ205" s="146">
        <v>0</v>
      </c>
      <c r="EA205" s="146">
        <v>0</v>
      </c>
      <c r="EB205" s="146">
        <v>0</v>
      </c>
      <c r="EC205" s="146">
        <v>0</v>
      </c>
      <c r="ED205" s="146">
        <v>0</v>
      </c>
      <c r="EE205" s="146">
        <v>0</v>
      </c>
      <c r="EF205" s="146">
        <v>0</v>
      </c>
      <c r="EG205" s="146">
        <v>0</v>
      </c>
      <c r="EH205" s="146">
        <v>0</v>
      </c>
      <c r="EI205" s="146">
        <v>0</v>
      </c>
      <c r="EJ205" s="146">
        <v>0</v>
      </c>
      <c r="EK205" s="146">
        <v>0</v>
      </c>
      <c r="EL205" s="146">
        <v>0</v>
      </c>
      <c r="EM205" s="146">
        <v>0</v>
      </c>
      <c r="EN205" s="146">
        <v>0</v>
      </c>
      <c r="EO205" s="146">
        <v>0</v>
      </c>
      <c r="EP205" s="146">
        <v>0</v>
      </c>
      <c r="EQ205" s="146">
        <v>0</v>
      </c>
      <c r="ER205" s="146">
        <v>0</v>
      </c>
      <c r="ES205" s="146">
        <v>0</v>
      </c>
      <c r="ET205" s="146">
        <v>0</v>
      </c>
      <c r="EU205" s="146">
        <v>0</v>
      </c>
      <c r="EV205" s="146">
        <v>0</v>
      </c>
      <c r="EW205" s="146">
        <v>0</v>
      </c>
      <c r="EX205" s="146">
        <v>0</v>
      </c>
      <c r="EY205" s="146">
        <v>0</v>
      </c>
      <c r="EZ205" s="146">
        <v>0</v>
      </c>
      <c r="FA205" s="146">
        <v>0</v>
      </c>
      <c r="FB205" s="146">
        <v>0</v>
      </c>
      <c r="FC205" s="146">
        <v>0</v>
      </c>
      <c r="FD205" s="146">
        <v>0</v>
      </c>
      <c r="FE205" s="146">
        <v>0</v>
      </c>
      <c r="FF205" s="146">
        <v>0</v>
      </c>
      <c r="FG205" s="146">
        <v>0</v>
      </c>
      <c r="FH205" s="146">
        <v>0</v>
      </c>
      <c r="FI205" s="146">
        <v>0</v>
      </c>
      <c r="FJ205" s="146">
        <v>0</v>
      </c>
      <c r="FK205" s="146">
        <v>0</v>
      </c>
      <c r="FL205" s="146">
        <v>0</v>
      </c>
      <c r="FM205" s="146">
        <v>0</v>
      </c>
      <c r="FN205" s="146">
        <v>0</v>
      </c>
      <c r="FO205" s="146">
        <v>0</v>
      </c>
      <c r="FP205" s="146">
        <v>0</v>
      </c>
      <c r="FQ205" s="146">
        <v>0</v>
      </c>
      <c r="FR205" s="146">
        <v>0</v>
      </c>
      <c r="FS205" s="146">
        <v>0</v>
      </c>
      <c r="FT205" s="146">
        <v>0</v>
      </c>
      <c r="FU205" s="146">
        <v>0</v>
      </c>
      <c r="FV205" s="146">
        <v>0</v>
      </c>
      <c r="FW205" s="146">
        <v>0</v>
      </c>
      <c r="FX205" s="146">
        <v>0</v>
      </c>
      <c r="FY205" s="146">
        <v>0</v>
      </c>
      <c r="FZ205" s="146">
        <v>0</v>
      </c>
      <c r="GA205" s="146">
        <v>0</v>
      </c>
      <c r="GB205" s="146">
        <v>0</v>
      </c>
      <c r="GC205" s="146">
        <v>0</v>
      </c>
      <c r="GD205" s="146">
        <v>0</v>
      </c>
      <c r="GE205" s="146">
        <v>0</v>
      </c>
      <c r="GF205" s="146">
        <v>0</v>
      </c>
      <c r="GG205" s="146">
        <v>0</v>
      </c>
      <c r="GH205" s="146">
        <v>0</v>
      </c>
      <c r="GI205" s="146">
        <v>0</v>
      </c>
      <c r="GJ205" s="146">
        <v>0</v>
      </c>
      <c r="GK205" s="146">
        <v>0</v>
      </c>
      <c r="GL205" s="146">
        <v>0</v>
      </c>
      <c r="GM205" s="146">
        <v>0</v>
      </c>
      <c r="GN205" s="146">
        <v>0</v>
      </c>
      <c r="GO205" s="146">
        <v>0</v>
      </c>
      <c r="GP205" s="146">
        <v>0</v>
      </c>
      <c r="GQ205" s="146">
        <v>0</v>
      </c>
      <c r="GR205" s="146">
        <v>0</v>
      </c>
      <c r="GS205" s="146">
        <v>0</v>
      </c>
      <c r="GT205" s="146">
        <v>0</v>
      </c>
      <c r="GU205" s="146">
        <v>0</v>
      </c>
      <c r="GV205" s="146">
        <v>0</v>
      </c>
      <c r="GW205" s="146">
        <v>0</v>
      </c>
      <c r="GX205" s="146">
        <v>0</v>
      </c>
      <c r="GY205" s="146">
        <v>0</v>
      </c>
      <c r="GZ205" s="146">
        <v>0</v>
      </c>
      <c r="HA205" s="146">
        <v>0</v>
      </c>
      <c r="HB205" s="146">
        <v>0</v>
      </c>
      <c r="HC205" s="146">
        <v>0</v>
      </c>
      <c r="HD205" s="146">
        <v>0</v>
      </c>
      <c r="HE205" s="146">
        <v>0</v>
      </c>
      <c r="HF205" s="146">
        <v>0</v>
      </c>
      <c r="HG205" s="146">
        <v>0</v>
      </c>
      <c r="HH205" s="146">
        <v>0</v>
      </c>
      <c r="HI205" s="146">
        <v>0</v>
      </c>
      <c r="HJ205" s="146">
        <v>0</v>
      </c>
      <c r="HK205" s="146">
        <v>0</v>
      </c>
      <c r="HL205" s="146">
        <v>0</v>
      </c>
      <c r="HM205" s="146">
        <v>0</v>
      </c>
      <c r="HN205" s="146">
        <v>0</v>
      </c>
      <c r="HO205" s="146">
        <v>0</v>
      </c>
      <c r="HP205" s="146">
        <v>0</v>
      </c>
      <c r="HQ205" s="146">
        <v>0</v>
      </c>
      <c r="HR205" s="146">
        <v>0</v>
      </c>
      <c r="HS205" s="146">
        <v>0</v>
      </c>
      <c r="HT205" s="146">
        <v>0</v>
      </c>
      <c r="HU205" s="151"/>
      <c r="HV205" s="146">
        <v>0</v>
      </c>
      <c r="HW205" s="151"/>
      <c r="HX205" s="151"/>
      <c r="HY205" s="151"/>
      <c r="HZ205" s="151"/>
      <c r="IA205" s="151"/>
      <c r="IB205" s="151"/>
      <c r="IC205" s="151"/>
      <c r="ID205" s="151"/>
      <c r="IE205" s="151"/>
      <c r="IF205" s="151"/>
      <c r="IG205" s="151"/>
      <c r="IH205" s="151"/>
      <c r="II205" s="151"/>
      <c r="IJ205" s="151"/>
      <c r="IK205" s="151"/>
      <c r="IL205" s="151"/>
      <c r="IM205" s="151"/>
      <c r="IN205" s="151"/>
      <c r="IO205" s="151"/>
      <c r="IP205" s="151"/>
      <c r="IQ205" s="151"/>
      <c r="IR205" s="151"/>
      <c r="IS205" s="151"/>
      <c r="IT205" s="151"/>
      <c r="IU205" s="151"/>
      <c r="IV205" s="151"/>
      <c r="IW205" s="151"/>
      <c r="IX205" s="151"/>
      <c r="IY205" s="151"/>
      <c r="IZ205" s="151"/>
      <c r="JA205" s="151"/>
      <c r="JB205" s="151"/>
      <c r="JC205" s="151"/>
      <c r="JD205" s="151"/>
      <c r="JE205" s="151"/>
      <c r="JF205" s="151"/>
      <c r="JG205" s="151"/>
      <c r="JH205" s="151"/>
      <c r="JI205" s="151"/>
      <c r="JJ205" s="151"/>
      <c r="JK205" s="151"/>
      <c r="JL205" s="151"/>
      <c r="JM205" s="151"/>
      <c r="JN205" s="151"/>
      <c r="JO205" s="151"/>
      <c r="JP205" s="151"/>
      <c r="JQ205" s="151"/>
      <c r="JR205" s="151"/>
      <c r="JS205" s="151"/>
      <c r="JT205" s="151"/>
      <c r="JU205" s="151"/>
      <c r="JV205" s="151"/>
      <c r="JW205" s="151"/>
      <c r="JX205" s="151"/>
      <c r="JY205" s="151"/>
      <c r="JZ205" s="151"/>
      <c r="KA205" s="151"/>
      <c r="KB205" s="151"/>
      <c r="KC205" s="151"/>
      <c r="KD205" s="151"/>
      <c r="KE205" s="151"/>
      <c r="KF205" s="151"/>
      <c r="KG205" s="151"/>
      <c r="KH205" s="151"/>
      <c r="KI205" s="151"/>
      <c r="KJ205" s="151"/>
      <c r="KK205" s="151"/>
      <c r="KL205" s="151"/>
      <c r="KM205" s="151"/>
      <c r="KN205" s="151"/>
      <c r="KO205" s="151"/>
      <c r="KP205" s="151"/>
      <c r="KQ205" s="151"/>
      <c r="KR205" s="151"/>
      <c r="KS205" s="151"/>
      <c r="KT205" s="151"/>
      <c r="KU205" s="151"/>
      <c r="KV205" s="151"/>
      <c r="KW205" s="151"/>
      <c r="KX205" s="151"/>
      <c r="KY205" s="151"/>
      <c r="KZ205" s="151"/>
      <c r="LA205" s="151"/>
      <c r="LB205" s="151"/>
      <c r="LC205" s="151"/>
      <c r="LD205" s="151"/>
      <c r="LE205" s="151"/>
    </row>
    <row r="206" spans="1:317" x14ac:dyDescent="0.2">
      <c r="A206" s="179" t="s">
        <v>849</v>
      </c>
      <c r="B206" s="180" t="s">
        <v>1105</v>
      </c>
      <c r="C206" s="181"/>
      <c r="D206" s="182">
        <v>0</v>
      </c>
      <c r="E206" s="182">
        <v>0</v>
      </c>
      <c r="F206" s="183" t="s">
        <v>1314</v>
      </c>
      <c r="G206" s="183">
        <v>0</v>
      </c>
      <c r="H206" s="183">
        <v>0</v>
      </c>
      <c r="I206" s="183">
        <v>0</v>
      </c>
      <c r="J206" s="183">
        <v>0</v>
      </c>
      <c r="K206" s="183" t="s">
        <v>1368</v>
      </c>
      <c r="L206" s="183">
        <v>0</v>
      </c>
      <c r="M206" s="183">
        <v>0</v>
      </c>
      <c r="N206" s="183" t="s">
        <v>881</v>
      </c>
      <c r="O206" s="183">
        <v>0</v>
      </c>
      <c r="P206" s="183">
        <v>0</v>
      </c>
      <c r="Q206" s="183"/>
      <c r="R206" s="183"/>
      <c r="S206" s="183"/>
      <c r="T206" s="183"/>
      <c r="U206" s="183"/>
      <c r="V206" s="183">
        <v>0</v>
      </c>
      <c r="W206" s="183">
        <v>0</v>
      </c>
      <c r="X206" s="183">
        <v>0</v>
      </c>
      <c r="Y206" s="184">
        <v>0</v>
      </c>
      <c r="Z206" s="184">
        <v>0</v>
      </c>
      <c r="AA206" s="184">
        <v>0</v>
      </c>
      <c r="AB206" s="185" t="s">
        <v>615</v>
      </c>
      <c r="AC206" s="185" t="s">
        <v>615</v>
      </c>
      <c r="AD206" s="186" t="s">
        <v>881</v>
      </c>
      <c r="AE206" s="186" t="s">
        <v>858</v>
      </c>
      <c r="AF206" s="187">
        <v>7</v>
      </c>
      <c r="AG206" s="187">
        <v>3</v>
      </c>
      <c r="AH206" s="187">
        <v>4</v>
      </c>
      <c r="AI206" s="188">
        <v>1</v>
      </c>
      <c r="AJ206" s="188" t="s">
        <v>615</v>
      </c>
      <c r="AK206" s="187" t="s">
        <v>1738</v>
      </c>
      <c r="AL206" s="87" t="s">
        <v>615</v>
      </c>
      <c r="AM206" s="189"/>
      <c r="AN206" s="187" t="s">
        <v>615</v>
      </c>
      <c r="AO206" s="13" t="s">
        <v>615</v>
      </c>
      <c r="AP206" s="187">
        <v>0</v>
      </c>
      <c r="AQ206" s="187">
        <v>0</v>
      </c>
      <c r="AR206" s="190">
        <v>0</v>
      </c>
      <c r="AS206" s="190">
        <v>0</v>
      </c>
      <c r="AT206" s="190">
        <v>0</v>
      </c>
      <c r="AU206" s="187">
        <v>0</v>
      </c>
      <c r="AV206" s="187">
        <v>0</v>
      </c>
      <c r="AW206" s="191"/>
      <c r="AX206" s="192"/>
      <c r="AY206" s="193">
        <v>42666</v>
      </c>
      <c r="AZ206" s="193"/>
      <c r="BA206" s="193"/>
      <c r="BB206" s="194"/>
      <c r="BC206" s="194"/>
      <c r="BD206" s="195"/>
      <c r="BE206" s="195" t="s">
        <v>532</v>
      </c>
      <c r="BF206" s="195"/>
      <c r="BG206" s="195">
        <v>480</v>
      </c>
      <c r="BH206" s="196" t="s">
        <v>547</v>
      </c>
      <c r="BI206" s="197">
        <v>1</v>
      </c>
      <c r="BJ206" s="198"/>
      <c r="BK206" s="199">
        <v>0</v>
      </c>
      <c r="BL206" s="13">
        <v>0</v>
      </c>
      <c r="BM206" s="13">
        <v>0</v>
      </c>
      <c r="BN206" s="13" t="s">
        <v>616</v>
      </c>
      <c r="BO206" s="13" t="s">
        <v>616</v>
      </c>
      <c r="BP206" s="200">
        <v>0</v>
      </c>
      <c r="BQ206" s="201"/>
      <c r="BR206" s="202"/>
      <c r="BS206" s="187">
        <v>1000000000</v>
      </c>
      <c r="BT206" s="203">
        <v>0</v>
      </c>
      <c r="BU206" s="204">
        <v>0</v>
      </c>
      <c r="BV206" s="203">
        <v>0</v>
      </c>
      <c r="BW206" s="205">
        <v>0</v>
      </c>
      <c r="BX206" s="205">
        <v>0</v>
      </c>
      <c r="BY206" s="205">
        <v>0</v>
      </c>
      <c r="BZ206" s="203">
        <v>0</v>
      </c>
      <c r="CA206" s="203">
        <v>0</v>
      </c>
      <c r="CB206" s="203">
        <v>0</v>
      </c>
      <c r="CC206" s="204">
        <v>0</v>
      </c>
      <c r="CD206" s="203">
        <v>0</v>
      </c>
      <c r="CE206" s="203">
        <v>0</v>
      </c>
      <c r="CF206" s="13">
        <v>0</v>
      </c>
      <c r="CG206" s="206">
        <v>0</v>
      </c>
      <c r="CH206" s="207">
        <v>0</v>
      </c>
      <c r="CI206" s="201"/>
      <c r="CJ206" s="208"/>
      <c r="CK206" s="209" t="s">
        <v>615</v>
      </c>
      <c r="CL206" s="210" t="s">
        <v>615</v>
      </c>
      <c r="CM206" s="207">
        <v>0</v>
      </c>
      <c r="CN206" s="207">
        <v>0</v>
      </c>
      <c r="CO206" s="204">
        <v>0</v>
      </c>
      <c r="CP206" s="204">
        <v>0</v>
      </c>
      <c r="CQ206" s="211"/>
      <c r="CR206" s="204">
        <v>1</v>
      </c>
      <c r="CS206" s="212">
        <v>42558</v>
      </c>
      <c r="CT206" s="212">
        <v>42780</v>
      </c>
      <c r="CU206" s="213">
        <v>42780</v>
      </c>
      <c r="CV206" s="214">
        <v>42829</v>
      </c>
      <c r="CW206" s="214" t="s">
        <v>615</v>
      </c>
      <c r="CX206" s="214" t="s">
        <v>615</v>
      </c>
      <c r="CY206" s="204">
        <v>1</v>
      </c>
      <c r="CZ206" s="204">
        <v>0.97959183673469385</v>
      </c>
      <c r="DA206" s="203">
        <v>0</v>
      </c>
      <c r="DB206" s="204">
        <v>0.97959183673469385</v>
      </c>
      <c r="DC206" s="204">
        <v>0</v>
      </c>
      <c r="DD206" s="204">
        <v>0</v>
      </c>
      <c r="DE206" s="204">
        <v>0</v>
      </c>
      <c r="DF206" s="215">
        <v>0</v>
      </c>
      <c r="DG206" s="13" t="s">
        <v>615</v>
      </c>
      <c r="DH206" s="86">
        <v>204</v>
      </c>
      <c r="DI206" s="86"/>
      <c r="DJ206" s="86">
        <v>200</v>
      </c>
      <c r="DK206" s="86" t="s">
        <v>1659</v>
      </c>
      <c r="DL206" s="86" t="e">
        <v>#N/A</v>
      </c>
      <c r="DM206" s="86" t="e">
        <v>#N/A</v>
      </c>
      <c r="DN206" s="86" t="e">
        <v>#N/A</v>
      </c>
      <c r="DO206" s="86">
        <v>362</v>
      </c>
      <c r="DP206" s="86">
        <v>5</v>
      </c>
      <c r="DQ206" s="86">
        <v>49</v>
      </c>
      <c r="DR206" s="152">
        <v>0</v>
      </c>
      <c r="DS206" s="152">
        <v>0</v>
      </c>
      <c r="DT206" s="152">
        <v>0</v>
      </c>
      <c r="DU206" s="152">
        <v>0</v>
      </c>
      <c r="DV206" s="152">
        <v>0</v>
      </c>
      <c r="DW206" s="152">
        <v>0</v>
      </c>
      <c r="DX206" s="152">
        <v>0</v>
      </c>
      <c r="DY206" s="152">
        <v>0</v>
      </c>
      <c r="DZ206" s="152">
        <v>0</v>
      </c>
      <c r="EA206" s="152">
        <v>0</v>
      </c>
      <c r="EB206" s="152">
        <v>0</v>
      </c>
      <c r="EC206" s="152">
        <v>0</v>
      </c>
      <c r="ED206" s="152">
        <v>0</v>
      </c>
      <c r="EE206" s="152">
        <v>0</v>
      </c>
      <c r="EF206" s="152">
        <v>0</v>
      </c>
      <c r="EG206" s="152">
        <v>0</v>
      </c>
      <c r="EH206" s="152">
        <v>0</v>
      </c>
      <c r="EI206" s="152">
        <v>0</v>
      </c>
      <c r="EJ206" s="152">
        <v>0</v>
      </c>
      <c r="EK206" s="152">
        <v>0</v>
      </c>
      <c r="EL206" s="152">
        <v>0</v>
      </c>
      <c r="EM206" s="152">
        <v>0</v>
      </c>
      <c r="EN206" s="152">
        <v>0</v>
      </c>
      <c r="EO206" s="152">
        <v>0</v>
      </c>
      <c r="EP206" s="152">
        <v>0</v>
      </c>
      <c r="EQ206" s="152">
        <v>0</v>
      </c>
      <c r="ER206" s="152">
        <v>0</v>
      </c>
      <c r="ES206" s="152">
        <v>0</v>
      </c>
      <c r="ET206" s="152">
        <v>0</v>
      </c>
      <c r="EU206" s="152">
        <v>0</v>
      </c>
      <c r="EV206" s="152">
        <v>0</v>
      </c>
      <c r="EW206" s="152">
        <v>0</v>
      </c>
      <c r="EX206" s="152">
        <v>0</v>
      </c>
      <c r="EY206" s="152">
        <v>0</v>
      </c>
      <c r="EZ206" s="152">
        <v>0</v>
      </c>
      <c r="FA206" s="152">
        <v>0</v>
      </c>
      <c r="FB206" s="152">
        <v>0</v>
      </c>
      <c r="FC206" s="152">
        <v>0</v>
      </c>
      <c r="FD206" s="152">
        <v>0</v>
      </c>
      <c r="FE206" s="152">
        <v>0</v>
      </c>
      <c r="FF206" s="152">
        <v>0</v>
      </c>
      <c r="FG206" s="152">
        <v>0</v>
      </c>
      <c r="FH206" s="152">
        <v>0</v>
      </c>
      <c r="FI206" s="152">
        <v>0</v>
      </c>
      <c r="FJ206" s="152">
        <v>0</v>
      </c>
      <c r="FK206" s="152">
        <v>0</v>
      </c>
      <c r="FL206" s="152">
        <v>0</v>
      </c>
      <c r="FM206" s="152">
        <v>0</v>
      </c>
      <c r="FN206" s="152">
        <v>0</v>
      </c>
      <c r="FO206" s="152">
        <v>0</v>
      </c>
      <c r="FP206" s="152">
        <v>0</v>
      </c>
      <c r="FQ206" s="152">
        <v>0</v>
      </c>
      <c r="FR206" s="152">
        <v>0</v>
      </c>
      <c r="FS206" s="152">
        <v>0</v>
      </c>
      <c r="FT206" s="152">
        <v>0</v>
      </c>
      <c r="FU206" s="152">
        <v>0</v>
      </c>
      <c r="FV206" s="152">
        <v>0</v>
      </c>
      <c r="FW206" s="152">
        <v>0</v>
      </c>
      <c r="FX206" s="152">
        <v>0</v>
      </c>
      <c r="FY206" s="152">
        <v>0</v>
      </c>
      <c r="FZ206" s="152">
        <v>0</v>
      </c>
      <c r="GA206" s="152">
        <v>0</v>
      </c>
      <c r="GB206" s="152">
        <v>0</v>
      </c>
      <c r="GC206" s="152">
        <v>0</v>
      </c>
      <c r="GD206" s="152">
        <v>0</v>
      </c>
      <c r="GE206" s="152">
        <v>0</v>
      </c>
      <c r="GF206" s="152">
        <v>0</v>
      </c>
      <c r="GG206" s="152">
        <v>0</v>
      </c>
      <c r="GH206" s="152">
        <v>0</v>
      </c>
      <c r="GI206" s="152">
        <v>0</v>
      </c>
      <c r="GJ206" s="152">
        <v>0</v>
      </c>
      <c r="GK206" s="152">
        <v>0</v>
      </c>
      <c r="GL206" s="152">
        <v>0</v>
      </c>
      <c r="GM206" s="152">
        <v>0</v>
      </c>
      <c r="GN206" s="152">
        <v>0</v>
      </c>
      <c r="GO206" s="152">
        <v>0</v>
      </c>
      <c r="GP206" s="152">
        <v>0</v>
      </c>
      <c r="GQ206" s="152">
        <v>0</v>
      </c>
      <c r="GR206" s="152">
        <v>0</v>
      </c>
      <c r="GS206" s="152">
        <v>0</v>
      </c>
      <c r="GT206" s="152">
        <v>0</v>
      </c>
      <c r="GU206" s="152">
        <v>0</v>
      </c>
      <c r="GV206" s="152">
        <v>0</v>
      </c>
      <c r="GW206" s="152">
        <v>0</v>
      </c>
      <c r="GX206" s="152">
        <v>0</v>
      </c>
      <c r="GY206" s="152">
        <v>0</v>
      </c>
      <c r="GZ206" s="152">
        <v>0</v>
      </c>
      <c r="HA206" s="152">
        <v>0</v>
      </c>
      <c r="HB206" s="152">
        <v>0</v>
      </c>
      <c r="HC206" s="152">
        <v>0</v>
      </c>
      <c r="HD206" s="152">
        <v>0</v>
      </c>
      <c r="HE206" s="152">
        <v>0</v>
      </c>
      <c r="HF206" s="152">
        <v>0</v>
      </c>
      <c r="HG206" s="152">
        <v>0</v>
      </c>
      <c r="HH206" s="152">
        <v>0</v>
      </c>
      <c r="HI206" s="152">
        <v>0</v>
      </c>
      <c r="HJ206" s="152">
        <v>0</v>
      </c>
      <c r="HK206" s="152">
        <v>0</v>
      </c>
      <c r="HL206" s="152">
        <v>0</v>
      </c>
      <c r="HM206" s="152">
        <v>0</v>
      </c>
      <c r="HN206" s="152">
        <v>0</v>
      </c>
      <c r="HO206" s="152">
        <v>0</v>
      </c>
      <c r="HP206" s="152">
        <v>0</v>
      </c>
      <c r="HQ206" s="152">
        <v>0</v>
      </c>
      <c r="HR206" s="152">
        <v>0</v>
      </c>
      <c r="HS206" s="152">
        <v>0</v>
      </c>
      <c r="HT206" s="152">
        <v>0</v>
      </c>
      <c r="HU206" s="216"/>
      <c r="HV206" s="152">
        <v>0</v>
      </c>
      <c r="HW206" s="216"/>
      <c r="HX206" s="216"/>
      <c r="HY206" s="216"/>
      <c r="HZ206" s="216"/>
      <c r="IA206" s="216"/>
      <c r="IB206" s="216"/>
      <c r="IC206" s="216"/>
      <c r="ID206" s="216"/>
      <c r="IE206" s="216"/>
      <c r="IF206" s="216"/>
      <c r="IG206" s="216"/>
      <c r="IH206" s="216"/>
      <c r="II206" s="216"/>
      <c r="IJ206" s="216"/>
      <c r="IK206" s="216"/>
      <c r="IL206" s="216"/>
      <c r="IM206" s="216"/>
      <c r="IN206" s="216"/>
      <c r="IO206" s="216"/>
      <c r="IP206" s="216"/>
      <c r="IQ206" s="216"/>
      <c r="IR206" s="216"/>
      <c r="IS206" s="216"/>
      <c r="IT206" s="216"/>
      <c r="IU206" s="216"/>
      <c r="IV206" s="216"/>
      <c r="IW206" s="216"/>
      <c r="IX206" s="216"/>
      <c r="IY206" s="216"/>
      <c r="IZ206" s="216"/>
      <c r="JA206" s="216"/>
      <c r="JB206" s="216"/>
      <c r="JC206" s="216"/>
      <c r="JD206" s="216"/>
      <c r="JE206" s="216"/>
      <c r="JF206" s="216"/>
      <c r="JG206" s="216"/>
      <c r="JH206" s="216"/>
      <c r="JI206" s="216"/>
      <c r="JJ206" s="216"/>
      <c r="JK206" s="216"/>
      <c r="JL206" s="216"/>
      <c r="JM206" s="216"/>
      <c r="JN206" s="216"/>
      <c r="JO206" s="216"/>
      <c r="JP206" s="216"/>
      <c r="JQ206" s="216"/>
      <c r="JR206" s="216"/>
      <c r="JS206" s="216"/>
      <c r="JT206" s="216"/>
      <c r="JU206" s="216"/>
      <c r="JV206" s="216"/>
      <c r="JW206" s="216"/>
      <c r="JX206" s="216"/>
      <c r="JY206" s="216"/>
      <c r="JZ206" s="216"/>
      <c r="KA206" s="216"/>
      <c r="KB206" s="216"/>
      <c r="KC206" s="216"/>
      <c r="KD206" s="216"/>
      <c r="KE206" s="216"/>
      <c r="KF206" s="216"/>
      <c r="KG206" s="216"/>
      <c r="KH206" s="216"/>
      <c r="KI206" s="216"/>
      <c r="KJ206" s="216"/>
      <c r="KK206" s="216"/>
      <c r="KL206" s="216"/>
      <c r="KM206" s="216"/>
      <c r="KN206" s="216"/>
      <c r="KO206" s="216"/>
      <c r="KP206" s="216"/>
      <c r="KQ206" s="216"/>
      <c r="KR206" s="216"/>
      <c r="KS206" s="216"/>
      <c r="KT206" s="216"/>
      <c r="KU206" s="216"/>
      <c r="KV206" s="216"/>
      <c r="KW206" s="216"/>
      <c r="KX206" s="216"/>
      <c r="KY206" s="216"/>
      <c r="KZ206" s="216"/>
      <c r="LA206" s="216"/>
      <c r="LB206" s="216"/>
      <c r="LC206" s="216"/>
      <c r="LD206" s="216"/>
      <c r="LE206" s="216"/>
    </row>
    <row r="207" spans="1:317" x14ac:dyDescent="0.2">
      <c r="A207" s="179" t="s">
        <v>849</v>
      </c>
      <c r="B207" s="180" t="s">
        <v>1106</v>
      </c>
      <c r="C207" s="181"/>
      <c r="D207" s="182">
        <v>0</v>
      </c>
      <c r="E207" s="182">
        <v>0</v>
      </c>
      <c r="F207" s="183" t="s">
        <v>1314</v>
      </c>
      <c r="G207" s="183">
        <v>0</v>
      </c>
      <c r="H207" s="183">
        <v>0</v>
      </c>
      <c r="I207" s="183">
        <v>0</v>
      </c>
      <c r="J207" s="183">
        <v>0</v>
      </c>
      <c r="K207" s="183" t="s">
        <v>1368</v>
      </c>
      <c r="L207" s="183">
        <v>0</v>
      </c>
      <c r="M207" s="183">
        <v>0</v>
      </c>
      <c r="N207" s="183" t="s">
        <v>881</v>
      </c>
      <c r="O207" s="183">
        <v>0</v>
      </c>
      <c r="P207" s="183">
        <v>0</v>
      </c>
      <c r="Q207" s="183"/>
      <c r="R207" s="183"/>
      <c r="S207" s="183"/>
      <c r="T207" s="183"/>
      <c r="U207" s="183"/>
      <c r="V207" s="183">
        <v>0</v>
      </c>
      <c r="W207" s="183">
        <v>0</v>
      </c>
      <c r="X207" s="183">
        <v>0</v>
      </c>
      <c r="Y207" s="184">
        <v>0</v>
      </c>
      <c r="Z207" s="184">
        <v>0</v>
      </c>
      <c r="AA207" s="184">
        <v>0</v>
      </c>
      <c r="AB207" s="185" t="s">
        <v>615</v>
      </c>
      <c r="AC207" s="185" t="s">
        <v>615</v>
      </c>
      <c r="AD207" s="186" t="s">
        <v>881</v>
      </c>
      <c r="AE207" s="186" t="s">
        <v>858</v>
      </c>
      <c r="AF207" s="187">
        <v>7</v>
      </c>
      <c r="AG207" s="187">
        <v>3</v>
      </c>
      <c r="AH207" s="187">
        <v>4</v>
      </c>
      <c r="AI207" s="188">
        <v>1</v>
      </c>
      <c r="AJ207" s="188" t="s">
        <v>615</v>
      </c>
      <c r="AK207" s="187" t="s">
        <v>1738</v>
      </c>
      <c r="AL207" s="87" t="s">
        <v>615</v>
      </c>
      <c r="AM207" s="189"/>
      <c r="AN207" s="187" t="s">
        <v>615</v>
      </c>
      <c r="AO207" s="13" t="s">
        <v>615</v>
      </c>
      <c r="AP207" s="187">
        <v>0</v>
      </c>
      <c r="AQ207" s="187">
        <v>0</v>
      </c>
      <c r="AR207" s="190">
        <v>0</v>
      </c>
      <c r="AS207" s="190">
        <v>0</v>
      </c>
      <c r="AT207" s="190">
        <v>0</v>
      </c>
      <c r="AU207" s="187">
        <v>0</v>
      </c>
      <c r="AV207" s="187">
        <v>0</v>
      </c>
      <c r="AW207" s="191"/>
      <c r="AX207" s="192"/>
      <c r="AY207" s="193">
        <v>42666</v>
      </c>
      <c r="AZ207" s="193"/>
      <c r="BA207" s="193"/>
      <c r="BB207" s="194"/>
      <c r="BC207" s="194"/>
      <c r="BD207" s="195"/>
      <c r="BE207" s="195" t="s">
        <v>532</v>
      </c>
      <c r="BF207" s="195"/>
      <c r="BG207" s="195">
        <v>144</v>
      </c>
      <c r="BH207" s="196" t="s">
        <v>547</v>
      </c>
      <c r="BI207" s="197">
        <v>1</v>
      </c>
      <c r="BJ207" s="198"/>
      <c r="BK207" s="199">
        <v>0</v>
      </c>
      <c r="BL207" s="13">
        <v>0</v>
      </c>
      <c r="BM207" s="13">
        <v>0</v>
      </c>
      <c r="BN207" s="13" t="s">
        <v>616</v>
      </c>
      <c r="BO207" s="13" t="s">
        <v>616</v>
      </c>
      <c r="BP207" s="200">
        <v>0</v>
      </c>
      <c r="BQ207" s="201"/>
      <c r="BR207" s="202"/>
      <c r="BS207" s="187">
        <v>1000000000</v>
      </c>
      <c r="BT207" s="203">
        <v>0</v>
      </c>
      <c r="BU207" s="204">
        <v>0</v>
      </c>
      <c r="BV207" s="203">
        <v>0</v>
      </c>
      <c r="BW207" s="205">
        <v>0</v>
      </c>
      <c r="BX207" s="205">
        <v>0</v>
      </c>
      <c r="BY207" s="205">
        <v>0</v>
      </c>
      <c r="BZ207" s="203">
        <v>0</v>
      </c>
      <c r="CA207" s="203">
        <v>0</v>
      </c>
      <c r="CB207" s="203">
        <v>0</v>
      </c>
      <c r="CC207" s="204">
        <v>0</v>
      </c>
      <c r="CD207" s="203">
        <v>0</v>
      </c>
      <c r="CE207" s="203">
        <v>0</v>
      </c>
      <c r="CF207" s="13">
        <v>0</v>
      </c>
      <c r="CG207" s="206">
        <v>0</v>
      </c>
      <c r="CH207" s="207">
        <v>0</v>
      </c>
      <c r="CI207" s="201"/>
      <c r="CJ207" s="208"/>
      <c r="CK207" s="209" t="s">
        <v>615</v>
      </c>
      <c r="CL207" s="210" t="s">
        <v>615</v>
      </c>
      <c r="CM207" s="207">
        <v>0</v>
      </c>
      <c r="CN207" s="207">
        <v>0</v>
      </c>
      <c r="CO207" s="204">
        <v>0</v>
      </c>
      <c r="CP207" s="204">
        <v>0</v>
      </c>
      <c r="CQ207" s="211"/>
      <c r="CR207" s="204">
        <v>1</v>
      </c>
      <c r="CS207" s="212">
        <v>42558</v>
      </c>
      <c r="CT207" s="212">
        <v>42780</v>
      </c>
      <c r="CU207" s="213">
        <v>42780</v>
      </c>
      <c r="CV207" s="214">
        <v>42829</v>
      </c>
      <c r="CW207" s="214" t="s">
        <v>615</v>
      </c>
      <c r="CX207" s="214" t="s">
        <v>615</v>
      </c>
      <c r="CY207" s="204">
        <v>1</v>
      </c>
      <c r="CZ207" s="204">
        <v>0.97959183673469385</v>
      </c>
      <c r="DA207" s="203">
        <v>0</v>
      </c>
      <c r="DB207" s="204">
        <v>0.97959183673469385</v>
      </c>
      <c r="DC207" s="204">
        <v>0</v>
      </c>
      <c r="DD207" s="204">
        <v>0</v>
      </c>
      <c r="DE207" s="204">
        <v>0</v>
      </c>
      <c r="DF207" s="215">
        <v>0</v>
      </c>
      <c r="DG207" s="13" t="s">
        <v>615</v>
      </c>
      <c r="DH207" s="86">
        <v>205</v>
      </c>
      <c r="DI207" s="86"/>
      <c r="DJ207" s="86">
        <v>201</v>
      </c>
      <c r="DK207" s="86" t="s">
        <v>1660</v>
      </c>
      <c r="DL207" s="86" t="e">
        <v>#N/A</v>
      </c>
      <c r="DM207" s="86" t="e">
        <v>#N/A</v>
      </c>
      <c r="DN207" s="86" t="e">
        <v>#N/A</v>
      </c>
      <c r="DO207" s="86">
        <v>363</v>
      </c>
      <c r="DP207" s="86">
        <v>5</v>
      </c>
      <c r="DQ207" s="86">
        <v>49</v>
      </c>
      <c r="DR207" s="146">
        <v>0</v>
      </c>
      <c r="DS207" s="146">
        <v>0</v>
      </c>
      <c r="DT207" s="146">
        <v>0</v>
      </c>
      <c r="DU207" s="146">
        <v>0</v>
      </c>
      <c r="DV207" s="146">
        <v>0</v>
      </c>
      <c r="DW207" s="146">
        <v>0</v>
      </c>
      <c r="DX207" s="146">
        <v>0</v>
      </c>
      <c r="DY207" s="146">
        <v>0</v>
      </c>
      <c r="DZ207" s="146">
        <v>0</v>
      </c>
      <c r="EA207" s="146">
        <v>0</v>
      </c>
      <c r="EB207" s="146">
        <v>0</v>
      </c>
      <c r="EC207" s="146">
        <v>0</v>
      </c>
      <c r="ED207" s="146">
        <v>0</v>
      </c>
      <c r="EE207" s="146">
        <v>0</v>
      </c>
      <c r="EF207" s="146">
        <v>0</v>
      </c>
      <c r="EG207" s="146">
        <v>0</v>
      </c>
      <c r="EH207" s="146">
        <v>0</v>
      </c>
      <c r="EI207" s="146">
        <v>0</v>
      </c>
      <c r="EJ207" s="146">
        <v>0</v>
      </c>
      <c r="EK207" s="146">
        <v>0</v>
      </c>
      <c r="EL207" s="146">
        <v>0</v>
      </c>
      <c r="EM207" s="146">
        <v>0</v>
      </c>
      <c r="EN207" s="146">
        <v>0</v>
      </c>
      <c r="EO207" s="146">
        <v>0</v>
      </c>
      <c r="EP207" s="146">
        <v>0</v>
      </c>
      <c r="EQ207" s="146">
        <v>0</v>
      </c>
      <c r="ER207" s="146">
        <v>0</v>
      </c>
      <c r="ES207" s="146">
        <v>0</v>
      </c>
      <c r="ET207" s="146">
        <v>0</v>
      </c>
      <c r="EU207" s="146">
        <v>0</v>
      </c>
      <c r="EV207" s="146">
        <v>0</v>
      </c>
      <c r="EW207" s="146">
        <v>0</v>
      </c>
      <c r="EX207" s="146">
        <v>0</v>
      </c>
      <c r="EY207" s="146">
        <v>0</v>
      </c>
      <c r="EZ207" s="146">
        <v>0</v>
      </c>
      <c r="FA207" s="146">
        <v>0</v>
      </c>
      <c r="FB207" s="146">
        <v>0</v>
      </c>
      <c r="FC207" s="146">
        <v>0</v>
      </c>
      <c r="FD207" s="146">
        <v>0</v>
      </c>
      <c r="FE207" s="146">
        <v>0</v>
      </c>
      <c r="FF207" s="146">
        <v>0</v>
      </c>
      <c r="FG207" s="146">
        <v>0</v>
      </c>
      <c r="FH207" s="146">
        <v>0</v>
      </c>
      <c r="FI207" s="146">
        <v>0</v>
      </c>
      <c r="FJ207" s="146">
        <v>0</v>
      </c>
      <c r="FK207" s="146">
        <v>0</v>
      </c>
      <c r="FL207" s="146">
        <v>0</v>
      </c>
      <c r="FM207" s="146">
        <v>0</v>
      </c>
      <c r="FN207" s="146">
        <v>0</v>
      </c>
      <c r="FO207" s="146">
        <v>0</v>
      </c>
      <c r="FP207" s="146">
        <v>0</v>
      </c>
      <c r="FQ207" s="146">
        <v>0</v>
      </c>
      <c r="FR207" s="146">
        <v>0</v>
      </c>
      <c r="FS207" s="146">
        <v>0</v>
      </c>
      <c r="FT207" s="146">
        <v>0</v>
      </c>
      <c r="FU207" s="146">
        <v>0</v>
      </c>
      <c r="FV207" s="146">
        <v>0</v>
      </c>
      <c r="FW207" s="146">
        <v>0</v>
      </c>
      <c r="FX207" s="146">
        <v>0</v>
      </c>
      <c r="FY207" s="146">
        <v>0</v>
      </c>
      <c r="FZ207" s="146">
        <v>0</v>
      </c>
      <c r="GA207" s="146">
        <v>0</v>
      </c>
      <c r="GB207" s="146">
        <v>0</v>
      </c>
      <c r="GC207" s="146">
        <v>0</v>
      </c>
      <c r="GD207" s="146">
        <v>0</v>
      </c>
      <c r="GE207" s="146">
        <v>0</v>
      </c>
      <c r="GF207" s="146">
        <v>0</v>
      </c>
      <c r="GG207" s="146">
        <v>0</v>
      </c>
      <c r="GH207" s="146">
        <v>0</v>
      </c>
      <c r="GI207" s="146">
        <v>0</v>
      </c>
      <c r="GJ207" s="146">
        <v>0</v>
      </c>
      <c r="GK207" s="146">
        <v>0</v>
      </c>
      <c r="GL207" s="146">
        <v>0</v>
      </c>
      <c r="GM207" s="146">
        <v>0</v>
      </c>
      <c r="GN207" s="146">
        <v>0</v>
      </c>
      <c r="GO207" s="146">
        <v>0</v>
      </c>
      <c r="GP207" s="146">
        <v>0</v>
      </c>
      <c r="GQ207" s="146">
        <v>0</v>
      </c>
      <c r="GR207" s="146">
        <v>0</v>
      </c>
      <c r="GS207" s="146">
        <v>0</v>
      </c>
      <c r="GT207" s="146">
        <v>0</v>
      </c>
      <c r="GU207" s="146">
        <v>0</v>
      </c>
      <c r="GV207" s="146">
        <v>0</v>
      </c>
      <c r="GW207" s="146">
        <v>0</v>
      </c>
      <c r="GX207" s="146">
        <v>0</v>
      </c>
      <c r="GY207" s="146">
        <v>0</v>
      </c>
      <c r="GZ207" s="146">
        <v>0</v>
      </c>
      <c r="HA207" s="146">
        <v>0</v>
      </c>
      <c r="HB207" s="146">
        <v>0</v>
      </c>
      <c r="HC207" s="146">
        <v>0</v>
      </c>
      <c r="HD207" s="146">
        <v>0</v>
      </c>
      <c r="HE207" s="146">
        <v>0</v>
      </c>
      <c r="HF207" s="146">
        <v>0</v>
      </c>
      <c r="HG207" s="146">
        <v>0</v>
      </c>
      <c r="HH207" s="146">
        <v>0</v>
      </c>
      <c r="HI207" s="146">
        <v>0</v>
      </c>
      <c r="HJ207" s="146">
        <v>0</v>
      </c>
      <c r="HK207" s="146">
        <v>0</v>
      </c>
      <c r="HL207" s="146">
        <v>0</v>
      </c>
      <c r="HM207" s="146">
        <v>0</v>
      </c>
      <c r="HN207" s="146">
        <v>0</v>
      </c>
      <c r="HO207" s="146">
        <v>0</v>
      </c>
      <c r="HP207" s="146">
        <v>0</v>
      </c>
      <c r="HQ207" s="146">
        <v>0</v>
      </c>
      <c r="HR207" s="146">
        <v>0</v>
      </c>
      <c r="HS207" s="146">
        <v>0</v>
      </c>
      <c r="HT207" s="146">
        <v>0</v>
      </c>
      <c r="HU207" s="151"/>
      <c r="HV207" s="146">
        <v>0</v>
      </c>
      <c r="HW207" s="151"/>
      <c r="HX207" s="151"/>
      <c r="HY207" s="151"/>
      <c r="HZ207" s="151"/>
      <c r="IA207" s="151"/>
      <c r="IB207" s="151"/>
      <c r="IC207" s="151"/>
      <c r="ID207" s="151"/>
      <c r="IE207" s="151"/>
      <c r="IF207" s="151"/>
      <c r="IG207" s="151"/>
      <c r="IH207" s="151"/>
      <c r="II207" s="151"/>
      <c r="IJ207" s="151"/>
      <c r="IK207" s="151"/>
      <c r="IL207" s="151"/>
      <c r="IM207" s="151"/>
      <c r="IN207" s="151"/>
      <c r="IO207" s="151"/>
      <c r="IP207" s="151"/>
      <c r="IQ207" s="151"/>
      <c r="IR207" s="151"/>
      <c r="IS207" s="151"/>
      <c r="IT207" s="151"/>
      <c r="IU207" s="151"/>
      <c r="IV207" s="151"/>
      <c r="IW207" s="151"/>
      <c r="IX207" s="151"/>
      <c r="IY207" s="151"/>
      <c r="IZ207" s="151"/>
      <c r="JA207" s="151"/>
      <c r="JB207" s="151"/>
      <c r="JC207" s="151"/>
      <c r="JD207" s="151"/>
      <c r="JE207" s="151"/>
      <c r="JF207" s="151"/>
      <c r="JG207" s="151"/>
      <c r="JH207" s="151"/>
      <c r="JI207" s="151"/>
      <c r="JJ207" s="151"/>
      <c r="JK207" s="151"/>
      <c r="JL207" s="151"/>
      <c r="JM207" s="151"/>
      <c r="JN207" s="151"/>
      <c r="JO207" s="151"/>
      <c r="JP207" s="151"/>
      <c r="JQ207" s="151"/>
      <c r="JR207" s="151"/>
      <c r="JS207" s="151"/>
      <c r="JT207" s="151"/>
      <c r="JU207" s="151"/>
      <c r="JV207" s="151"/>
      <c r="JW207" s="151"/>
      <c r="JX207" s="151"/>
      <c r="JY207" s="151"/>
      <c r="JZ207" s="151"/>
      <c r="KA207" s="151"/>
      <c r="KB207" s="151"/>
      <c r="KC207" s="151"/>
      <c r="KD207" s="151"/>
      <c r="KE207" s="151"/>
      <c r="KF207" s="151"/>
      <c r="KG207" s="151"/>
      <c r="KH207" s="151"/>
      <c r="KI207" s="151"/>
      <c r="KJ207" s="151"/>
      <c r="KK207" s="151"/>
      <c r="KL207" s="151"/>
      <c r="KM207" s="151"/>
      <c r="KN207" s="151"/>
      <c r="KO207" s="151"/>
      <c r="KP207" s="151"/>
      <c r="KQ207" s="151"/>
      <c r="KR207" s="151"/>
      <c r="KS207" s="151"/>
      <c r="KT207" s="151"/>
      <c r="KU207" s="151"/>
      <c r="KV207" s="151"/>
      <c r="KW207" s="151"/>
      <c r="KX207" s="151"/>
      <c r="KY207" s="151"/>
      <c r="KZ207" s="151"/>
      <c r="LA207" s="151"/>
      <c r="LB207" s="151"/>
      <c r="LC207" s="151"/>
      <c r="LD207" s="151"/>
      <c r="LE207" s="151"/>
    </row>
    <row r="208" spans="1:317" x14ac:dyDescent="0.2">
      <c r="A208" s="179" t="s">
        <v>849</v>
      </c>
      <c r="B208" s="180" t="s">
        <v>1107</v>
      </c>
      <c r="C208" s="181"/>
      <c r="D208" s="182">
        <v>0</v>
      </c>
      <c r="E208" s="182">
        <v>0</v>
      </c>
      <c r="F208" s="183" t="s">
        <v>1314</v>
      </c>
      <c r="G208" s="183">
        <v>0</v>
      </c>
      <c r="H208" s="183">
        <v>0</v>
      </c>
      <c r="I208" s="183">
        <v>0</v>
      </c>
      <c r="J208" s="183">
        <v>0</v>
      </c>
      <c r="K208" s="183" t="s">
        <v>1368</v>
      </c>
      <c r="L208" s="183">
        <v>0</v>
      </c>
      <c r="M208" s="183">
        <v>0</v>
      </c>
      <c r="N208" s="183" t="s">
        <v>881</v>
      </c>
      <c r="O208" s="183">
        <v>0</v>
      </c>
      <c r="P208" s="183">
        <v>0</v>
      </c>
      <c r="Q208" s="183"/>
      <c r="R208" s="183"/>
      <c r="S208" s="183"/>
      <c r="T208" s="183"/>
      <c r="U208" s="183"/>
      <c r="V208" s="183">
        <v>0</v>
      </c>
      <c r="W208" s="183">
        <v>0</v>
      </c>
      <c r="X208" s="183">
        <v>0</v>
      </c>
      <c r="Y208" s="184">
        <v>0</v>
      </c>
      <c r="Z208" s="184">
        <v>0</v>
      </c>
      <c r="AA208" s="184">
        <v>0</v>
      </c>
      <c r="AB208" s="185" t="s">
        <v>615</v>
      </c>
      <c r="AC208" s="185" t="s">
        <v>615</v>
      </c>
      <c r="AD208" s="186" t="s">
        <v>881</v>
      </c>
      <c r="AE208" s="186" t="s">
        <v>858</v>
      </c>
      <c r="AF208" s="187">
        <v>7</v>
      </c>
      <c r="AG208" s="187">
        <v>3</v>
      </c>
      <c r="AH208" s="187">
        <v>4</v>
      </c>
      <c r="AI208" s="188">
        <v>1</v>
      </c>
      <c r="AJ208" s="188" t="s">
        <v>615</v>
      </c>
      <c r="AK208" s="187" t="s">
        <v>1738</v>
      </c>
      <c r="AL208" s="87" t="s">
        <v>615</v>
      </c>
      <c r="AM208" s="189"/>
      <c r="AN208" s="187" t="s">
        <v>615</v>
      </c>
      <c r="AO208" s="13" t="s">
        <v>615</v>
      </c>
      <c r="AP208" s="187">
        <v>0</v>
      </c>
      <c r="AQ208" s="187">
        <v>0</v>
      </c>
      <c r="AR208" s="190">
        <v>0</v>
      </c>
      <c r="AS208" s="190">
        <v>0</v>
      </c>
      <c r="AT208" s="190">
        <v>0</v>
      </c>
      <c r="AU208" s="187">
        <v>0</v>
      </c>
      <c r="AV208" s="187">
        <v>0</v>
      </c>
      <c r="AW208" s="191"/>
      <c r="AX208" s="192"/>
      <c r="AY208" s="193">
        <v>42666</v>
      </c>
      <c r="AZ208" s="193"/>
      <c r="BA208" s="193"/>
      <c r="BB208" s="194"/>
      <c r="BC208" s="194"/>
      <c r="BD208" s="195"/>
      <c r="BE208" s="195" t="s">
        <v>532</v>
      </c>
      <c r="BF208" s="195"/>
      <c r="BG208" s="195">
        <v>24</v>
      </c>
      <c r="BH208" s="196" t="s">
        <v>547</v>
      </c>
      <c r="BI208" s="197">
        <v>1</v>
      </c>
      <c r="BJ208" s="198"/>
      <c r="BK208" s="199">
        <v>0</v>
      </c>
      <c r="BL208" s="13">
        <v>0</v>
      </c>
      <c r="BM208" s="13">
        <v>0</v>
      </c>
      <c r="BN208" s="13" t="s">
        <v>616</v>
      </c>
      <c r="BO208" s="13" t="s">
        <v>616</v>
      </c>
      <c r="BP208" s="200">
        <v>0</v>
      </c>
      <c r="BQ208" s="201"/>
      <c r="BR208" s="202"/>
      <c r="BS208" s="187">
        <v>1000000000</v>
      </c>
      <c r="BT208" s="203">
        <v>0</v>
      </c>
      <c r="BU208" s="204">
        <v>0</v>
      </c>
      <c r="BV208" s="203">
        <v>0</v>
      </c>
      <c r="BW208" s="205">
        <v>0</v>
      </c>
      <c r="BX208" s="205">
        <v>0</v>
      </c>
      <c r="BY208" s="205">
        <v>0</v>
      </c>
      <c r="BZ208" s="203">
        <v>0</v>
      </c>
      <c r="CA208" s="203">
        <v>0</v>
      </c>
      <c r="CB208" s="203">
        <v>0</v>
      </c>
      <c r="CC208" s="204">
        <v>0</v>
      </c>
      <c r="CD208" s="203">
        <v>0</v>
      </c>
      <c r="CE208" s="203">
        <v>0</v>
      </c>
      <c r="CF208" s="13">
        <v>0</v>
      </c>
      <c r="CG208" s="206">
        <v>0</v>
      </c>
      <c r="CH208" s="207">
        <v>0</v>
      </c>
      <c r="CI208" s="201"/>
      <c r="CJ208" s="208"/>
      <c r="CK208" s="209" t="s">
        <v>615</v>
      </c>
      <c r="CL208" s="210" t="s">
        <v>615</v>
      </c>
      <c r="CM208" s="207">
        <v>0</v>
      </c>
      <c r="CN208" s="207">
        <v>0</v>
      </c>
      <c r="CO208" s="204">
        <v>0</v>
      </c>
      <c r="CP208" s="204">
        <v>0</v>
      </c>
      <c r="CQ208" s="211"/>
      <c r="CR208" s="204">
        <v>1</v>
      </c>
      <c r="CS208" s="212">
        <v>42558</v>
      </c>
      <c r="CT208" s="212">
        <v>42780</v>
      </c>
      <c r="CU208" s="213">
        <v>42780</v>
      </c>
      <c r="CV208" s="214">
        <v>42829</v>
      </c>
      <c r="CW208" s="214" t="s">
        <v>615</v>
      </c>
      <c r="CX208" s="214" t="s">
        <v>615</v>
      </c>
      <c r="CY208" s="204">
        <v>1</v>
      </c>
      <c r="CZ208" s="204">
        <v>0.97959183673469385</v>
      </c>
      <c r="DA208" s="203">
        <v>0</v>
      </c>
      <c r="DB208" s="204">
        <v>0.97959183673469385</v>
      </c>
      <c r="DC208" s="204">
        <v>0</v>
      </c>
      <c r="DD208" s="204">
        <v>0</v>
      </c>
      <c r="DE208" s="204">
        <v>0</v>
      </c>
      <c r="DF208" s="215">
        <v>0</v>
      </c>
      <c r="DG208" s="13" t="s">
        <v>615</v>
      </c>
      <c r="DH208" s="86">
        <v>206</v>
      </c>
      <c r="DI208" s="86"/>
      <c r="DJ208" s="86">
        <v>202</v>
      </c>
      <c r="DK208" s="86" t="s">
        <v>1661</v>
      </c>
      <c r="DL208" s="86" t="e">
        <v>#N/A</v>
      </c>
      <c r="DM208" s="86" t="e">
        <v>#N/A</v>
      </c>
      <c r="DN208" s="86" t="e">
        <v>#N/A</v>
      </c>
      <c r="DO208" s="86">
        <v>364</v>
      </c>
      <c r="DP208" s="86">
        <v>5</v>
      </c>
      <c r="DQ208" s="86">
        <v>49</v>
      </c>
      <c r="DR208" s="152">
        <v>0</v>
      </c>
      <c r="DS208" s="152">
        <v>0</v>
      </c>
      <c r="DT208" s="152">
        <v>0</v>
      </c>
      <c r="DU208" s="152">
        <v>0</v>
      </c>
      <c r="DV208" s="152">
        <v>0</v>
      </c>
      <c r="DW208" s="152">
        <v>0</v>
      </c>
      <c r="DX208" s="152">
        <v>0</v>
      </c>
      <c r="DY208" s="152">
        <v>0</v>
      </c>
      <c r="DZ208" s="152">
        <v>0</v>
      </c>
      <c r="EA208" s="152">
        <v>0</v>
      </c>
      <c r="EB208" s="152">
        <v>0</v>
      </c>
      <c r="EC208" s="152">
        <v>0</v>
      </c>
      <c r="ED208" s="152">
        <v>0</v>
      </c>
      <c r="EE208" s="152">
        <v>0</v>
      </c>
      <c r="EF208" s="152">
        <v>0</v>
      </c>
      <c r="EG208" s="152">
        <v>0</v>
      </c>
      <c r="EH208" s="152">
        <v>0</v>
      </c>
      <c r="EI208" s="152">
        <v>0</v>
      </c>
      <c r="EJ208" s="152">
        <v>0</v>
      </c>
      <c r="EK208" s="152">
        <v>0</v>
      </c>
      <c r="EL208" s="152">
        <v>0</v>
      </c>
      <c r="EM208" s="152">
        <v>0</v>
      </c>
      <c r="EN208" s="152">
        <v>0</v>
      </c>
      <c r="EO208" s="152">
        <v>0</v>
      </c>
      <c r="EP208" s="152">
        <v>0</v>
      </c>
      <c r="EQ208" s="152">
        <v>0</v>
      </c>
      <c r="ER208" s="152">
        <v>0</v>
      </c>
      <c r="ES208" s="152">
        <v>0</v>
      </c>
      <c r="ET208" s="152">
        <v>0</v>
      </c>
      <c r="EU208" s="152">
        <v>0</v>
      </c>
      <c r="EV208" s="152">
        <v>0</v>
      </c>
      <c r="EW208" s="152">
        <v>0</v>
      </c>
      <c r="EX208" s="152">
        <v>0</v>
      </c>
      <c r="EY208" s="152">
        <v>0</v>
      </c>
      <c r="EZ208" s="152">
        <v>0</v>
      </c>
      <c r="FA208" s="152">
        <v>0</v>
      </c>
      <c r="FB208" s="152">
        <v>0</v>
      </c>
      <c r="FC208" s="152">
        <v>0</v>
      </c>
      <c r="FD208" s="152">
        <v>0</v>
      </c>
      <c r="FE208" s="152">
        <v>0</v>
      </c>
      <c r="FF208" s="152">
        <v>0</v>
      </c>
      <c r="FG208" s="152">
        <v>0</v>
      </c>
      <c r="FH208" s="152">
        <v>0</v>
      </c>
      <c r="FI208" s="152">
        <v>0</v>
      </c>
      <c r="FJ208" s="152">
        <v>0</v>
      </c>
      <c r="FK208" s="152">
        <v>0</v>
      </c>
      <c r="FL208" s="152">
        <v>0</v>
      </c>
      <c r="FM208" s="152">
        <v>0</v>
      </c>
      <c r="FN208" s="152">
        <v>0</v>
      </c>
      <c r="FO208" s="152">
        <v>0</v>
      </c>
      <c r="FP208" s="152">
        <v>0</v>
      </c>
      <c r="FQ208" s="152">
        <v>0</v>
      </c>
      <c r="FR208" s="152">
        <v>0</v>
      </c>
      <c r="FS208" s="152">
        <v>0</v>
      </c>
      <c r="FT208" s="152">
        <v>0</v>
      </c>
      <c r="FU208" s="152">
        <v>0</v>
      </c>
      <c r="FV208" s="152">
        <v>0</v>
      </c>
      <c r="FW208" s="152">
        <v>0</v>
      </c>
      <c r="FX208" s="152">
        <v>0</v>
      </c>
      <c r="FY208" s="152">
        <v>0</v>
      </c>
      <c r="FZ208" s="152">
        <v>0</v>
      </c>
      <c r="GA208" s="152">
        <v>0</v>
      </c>
      <c r="GB208" s="152">
        <v>0</v>
      </c>
      <c r="GC208" s="152">
        <v>0</v>
      </c>
      <c r="GD208" s="152">
        <v>0</v>
      </c>
      <c r="GE208" s="152">
        <v>0</v>
      </c>
      <c r="GF208" s="152">
        <v>0</v>
      </c>
      <c r="GG208" s="152">
        <v>0</v>
      </c>
      <c r="GH208" s="152">
        <v>0</v>
      </c>
      <c r="GI208" s="152">
        <v>0</v>
      </c>
      <c r="GJ208" s="152">
        <v>0</v>
      </c>
      <c r="GK208" s="152">
        <v>0</v>
      </c>
      <c r="GL208" s="152">
        <v>0</v>
      </c>
      <c r="GM208" s="152">
        <v>0</v>
      </c>
      <c r="GN208" s="152">
        <v>0</v>
      </c>
      <c r="GO208" s="152">
        <v>0</v>
      </c>
      <c r="GP208" s="152">
        <v>0</v>
      </c>
      <c r="GQ208" s="152">
        <v>0</v>
      </c>
      <c r="GR208" s="152">
        <v>0</v>
      </c>
      <c r="GS208" s="152">
        <v>0</v>
      </c>
      <c r="GT208" s="152">
        <v>0</v>
      </c>
      <c r="GU208" s="152">
        <v>0</v>
      </c>
      <c r="GV208" s="152">
        <v>0</v>
      </c>
      <c r="GW208" s="152">
        <v>0</v>
      </c>
      <c r="GX208" s="152">
        <v>0</v>
      </c>
      <c r="GY208" s="152">
        <v>0</v>
      </c>
      <c r="GZ208" s="152">
        <v>0</v>
      </c>
      <c r="HA208" s="152">
        <v>0</v>
      </c>
      <c r="HB208" s="152">
        <v>0</v>
      </c>
      <c r="HC208" s="152">
        <v>0</v>
      </c>
      <c r="HD208" s="152">
        <v>0</v>
      </c>
      <c r="HE208" s="152">
        <v>0</v>
      </c>
      <c r="HF208" s="152">
        <v>0</v>
      </c>
      <c r="HG208" s="152">
        <v>0</v>
      </c>
      <c r="HH208" s="152">
        <v>0</v>
      </c>
      <c r="HI208" s="152">
        <v>0</v>
      </c>
      <c r="HJ208" s="152">
        <v>0</v>
      </c>
      <c r="HK208" s="152">
        <v>0</v>
      </c>
      <c r="HL208" s="152">
        <v>0</v>
      </c>
      <c r="HM208" s="152">
        <v>0</v>
      </c>
      <c r="HN208" s="152">
        <v>0</v>
      </c>
      <c r="HO208" s="152">
        <v>0</v>
      </c>
      <c r="HP208" s="152">
        <v>0</v>
      </c>
      <c r="HQ208" s="152">
        <v>0</v>
      </c>
      <c r="HR208" s="152">
        <v>0</v>
      </c>
      <c r="HS208" s="152">
        <v>0</v>
      </c>
      <c r="HT208" s="152">
        <v>0</v>
      </c>
      <c r="HU208" s="216"/>
      <c r="HV208" s="152">
        <v>0</v>
      </c>
      <c r="HW208" s="216"/>
      <c r="HX208" s="216"/>
      <c r="HY208" s="216"/>
      <c r="HZ208" s="216"/>
      <c r="IA208" s="216"/>
      <c r="IB208" s="216"/>
      <c r="IC208" s="216"/>
      <c r="ID208" s="216"/>
      <c r="IE208" s="216"/>
      <c r="IF208" s="216"/>
      <c r="IG208" s="216"/>
      <c r="IH208" s="216"/>
      <c r="II208" s="216"/>
      <c r="IJ208" s="216"/>
      <c r="IK208" s="216"/>
      <c r="IL208" s="216"/>
      <c r="IM208" s="216"/>
      <c r="IN208" s="216"/>
      <c r="IO208" s="216"/>
      <c r="IP208" s="216"/>
      <c r="IQ208" s="216"/>
      <c r="IR208" s="216"/>
      <c r="IS208" s="216"/>
      <c r="IT208" s="216"/>
      <c r="IU208" s="216"/>
      <c r="IV208" s="216"/>
      <c r="IW208" s="216"/>
      <c r="IX208" s="216"/>
      <c r="IY208" s="216"/>
      <c r="IZ208" s="216"/>
      <c r="JA208" s="216"/>
      <c r="JB208" s="216"/>
      <c r="JC208" s="216"/>
      <c r="JD208" s="216"/>
      <c r="JE208" s="216"/>
      <c r="JF208" s="216"/>
      <c r="JG208" s="216"/>
      <c r="JH208" s="216"/>
      <c r="JI208" s="216"/>
      <c r="JJ208" s="216"/>
      <c r="JK208" s="216"/>
      <c r="JL208" s="216"/>
      <c r="JM208" s="216"/>
      <c r="JN208" s="216"/>
      <c r="JO208" s="216"/>
      <c r="JP208" s="216"/>
      <c r="JQ208" s="216"/>
      <c r="JR208" s="216"/>
      <c r="JS208" s="216"/>
      <c r="JT208" s="216"/>
      <c r="JU208" s="216"/>
      <c r="JV208" s="216"/>
      <c r="JW208" s="216"/>
      <c r="JX208" s="216"/>
      <c r="JY208" s="216"/>
      <c r="JZ208" s="216"/>
      <c r="KA208" s="216"/>
      <c r="KB208" s="216"/>
      <c r="KC208" s="216"/>
      <c r="KD208" s="216"/>
      <c r="KE208" s="216"/>
      <c r="KF208" s="216"/>
      <c r="KG208" s="216"/>
      <c r="KH208" s="216"/>
      <c r="KI208" s="216"/>
      <c r="KJ208" s="216"/>
      <c r="KK208" s="216"/>
      <c r="KL208" s="216"/>
      <c r="KM208" s="216"/>
      <c r="KN208" s="216"/>
      <c r="KO208" s="216"/>
      <c r="KP208" s="216"/>
      <c r="KQ208" s="216"/>
      <c r="KR208" s="216"/>
      <c r="KS208" s="216"/>
      <c r="KT208" s="216"/>
      <c r="KU208" s="216"/>
      <c r="KV208" s="216"/>
      <c r="KW208" s="216"/>
      <c r="KX208" s="216"/>
      <c r="KY208" s="216"/>
      <c r="KZ208" s="216"/>
      <c r="LA208" s="216"/>
      <c r="LB208" s="216"/>
      <c r="LC208" s="216"/>
      <c r="LD208" s="216"/>
      <c r="LE208" s="216"/>
    </row>
    <row r="209" spans="1:317" x14ac:dyDescent="0.2">
      <c r="A209" s="179" t="s">
        <v>849</v>
      </c>
      <c r="B209" s="180" t="s">
        <v>1108</v>
      </c>
      <c r="C209" s="181"/>
      <c r="D209" s="182">
        <v>0</v>
      </c>
      <c r="E209" s="182">
        <v>0</v>
      </c>
      <c r="F209" s="183" t="s">
        <v>1314</v>
      </c>
      <c r="G209" s="183">
        <v>0</v>
      </c>
      <c r="H209" s="183">
        <v>0</v>
      </c>
      <c r="I209" s="183">
        <v>0</v>
      </c>
      <c r="J209" s="183">
        <v>0</v>
      </c>
      <c r="K209" s="183" t="s">
        <v>1368</v>
      </c>
      <c r="L209" s="183">
        <v>0</v>
      </c>
      <c r="M209" s="183">
        <v>0</v>
      </c>
      <c r="N209" s="183" t="s">
        <v>881</v>
      </c>
      <c r="O209" s="183">
        <v>0</v>
      </c>
      <c r="P209" s="183">
        <v>0</v>
      </c>
      <c r="Q209" s="183"/>
      <c r="R209" s="183"/>
      <c r="S209" s="183"/>
      <c r="T209" s="183"/>
      <c r="U209" s="183"/>
      <c r="V209" s="183">
        <v>0</v>
      </c>
      <c r="W209" s="183">
        <v>0</v>
      </c>
      <c r="X209" s="183">
        <v>0</v>
      </c>
      <c r="Y209" s="184">
        <v>0</v>
      </c>
      <c r="Z209" s="184">
        <v>0</v>
      </c>
      <c r="AA209" s="184">
        <v>0</v>
      </c>
      <c r="AB209" s="185" t="s">
        <v>615</v>
      </c>
      <c r="AC209" s="185" t="s">
        <v>615</v>
      </c>
      <c r="AD209" s="186" t="s">
        <v>881</v>
      </c>
      <c r="AE209" s="186" t="s">
        <v>858</v>
      </c>
      <c r="AF209" s="187">
        <v>7</v>
      </c>
      <c r="AG209" s="187">
        <v>3</v>
      </c>
      <c r="AH209" s="187">
        <v>4</v>
      </c>
      <c r="AI209" s="188">
        <v>1</v>
      </c>
      <c r="AJ209" s="188" t="s">
        <v>615</v>
      </c>
      <c r="AK209" s="187" t="s">
        <v>1738</v>
      </c>
      <c r="AL209" s="87" t="s">
        <v>615</v>
      </c>
      <c r="AM209" s="189"/>
      <c r="AN209" s="187" t="s">
        <v>615</v>
      </c>
      <c r="AO209" s="13" t="s">
        <v>615</v>
      </c>
      <c r="AP209" s="187">
        <v>0</v>
      </c>
      <c r="AQ209" s="187">
        <v>0</v>
      </c>
      <c r="AR209" s="190">
        <v>0</v>
      </c>
      <c r="AS209" s="190">
        <v>0</v>
      </c>
      <c r="AT209" s="190">
        <v>0</v>
      </c>
      <c r="AU209" s="187">
        <v>0</v>
      </c>
      <c r="AV209" s="187">
        <v>0</v>
      </c>
      <c r="AW209" s="191"/>
      <c r="AX209" s="192"/>
      <c r="AY209" s="193">
        <v>42666</v>
      </c>
      <c r="AZ209" s="193"/>
      <c r="BA209" s="193"/>
      <c r="BB209" s="194"/>
      <c r="BC209" s="194"/>
      <c r="BD209" s="195"/>
      <c r="BE209" s="195" t="s">
        <v>532</v>
      </c>
      <c r="BF209" s="195"/>
      <c r="BG209" s="195">
        <v>24</v>
      </c>
      <c r="BH209" s="196" t="s">
        <v>547</v>
      </c>
      <c r="BI209" s="197">
        <v>1</v>
      </c>
      <c r="BJ209" s="198"/>
      <c r="BK209" s="199">
        <v>0</v>
      </c>
      <c r="BL209" s="13">
        <v>0</v>
      </c>
      <c r="BM209" s="13">
        <v>0</v>
      </c>
      <c r="BN209" s="13" t="s">
        <v>616</v>
      </c>
      <c r="BO209" s="13" t="s">
        <v>616</v>
      </c>
      <c r="BP209" s="200">
        <v>0</v>
      </c>
      <c r="BQ209" s="201"/>
      <c r="BR209" s="202"/>
      <c r="BS209" s="187">
        <v>1000000000</v>
      </c>
      <c r="BT209" s="203">
        <v>0</v>
      </c>
      <c r="BU209" s="204">
        <v>0</v>
      </c>
      <c r="BV209" s="203">
        <v>0</v>
      </c>
      <c r="BW209" s="205">
        <v>0</v>
      </c>
      <c r="BX209" s="205">
        <v>0</v>
      </c>
      <c r="BY209" s="205">
        <v>0</v>
      </c>
      <c r="BZ209" s="203">
        <v>0</v>
      </c>
      <c r="CA209" s="203">
        <v>0</v>
      </c>
      <c r="CB209" s="203">
        <v>0</v>
      </c>
      <c r="CC209" s="204">
        <v>0</v>
      </c>
      <c r="CD209" s="203">
        <v>0</v>
      </c>
      <c r="CE209" s="203">
        <v>0</v>
      </c>
      <c r="CF209" s="13">
        <v>0</v>
      </c>
      <c r="CG209" s="206">
        <v>0</v>
      </c>
      <c r="CH209" s="207">
        <v>0</v>
      </c>
      <c r="CI209" s="201"/>
      <c r="CJ209" s="208"/>
      <c r="CK209" s="209" t="s">
        <v>615</v>
      </c>
      <c r="CL209" s="210" t="s">
        <v>615</v>
      </c>
      <c r="CM209" s="207">
        <v>0</v>
      </c>
      <c r="CN209" s="207">
        <v>0</v>
      </c>
      <c r="CO209" s="204">
        <v>0</v>
      </c>
      <c r="CP209" s="204">
        <v>0</v>
      </c>
      <c r="CQ209" s="211"/>
      <c r="CR209" s="204">
        <v>1</v>
      </c>
      <c r="CS209" s="212">
        <v>42558</v>
      </c>
      <c r="CT209" s="212">
        <v>42780</v>
      </c>
      <c r="CU209" s="213">
        <v>42780</v>
      </c>
      <c r="CV209" s="214">
        <v>42829</v>
      </c>
      <c r="CW209" s="214" t="s">
        <v>615</v>
      </c>
      <c r="CX209" s="214" t="s">
        <v>615</v>
      </c>
      <c r="CY209" s="204">
        <v>1</v>
      </c>
      <c r="CZ209" s="204">
        <v>0.97959183673469385</v>
      </c>
      <c r="DA209" s="203">
        <v>0</v>
      </c>
      <c r="DB209" s="204">
        <v>0.97959183673469385</v>
      </c>
      <c r="DC209" s="204">
        <v>0</v>
      </c>
      <c r="DD209" s="204">
        <v>0</v>
      </c>
      <c r="DE209" s="204">
        <v>0</v>
      </c>
      <c r="DF209" s="215">
        <v>0</v>
      </c>
      <c r="DG209" s="13" t="s">
        <v>615</v>
      </c>
      <c r="DH209" s="86">
        <v>207</v>
      </c>
      <c r="DI209" s="86"/>
      <c r="DJ209" s="86">
        <v>203</v>
      </c>
      <c r="DK209" s="86" t="s">
        <v>1662</v>
      </c>
      <c r="DL209" s="86" t="e">
        <v>#N/A</v>
      </c>
      <c r="DM209" s="86" t="e">
        <v>#N/A</v>
      </c>
      <c r="DN209" s="86" t="e">
        <v>#N/A</v>
      </c>
      <c r="DO209" s="86">
        <v>365</v>
      </c>
      <c r="DP209" s="86">
        <v>5</v>
      </c>
      <c r="DQ209" s="86">
        <v>49</v>
      </c>
      <c r="DR209" s="146">
        <v>0</v>
      </c>
      <c r="DS209" s="146">
        <v>0</v>
      </c>
      <c r="DT209" s="146">
        <v>0</v>
      </c>
      <c r="DU209" s="146">
        <v>0</v>
      </c>
      <c r="DV209" s="146">
        <v>0</v>
      </c>
      <c r="DW209" s="146">
        <v>0</v>
      </c>
      <c r="DX209" s="146">
        <v>0</v>
      </c>
      <c r="DY209" s="146">
        <v>0</v>
      </c>
      <c r="DZ209" s="146">
        <v>0</v>
      </c>
      <c r="EA209" s="146">
        <v>0</v>
      </c>
      <c r="EB209" s="146">
        <v>0</v>
      </c>
      <c r="EC209" s="146">
        <v>0</v>
      </c>
      <c r="ED209" s="146">
        <v>0</v>
      </c>
      <c r="EE209" s="146">
        <v>0</v>
      </c>
      <c r="EF209" s="146">
        <v>0</v>
      </c>
      <c r="EG209" s="146">
        <v>0</v>
      </c>
      <c r="EH209" s="146">
        <v>0</v>
      </c>
      <c r="EI209" s="146">
        <v>0</v>
      </c>
      <c r="EJ209" s="146">
        <v>0</v>
      </c>
      <c r="EK209" s="146">
        <v>0</v>
      </c>
      <c r="EL209" s="146">
        <v>0</v>
      </c>
      <c r="EM209" s="146">
        <v>0</v>
      </c>
      <c r="EN209" s="146">
        <v>0</v>
      </c>
      <c r="EO209" s="146">
        <v>0</v>
      </c>
      <c r="EP209" s="146">
        <v>0</v>
      </c>
      <c r="EQ209" s="146">
        <v>0</v>
      </c>
      <c r="ER209" s="146">
        <v>0</v>
      </c>
      <c r="ES209" s="146">
        <v>0</v>
      </c>
      <c r="ET209" s="146">
        <v>0</v>
      </c>
      <c r="EU209" s="146">
        <v>0</v>
      </c>
      <c r="EV209" s="146">
        <v>0</v>
      </c>
      <c r="EW209" s="146">
        <v>0</v>
      </c>
      <c r="EX209" s="146">
        <v>0</v>
      </c>
      <c r="EY209" s="146">
        <v>0</v>
      </c>
      <c r="EZ209" s="146">
        <v>0</v>
      </c>
      <c r="FA209" s="146">
        <v>0</v>
      </c>
      <c r="FB209" s="146">
        <v>0</v>
      </c>
      <c r="FC209" s="146">
        <v>0</v>
      </c>
      <c r="FD209" s="146">
        <v>0</v>
      </c>
      <c r="FE209" s="146">
        <v>0</v>
      </c>
      <c r="FF209" s="146">
        <v>0</v>
      </c>
      <c r="FG209" s="146">
        <v>0</v>
      </c>
      <c r="FH209" s="146">
        <v>0</v>
      </c>
      <c r="FI209" s="146">
        <v>0</v>
      </c>
      <c r="FJ209" s="146">
        <v>0</v>
      </c>
      <c r="FK209" s="146">
        <v>0</v>
      </c>
      <c r="FL209" s="146">
        <v>0</v>
      </c>
      <c r="FM209" s="146">
        <v>0</v>
      </c>
      <c r="FN209" s="146">
        <v>0</v>
      </c>
      <c r="FO209" s="146">
        <v>0</v>
      </c>
      <c r="FP209" s="146">
        <v>0</v>
      </c>
      <c r="FQ209" s="146">
        <v>0</v>
      </c>
      <c r="FR209" s="146">
        <v>0</v>
      </c>
      <c r="FS209" s="146">
        <v>0</v>
      </c>
      <c r="FT209" s="146">
        <v>0</v>
      </c>
      <c r="FU209" s="146">
        <v>0</v>
      </c>
      <c r="FV209" s="146">
        <v>0</v>
      </c>
      <c r="FW209" s="146">
        <v>0</v>
      </c>
      <c r="FX209" s="146">
        <v>0</v>
      </c>
      <c r="FY209" s="146">
        <v>0</v>
      </c>
      <c r="FZ209" s="146">
        <v>0</v>
      </c>
      <c r="GA209" s="146">
        <v>0</v>
      </c>
      <c r="GB209" s="146">
        <v>0</v>
      </c>
      <c r="GC209" s="146">
        <v>0</v>
      </c>
      <c r="GD209" s="146">
        <v>0</v>
      </c>
      <c r="GE209" s="146">
        <v>0</v>
      </c>
      <c r="GF209" s="146">
        <v>0</v>
      </c>
      <c r="GG209" s="146">
        <v>0</v>
      </c>
      <c r="GH209" s="146">
        <v>0</v>
      </c>
      <c r="GI209" s="146">
        <v>0</v>
      </c>
      <c r="GJ209" s="146">
        <v>0</v>
      </c>
      <c r="GK209" s="146">
        <v>0</v>
      </c>
      <c r="GL209" s="146">
        <v>0</v>
      </c>
      <c r="GM209" s="146">
        <v>0</v>
      </c>
      <c r="GN209" s="146">
        <v>0</v>
      </c>
      <c r="GO209" s="146">
        <v>0</v>
      </c>
      <c r="GP209" s="146">
        <v>0</v>
      </c>
      <c r="GQ209" s="146">
        <v>0</v>
      </c>
      <c r="GR209" s="146">
        <v>0</v>
      </c>
      <c r="GS209" s="146">
        <v>0</v>
      </c>
      <c r="GT209" s="146">
        <v>0</v>
      </c>
      <c r="GU209" s="146">
        <v>0</v>
      </c>
      <c r="GV209" s="146">
        <v>0</v>
      </c>
      <c r="GW209" s="146">
        <v>0</v>
      </c>
      <c r="GX209" s="146">
        <v>0</v>
      </c>
      <c r="GY209" s="146">
        <v>0</v>
      </c>
      <c r="GZ209" s="146">
        <v>0</v>
      </c>
      <c r="HA209" s="146">
        <v>0</v>
      </c>
      <c r="HB209" s="146">
        <v>0</v>
      </c>
      <c r="HC209" s="146">
        <v>0</v>
      </c>
      <c r="HD209" s="146">
        <v>0</v>
      </c>
      <c r="HE209" s="146">
        <v>0</v>
      </c>
      <c r="HF209" s="146">
        <v>0</v>
      </c>
      <c r="HG209" s="146">
        <v>0</v>
      </c>
      <c r="HH209" s="146">
        <v>0</v>
      </c>
      <c r="HI209" s="146">
        <v>0</v>
      </c>
      <c r="HJ209" s="146">
        <v>0</v>
      </c>
      <c r="HK209" s="146">
        <v>0</v>
      </c>
      <c r="HL209" s="146">
        <v>0</v>
      </c>
      <c r="HM209" s="146">
        <v>0</v>
      </c>
      <c r="HN209" s="146">
        <v>0</v>
      </c>
      <c r="HO209" s="146">
        <v>0</v>
      </c>
      <c r="HP209" s="146">
        <v>0</v>
      </c>
      <c r="HQ209" s="146">
        <v>0</v>
      </c>
      <c r="HR209" s="146">
        <v>0</v>
      </c>
      <c r="HS209" s="146">
        <v>0</v>
      </c>
      <c r="HT209" s="146">
        <v>0</v>
      </c>
      <c r="HU209" s="151"/>
      <c r="HV209" s="146">
        <v>0</v>
      </c>
      <c r="HW209" s="151"/>
      <c r="HX209" s="151"/>
      <c r="HY209" s="151"/>
      <c r="HZ209" s="151"/>
      <c r="IA209" s="151"/>
      <c r="IB209" s="151"/>
      <c r="IC209" s="151"/>
      <c r="ID209" s="151"/>
      <c r="IE209" s="151"/>
      <c r="IF209" s="151"/>
      <c r="IG209" s="151"/>
      <c r="IH209" s="151"/>
      <c r="II209" s="151"/>
      <c r="IJ209" s="151"/>
      <c r="IK209" s="151"/>
      <c r="IL209" s="151"/>
      <c r="IM209" s="151"/>
      <c r="IN209" s="151"/>
      <c r="IO209" s="151"/>
      <c r="IP209" s="151"/>
      <c r="IQ209" s="151"/>
      <c r="IR209" s="151"/>
      <c r="IS209" s="151"/>
      <c r="IT209" s="151"/>
      <c r="IU209" s="151"/>
      <c r="IV209" s="151"/>
      <c r="IW209" s="151"/>
      <c r="IX209" s="151"/>
      <c r="IY209" s="151"/>
      <c r="IZ209" s="151"/>
      <c r="JA209" s="151"/>
      <c r="JB209" s="151"/>
      <c r="JC209" s="151"/>
      <c r="JD209" s="151"/>
      <c r="JE209" s="151"/>
      <c r="JF209" s="151"/>
      <c r="JG209" s="151"/>
      <c r="JH209" s="151"/>
      <c r="JI209" s="151"/>
      <c r="JJ209" s="151"/>
      <c r="JK209" s="151"/>
      <c r="JL209" s="151"/>
      <c r="JM209" s="151"/>
      <c r="JN209" s="151"/>
      <c r="JO209" s="151"/>
      <c r="JP209" s="151"/>
      <c r="JQ209" s="151"/>
      <c r="JR209" s="151"/>
      <c r="JS209" s="151"/>
      <c r="JT209" s="151"/>
      <c r="JU209" s="151"/>
      <c r="JV209" s="151"/>
      <c r="JW209" s="151"/>
      <c r="JX209" s="151"/>
      <c r="JY209" s="151"/>
      <c r="JZ209" s="151"/>
      <c r="KA209" s="151"/>
      <c r="KB209" s="151"/>
      <c r="KC209" s="151"/>
      <c r="KD209" s="151"/>
      <c r="KE209" s="151"/>
      <c r="KF209" s="151"/>
      <c r="KG209" s="151"/>
      <c r="KH209" s="151"/>
      <c r="KI209" s="151"/>
      <c r="KJ209" s="151"/>
      <c r="KK209" s="151"/>
      <c r="KL209" s="151"/>
      <c r="KM209" s="151"/>
      <c r="KN209" s="151"/>
      <c r="KO209" s="151"/>
      <c r="KP209" s="151"/>
      <c r="KQ209" s="151"/>
      <c r="KR209" s="151"/>
      <c r="KS209" s="151"/>
      <c r="KT209" s="151"/>
      <c r="KU209" s="151"/>
      <c r="KV209" s="151"/>
      <c r="KW209" s="151"/>
      <c r="KX209" s="151"/>
      <c r="KY209" s="151"/>
      <c r="KZ209" s="151"/>
      <c r="LA209" s="151"/>
      <c r="LB209" s="151"/>
      <c r="LC209" s="151"/>
      <c r="LD209" s="151"/>
      <c r="LE209" s="151"/>
    </row>
    <row r="210" spans="1:317" x14ac:dyDescent="0.2">
      <c r="A210" s="179" t="s">
        <v>849</v>
      </c>
      <c r="B210" s="180" t="s">
        <v>1109</v>
      </c>
      <c r="C210" s="181"/>
      <c r="D210" s="182">
        <v>0</v>
      </c>
      <c r="E210" s="182">
        <v>0</v>
      </c>
      <c r="F210" s="183" t="s">
        <v>1314</v>
      </c>
      <c r="G210" s="183">
        <v>0</v>
      </c>
      <c r="H210" s="183">
        <v>0</v>
      </c>
      <c r="I210" s="183">
        <v>0</v>
      </c>
      <c r="J210" s="183">
        <v>0</v>
      </c>
      <c r="K210" s="183" t="s">
        <v>1368</v>
      </c>
      <c r="L210" s="183">
        <v>0</v>
      </c>
      <c r="M210" s="183">
        <v>0</v>
      </c>
      <c r="N210" s="183" t="s">
        <v>881</v>
      </c>
      <c r="O210" s="183">
        <v>0</v>
      </c>
      <c r="P210" s="183">
        <v>0</v>
      </c>
      <c r="Q210" s="183"/>
      <c r="R210" s="183"/>
      <c r="S210" s="183"/>
      <c r="T210" s="183"/>
      <c r="U210" s="183"/>
      <c r="V210" s="183">
        <v>0</v>
      </c>
      <c r="W210" s="183">
        <v>0</v>
      </c>
      <c r="X210" s="183">
        <v>0</v>
      </c>
      <c r="Y210" s="184">
        <v>0</v>
      </c>
      <c r="Z210" s="184">
        <v>0</v>
      </c>
      <c r="AA210" s="184">
        <v>0</v>
      </c>
      <c r="AB210" s="185" t="s">
        <v>615</v>
      </c>
      <c r="AC210" s="185" t="s">
        <v>615</v>
      </c>
      <c r="AD210" s="186" t="s">
        <v>881</v>
      </c>
      <c r="AE210" s="186" t="s">
        <v>858</v>
      </c>
      <c r="AF210" s="187">
        <v>7</v>
      </c>
      <c r="AG210" s="187">
        <v>3</v>
      </c>
      <c r="AH210" s="187">
        <v>4</v>
      </c>
      <c r="AI210" s="188">
        <v>1</v>
      </c>
      <c r="AJ210" s="188" t="s">
        <v>615</v>
      </c>
      <c r="AK210" s="187" t="s">
        <v>1738</v>
      </c>
      <c r="AL210" s="87" t="s">
        <v>615</v>
      </c>
      <c r="AM210" s="189"/>
      <c r="AN210" s="187" t="s">
        <v>615</v>
      </c>
      <c r="AO210" s="13" t="s">
        <v>615</v>
      </c>
      <c r="AP210" s="187">
        <v>0</v>
      </c>
      <c r="AQ210" s="187">
        <v>0</v>
      </c>
      <c r="AR210" s="190">
        <v>0</v>
      </c>
      <c r="AS210" s="190">
        <v>0</v>
      </c>
      <c r="AT210" s="190">
        <v>0</v>
      </c>
      <c r="AU210" s="187">
        <v>0</v>
      </c>
      <c r="AV210" s="187">
        <v>0</v>
      </c>
      <c r="AW210" s="191"/>
      <c r="AX210" s="192"/>
      <c r="AY210" s="193">
        <v>42666</v>
      </c>
      <c r="AZ210" s="193"/>
      <c r="BA210" s="193"/>
      <c r="BB210" s="194"/>
      <c r="BC210" s="194"/>
      <c r="BD210" s="195"/>
      <c r="BE210" s="195" t="s">
        <v>532</v>
      </c>
      <c r="BF210" s="195"/>
      <c r="BG210" s="195">
        <v>24</v>
      </c>
      <c r="BH210" s="196" t="s">
        <v>547</v>
      </c>
      <c r="BI210" s="197">
        <v>1</v>
      </c>
      <c r="BJ210" s="198"/>
      <c r="BK210" s="199">
        <v>0</v>
      </c>
      <c r="BL210" s="13">
        <v>0</v>
      </c>
      <c r="BM210" s="13">
        <v>0</v>
      </c>
      <c r="BN210" s="13" t="s">
        <v>616</v>
      </c>
      <c r="BO210" s="13" t="s">
        <v>616</v>
      </c>
      <c r="BP210" s="200">
        <v>0</v>
      </c>
      <c r="BQ210" s="201"/>
      <c r="BR210" s="202"/>
      <c r="BS210" s="187">
        <v>1000000000</v>
      </c>
      <c r="BT210" s="203">
        <v>0</v>
      </c>
      <c r="BU210" s="204">
        <v>0</v>
      </c>
      <c r="BV210" s="203">
        <v>0</v>
      </c>
      <c r="BW210" s="205">
        <v>0</v>
      </c>
      <c r="BX210" s="205">
        <v>0</v>
      </c>
      <c r="BY210" s="205">
        <v>0</v>
      </c>
      <c r="BZ210" s="203">
        <v>0</v>
      </c>
      <c r="CA210" s="203">
        <v>0</v>
      </c>
      <c r="CB210" s="203">
        <v>0</v>
      </c>
      <c r="CC210" s="204">
        <v>0</v>
      </c>
      <c r="CD210" s="203">
        <v>0</v>
      </c>
      <c r="CE210" s="203">
        <v>0</v>
      </c>
      <c r="CF210" s="13">
        <v>0</v>
      </c>
      <c r="CG210" s="206">
        <v>0</v>
      </c>
      <c r="CH210" s="207">
        <v>0</v>
      </c>
      <c r="CI210" s="201"/>
      <c r="CJ210" s="208"/>
      <c r="CK210" s="209" t="s">
        <v>615</v>
      </c>
      <c r="CL210" s="210" t="s">
        <v>615</v>
      </c>
      <c r="CM210" s="207">
        <v>0</v>
      </c>
      <c r="CN210" s="207">
        <v>0</v>
      </c>
      <c r="CO210" s="204">
        <v>0</v>
      </c>
      <c r="CP210" s="204">
        <v>0</v>
      </c>
      <c r="CQ210" s="211"/>
      <c r="CR210" s="204">
        <v>1</v>
      </c>
      <c r="CS210" s="212">
        <v>42558</v>
      </c>
      <c r="CT210" s="212">
        <v>42780</v>
      </c>
      <c r="CU210" s="213">
        <v>42780</v>
      </c>
      <c r="CV210" s="214">
        <v>42829</v>
      </c>
      <c r="CW210" s="214" t="s">
        <v>615</v>
      </c>
      <c r="CX210" s="214" t="s">
        <v>615</v>
      </c>
      <c r="CY210" s="204">
        <v>1</v>
      </c>
      <c r="CZ210" s="204">
        <v>0.97959183673469385</v>
      </c>
      <c r="DA210" s="203">
        <v>0</v>
      </c>
      <c r="DB210" s="204">
        <v>0.97959183673469385</v>
      </c>
      <c r="DC210" s="204">
        <v>0</v>
      </c>
      <c r="DD210" s="204">
        <v>0</v>
      </c>
      <c r="DE210" s="204">
        <v>0</v>
      </c>
      <c r="DF210" s="215">
        <v>0</v>
      </c>
      <c r="DG210" s="13" t="s">
        <v>615</v>
      </c>
      <c r="DH210" s="86">
        <v>208</v>
      </c>
      <c r="DI210" s="86"/>
      <c r="DJ210" s="86">
        <v>204</v>
      </c>
      <c r="DK210" s="86" t="s">
        <v>1663</v>
      </c>
      <c r="DL210" s="86" t="e">
        <v>#N/A</v>
      </c>
      <c r="DM210" s="86" t="e">
        <v>#N/A</v>
      </c>
      <c r="DN210" s="86" t="e">
        <v>#N/A</v>
      </c>
      <c r="DO210" s="86">
        <v>366</v>
      </c>
      <c r="DP210" s="86">
        <v>5</v>
      </c>
      <c r="DQ210" s="86">
        <v>49</v>
      </c>
      <c r="DR210" s="152">
        <v>0</v>
      </c>
      <c r="DS210" s="152">
        <v>0</v>
      </c>
      <c r="DT210" s="152">
        <v>0</v>
      </c>
      <c r="DU210" s="152">
        <v>0</v>
      </c>
      <c r="DV210" s="152">
        <v>0</v>
      </c>
      <c r="DW210" s="152">
        <v>0</v>
      </c>
      <c r="DX210" s="152">
        <v>0</v>
      </c>
      <c r="DY210" s="152">
        <v>0</v>
      </c>
      <c r="DZ210" s="152">
        <v>0</v>
      </c>
      <c r="EA210" s="152">
        <v>0</v>
      </c>
      <c r="EB210" s="152">
        <v>0</v>
      </c>
      <c r="EC210" s="152">
        <v>0</v>
      </c>
      <c r="ED210" s="152">
        <v>0</v>
      </c>
      <c r="EE210" s="152">
        <v>0</v>
      </c>
      <c r="EF210" s="152">
        <v>0</v>
      </c>
      <c r="EG210" s="152">
        <v>0</v>
      </c>
      <c r="EH210" s="152">
        <v>0</v>
      </c>
      <c r="EI210" s="152">
        <v>0</v>
      </c>
      <c r="EJ210" s="152">
        <v>0</v>
      </c>
      <c r="EK210" s="152">
        <v>0</v>
      </c>
      <c r="EL210" s="152">
        <v>0</v>
      </c>
      <c r="EM210" s="152">
        <v>0</v>
      </c>
      <c r="EN210" s="152">
        <v>0</v>
      </c>
      <c r="EO210" s="152">
        <v>0</v>
      </c>
      <c r="EP210" s="152">
        <v>0</v>
      </c>
      <c r="EQ210" s="152">
        <v>0</v>
      </c>
      <c r="ER210" s="152">
        <v>0</v>
      </c>
      <c r="ES210" s="152">
        <v>0</v>
      </c>
      <c r="ET210" s="152">
        <v>0</v>
      </c>
      <c r="EU210" s="152">
        <v>0</v>
      </c>
      <c r="EV210" s="152">
        <v>0</v>
      </c>
      <c r="EW210" s="152">
        <v>0</v>
      </c>
      <c r="EX210" s="152">
        <v>0</v>
      </c>
      <c r="EY210" s="152">
        <v>0</v>
      </c>
      <c r="EZ210" s="152">
        <v>0</v>
      </c>
      <c r="FA210" s="152">
        <v>0</v>
      </c>
      <c r="FB210" s="152">
        <v>0</v>
      </c>
      <c r="FC210" s="152">
        <v>0</v>
      </c>
      <c r="FD210" s="152">
        <v>0</v>
      </c>
      <c r="FE210" s="152">
        <v>0</v>
      </c>
      <c r="FF210" s="152">
        <v>0</v>
      </c>
      <c r="FG210" s="152">
        <v>0</v>
      </c>
      <c r="FH210" s="152">
        <v>0</v>
      </c>
      <c r="FI210" s="152">
        <v>0</v>
      </c>
      <c r="FJ210" s="152">
        <v>0</v>
      </c>
      <c r="FK210" s="152">
        <v>0</v>
      </c>
      <c r="FL210" s="152">
        <v>0</v>
      </c>
      <c r="FM210" s="152">
        <v>0</v>
      </c>
      <c r="FN210" s="152">
        <v>0</v>
      </c>
      <c r="FO210" s="152">
        <v>0</v>
      </c>
      <c r="FP210" s="152">
        <v>0</v>
      </c>
      <c r="FQ210" s="152">
        <v>0</v>
      </c>
      <c r="FR210" s="152">
        <v>0</v>
      </c>
      <c r="FS210" s="152">
        <v>0</v>
      </c>
      <c r="FT210" s="152">
        <v>0</v>
      </c>
      <c r="FU210" s="152">
        <v>0</v>
      </c>
      <c r="FV210" s="152">
        <v>0</v>
      </c>
      <c r="FW210" s="152">
        <v>0</v>
      </c>
      <c r="FX210" s="152">
        <v>0</v>
      </c>
      <c r="FY210" s="152">
        <v>0</v>
      </c>
      <c r="FZ210" s="152">
        <v>0</v>
      </c>
      <c r="GA210" s="152">
        <v>0</v>
      </c>
      <c r="GB210" s="152">
        <v>0</v>
      </c>
      <c r="GC210" s="152">
        <v>0</v>
      </c>
      <c r="GD210" s="152">
        <v>0</v>
      </c>
      <c r="GE210" s="152">
        <v>0</v>
      </c>
      <c r="GF210" s="152">
        <v>0</v>
      </c>
      <c r="GG210" s="152">
        <v>0</v>
      </c>
      <c r="GH210" s="152">
        <v>0</v>
      </c>
      <c r="GI210" s="152">
        <v>0</v>
      </c>
      <c r="GJ210" s="152">
        <v>0</v>
      </c>
      <c r="GK210" s="152">
        <v>0</v>
      </c>
      <c r="GL210" s="152">
        <v>0</v>
      </c>
      <c r="GM210" s="152">
        <v>0</v>
      </c>
      <c r="GN210" s="152">
        <v>0</v>
      </c>
      <c r="GO210" s="152">
        <v>0</v>
      </c>
      <c r="GP210" s="152">
        <v>0</v>
      </c>
      <c r="GQ210" s="152">
        <v>0</v>
      </c>
      <c r="GR210" s="152">
        <v>0</v>
      </c>
      <c r="GS210" s="152">
        <v>0</v>
      </c>
      <c r="GT210" s="152">
        <v>0</v>
      </c>
      <c r="GU210" s="152">
        <v>0</v>
      </c>
      <c r="GV210" s="152">
        <v>0</v>
      </c>
      <c r="GW210" s="152">
        <v>0</v>
      </c>
      <c r="GX210" s="152">
        <v>0</v>
      </c>
      <c r="GY210" s="152">
        <v>0</v>
      </c>
      <c r="GZ210" s="152">
        <v>0</v>
      </c>
      <c r="HA210" s="152">
        <v>0</v>
      </c>
      <c r="HB210" s="152">
        <v>0</v>
      </c>
      <c r="HC210" s="152">
        <v>0</v>
      </c>
      <c r="HD210" s="152">
        <v>0</v>
      </c>
      <c r="HE210" s="152">
        <v>0</v>
      </c>
      <c r="HF210" s="152">
        <v>0</v>
      </c>
      <c r="HG210" s="152">
        <v>0</v>
      </c>
      <c r="HH210" s="152">
        <v>0</v>
      </c>
      <c r="HI210" s="152">
        <v>0</v>
      </c>
      <c r="HJ210" s="152">
        <v>0</v>
      </c>
      <c r="HK210" s="152">
        <v>0</v>
      </c>
      <c r="HL210" s="152">
        <v>0</v>
      </c>
      <c r="HM210" s="152">
        <v>0</v>
      </c>
      <c r="HN210" s="152">
        <v>0</v>
      </c>
      <c r="HO210" s="152">
        <v>0</v>
      </c>
      <c r="HP210" s="152">
        <v>0</v>
      </c>
      <c r="HQ210" s="152">
        <v>0</v>
      </c>
      <c r="HR210" s="152">
        <v>0</v>
      </c>
      <c r="HS210" s="152">
        <v>0</v>
      </c>
      <c r="HT210" s="152">
        <v>0</v>
      </c>
      <c r="HU210" s="216"/>
      <c r="HV210" s="152">
        <v>0</v>
      </c>
      <c r="HW210" s="216"/>
      <c r="HX210" s="216"/>
      <c r="HY210" s="216"/>
      <c r="HZ210" s="216"/>
      <c r="IA210" s="216"/>
      <c r="IB210" s="216"/>
      <c r="IC210" s="216"/>
      <c r="ID210" s="216"/>
      <c r="IE210" s="216"/>
      <c r="IF210" s="216"/>
      <c r="IG210" s="216"/>
      <c r="IH210" s="216"/>
      <c r="II210" s="216"/>
      <c r="IJ210" s="216"/>
      <c r="IK210" s="216"/>
      <c r="IL210" s="216"/>
      <c r="IM210" s="216"/>
      <c r="IN210" s="216"/>
      <c r="IO210" s="216"/>
      <c r="IP210" s="216"/>
      <c r="IQ210" s="216"/>
      <c r="IR210" s="216"/>
      <c r="IS210" s="216"/>
      <c r="IT210" s="216"/>
      <c r="IU210" s="216"/>
      <c r="IV210" s="216"/>
      <c r="IW210" s="216"/>
      <c r="IX210" s="216"/>
      <c r="IY210" s="216"/>
      <c r="IZ210" s="216"/>
      <c r="JA210" s="216"/>
      <c r="JB210" s="216"/>
      <c r="JC210" s="216"/>
      <c r="JD210" s="216"/>
      <c r="JE210" s="216"/>
      <c r="JF210" s="216"/>
      <c r="JG210" s="216"/>
      <c r="JH210" s="216"/>
      <c r="JI210" s="216"/>
      <c r="JJ210" s="216"/>
      <c r="JK210" s="216"/>
      <c r="JL210" s="216"/>
      <c r="JM210" s="216"/>
      <c r="JN210" s="216"/>
      <c r="JO210" s="216"/>
      <c r="JP210" s="216"/>
      <c r="JQ210" s="216"/>
      <c r="JR210" s="216"/>
      <c r="JS210" s="216"/>
      <c r="JT210" s="216"/>
      <c r="JU210" s="216"/>
      <c r="JV210" s="216"/>
      <c r="JW210" s="216"/>
      <c r="JX210" s="216"/>
      <c r="JY210" s="216"/>
      <c r="JZ210" s="216"/>
      <c r="KA210" s="216"/>
      <c r="KB210" s="216"/>
      <c r="KC210" s="216"/>
      <c r="KD210" s="216"/>
      <c r="KE210" s="216"/>
      <c r="KF210" s="216"/>
      <c r="KG210" s="216"/>
      <c r="KH210" s="216"/>
      <c r="KI210" s="216"/>
      <c r="KJ210" s="216"/>
      <c r="KK210" s="216"/>
      <c r="KL210" s="216"/>
      <c r="KM210" s="216"/>
      <c r="KN210" s="216"/>
      <c r="KO210" s="216"/>
      <c r="KP210" s="216"/>
      <c r="KQ210" s="216"/>
      <c r="KR210" s="216"/>
      <c r="KS210" s="216"/>
      <c r="KT210" s="216"/>
      <c r="KU210" s="216"/>
      <c r="KV210" s="216"/>
      <c r="KW210" s="216"/>
      <c r="KX210" s="216"/>
      <c r="KY210" s="216"/>
      <c r="KZ210" s="216"/>
      <c r="LA210" s="216"/>
      <c r="LB210" s="216"/>
      <c r="LC210" s="216"/>
      <c r="LD210" s="216"/>
      <c r="LE210" s="216"/>
    </row>
    <row r="211" spans="1:317" x14ac:dyDescent="0.2">
      <c r="A211" s="179" t="s">
        <v>849</v>
      </c>
      <c r="B211" s="180" t="s">
        <v>1110</v>
      </c>
      <c r="C211" s="181"/>
      <c r="D211" s="182">
        <v>0</v>
      </c>
      <c r="E211" s="182">
        <v>0</v>
      </c>
      <c r="F211" s="183" t="s">
        <v>1314</v>
      </c>
      <c r="G211" s="183">
        <v>0</v>
      </c>
      <c r="H211" s="183">
        <v>0</v>
      </c>
      <c r="I211" s="183">
        <v>0</v>
      </c>
      <c r="J211" s="183">
        <v>0</v>
      </c>
      <c r="K211" s="183" t="s">
        <v>1368</v>
      </c>
      <c r="L211" s="183">
        <v>0</v>
      </c>
      <c r="M211" s="183">
        <v>0</v>
      </c>
      <c r="N211" s="183" t="s">
        <v>881</v>
      </c>
      <c r="O211" s="183">
        <v>0</v>
      </c>
      <c r="P211" s="183">
        <v>0</v>
      </c>
      <c r="Q211" s="183"/>
      <c r="R211" s="183"/>
      <c r="S211" s="183"/>
      <c r="T211" s="183"/>
      <c r="U211" s="183"/>
      <c r="V211" s="183">
        <v>0</v>
      </c>
      <c r="W211" s="183">
        <v>0</v>
      </c>
      <c r="X211" s="183">
        <v>0</v>
      </c>
      <c r="Y211" s="184">
        <v>0</v>
      </c>
      <c r="Z211" s="184">
        <v>0</v>
      </c>
      <c r="AA211" s="184">
        <v>0</v>
      </c>
      <c r="AB211" s="185" t="s">
        <v>615</v>
      </c>
      <c r="AC211" s="185" t="s">
        <v>615</v>
      </c>
      <c r="AD211" s="186" t="s">
        <v>881</v>
      </c>
      <c r="AE211" s="186" t="s">
        <v>858</v>
      </c>
      <c r="AF211" s="187">
        <v>7</v>
      </c>
      <c r="AG211" s="187">
        <v>3</v>
      </c>
      <c r="AH211" s="187">
        <v>4</v>
      </c>
      <c r="AI211" s="188">
        <v>1</v>
      </c>
      <c r="AJ211" s="188" t="s">
        <v>615</v>
      </c>
      <c r="AK211" s="187" t="s">
        <v>1738</v>
      </c>
      <c r="AL211" s="87" t="s">
        <v>615</v>
      </c>
      <c r="AM211" s="189"/>
      <c r="AN211" s="187" t="s">
        <v>615</v>
      </c>
      <c r="AO211" s="13" t="s">
        <v>615</v>
      </c>
      <c r="AP211" s="187">
        <v>0</v>
      </c>
      <c r="AQ211" s="187">
        <v>0</v>
      </c>
      <c r="AR211" s="190">
        <v>0</v>
      </c>
      <c r="AS211" s="190">
        <v>0</v>
      </c>
      <c r="AT211" s="190">
        <v>0</v>
      </c>
      <c r="AU211" s="187">
        <v>0</v>
      </c>
      <c r="AV211" s="187">
        <v>0</v>
      </c>
      <c r="AW211" s="191"/>
      <c r="AX211" s="192"/>
      <c r="AY211" s="193">
        <v>42666</v>
      </c>
      <c r="AZ211" s="193"/>
      <c r="BA211" s="193"/>
      <c r="BB211" s="194"/>
      <c r="BC211" s="194"/>
      <c r="BD211" s="195"/>
      <c r="BE211" s="195" t="s">
        <v>532</v>
      </c>
      <c r="BF211" s="195"/>
      <c r="BG211" s="195">
        <v>48</v>
      </c>
      <c r="BH211" s="196" t="s">
        <v>547</v>
      </c>
      <c r="BI211" s="197">
        <v>1</v>
      </c>
      <c r="BJ211" s="198"/>
      <c r="BK211" s="199">
        <v>0</v>
      </c>
      <c r="BL211" s="13">
        <v>0</v>
      </c>
      <c r="BM211" s="13">
        <v>0</v>
      </c>
      <c r="BN211" s="13" t="s">
        <v>616</v>
      </c>
      <c r="BO211" s="13" t="s">
        <v>616</v>
      </c>
      <c r="BP211" s="200">
        <v>0</v>
      </c>
      <c r="BQ211" s="201"/>
      <c r="BR211" s="202"/>
      <c r="BS211" s="187">
        <v>1000000000</v>
      </c>
      <c r="BT211" s="203">
        <v>0</v>
      </c>
      <c r="BU211" s="204">
        <v>0</v>
      </c>
      <c r="BV211" s="203">
        <v>0</v>
      </c>
      <c r="BW211" s="205">
        <v>0</v>
      </c>
      <c r="BX211" s="205">
        <v>0</v>
      </c>
      <c r="BY211" s="205">
        <v>0</v>
      </c>
      <c r="BZ211" s="203">
        <v>0</v>
      </c>
      <c r="CA211" s="203">
        <v>0</v>
      </c>
      <c r="CB211" s="203">
        <v>0</v>
      </c>
      <c r="CC211" s="204">
        <v>0</v>
      </c>
      <c r="CD211" s="203">
        <v>0</v>
      </c>
      <c r="CE211" s="203">
        <v>0</v>
      </c>
      <c r="CF211" s="13">
        <v>0</v>
      </c>
      <c r="CG211" s="206">
        <v>0</v>
      </c>
      <c r="CH211" s="207">
        <v>0</v>
      </c>
      <c r="CI211" s="201"/>
      <c r="CJ211" s="208"/>
      <c r="CK211" s="209" t="s">
        <v>615</v>
      </c>
      <c r="CL211" s="210" t="s">
        <v>615</v>
      </c>
      <c r="CM211" s="207">
        <v>0</v>
      </c>
      <c r="CN211" s="207">
        <v>0</v>
      </c>
      <c r="CO211" s="204">
        <v>0</v>
      </c>
      <c r="CP211" s="204">
        <v>0</v>
      </c>
      <c r="CQ211" s="211"/>
      <c r="CR211" s="204">
        <v>1</v>
      </c>
      <c r="CS211" s="212">
        <v>42558</v>
      </c>
      <c r="CT211" s="212">
        <v>42780</v>
      </c>
      <c r="CU211" s="213">
        <v>42780</v>
      </c>
      <c r="CV211" s="214">
        <v>42829</v>
      </c>
      <c r="CW211" s="214" t="s">
        <v>615</v>
      </c>
      <c r="CX211" s="214" t="s">
        <v>615</v>
      </c>
      <c r="CY211" s="204">
        <v>1</v>
      </c>
      <c r="CZ211" s="204">
        <v>0.97959183673469385</v>
      </c>
      <c r="DA211" s="203">
        <v>0</v>
      </c>
      <c r="DB211" s="204">
        <v>0.97959183673469385</v>
      </c>
      <c r="DC211" s="204">
        <v>0</v>
      </c>
      <c r="DD211" s="204">
        <v>0</v>
      </c>
      <c r="DE211" s="204">
        <v>0</v>
      </c>
      <c r="DF211" s="215">
        <v>0</v>
      </c>
      <c r="DG211" s="13" t="s">
        <v>615</v>
      </c>
      <c r="DH211" s="86">
        <v>209</v>
      </c>
      <c r="DI211" s="86"/>
      <c r="DJ211" s="86">
        <v>205</v>
      </c>
      <c r="DK211" s="86" t="s">
        <v>1664</v>
      </c>
      <c r="DL211" s="86" t="e">
        <v>#N/A</v>
      </c>
      <c r="DM211" s="86" t="e">
        <v>#N/A</v>
      </c>
      <c r="DN211" s="86" t="e">
        <v>#N/A</v>
      </c>
      <c r="DO211" s="86">
        <v>367</v>
      </c>
      <c r="DP211" s="86">
        <v>5</v>
      </c>
      <c r="DQ211" s="86">
        <v>49</v>
      </c>
      <c r="DR211" s="146">
        <v>0</v>
      </c>
      <c r="DS211" s="146">
        <v>0</v>
      </c>
      <c r="DT211" s="146">
        <v>0</v>
      </c>
      <c r="DU211" s="146">
        <v>0</v>
      </c>
      <c r="DV211" s="146">
        <v>0</v>
      </c>
      <c r="DW211" s="146">
        <v>0</v>
      </c>
      <c r="DX211" s="146">
        <v>0</v>
      </c>
      <c r="DY211" s="146">
        <v>0</v>
      </c>
      <c r="DZ211" s="146">
        <v>0</v>
      </c>
      <c r="EA211" s="146">
        <v>0</v>
      </c>
      <c r="EB211" s="146">
        <v>0</v>
      </c>
      <c r="EC211" s="146">
        <v>0</v>
      </c>
      <c r="ED211" s="146">
        <v>0</v>
      </c>
      <c r="EE211" s="146">
        <v>0</v>
      </c>
      <c r="EF211" s="146">
        <v>0</v>
      </c>
      <c r="EG211" s="146">
        <v>0</v>
      </c>
      <c r="EH211" s="146">
        <v>0</v>
      </c>
      <c r="EI211" s="146">
        <v>0</v>
      </c>
      <c r="EJ211" s="146">
        <v>0</v>
      </c>
      <c r="EK211" s="146">
        <v>0</v>
      </c>
      <c r="EL211" s="146">
        <v>0</v>
      </c>
      <c r="EM211" s="146">
        <v>0</v>
      </c>
      <c r="EN211" s="146">
        <v>0</v>
      </c>
      <c r="EO211" s="146">
        <v>0</v>
      </c>
      <c r="EP211" s="146">
        <v>0</v>
      </c>
      <c r="EQ211" s="146">
        <v>0</v>
      </c>
      <c r="ER211" s="146">
        <v>0</v>
      </c>
      <c r="ES211" s="146">
        <v>0</v>
      </c>
      <c r="ET211" s="146">
        <v>0</v>
      </c>
      <c r="EU211" s="146">
        <v>0</v>
      </c>
      <c r="EV211" s="146">
        <v>0</v>
      </c>
      <c r="EW211" s="146">
        <v>0</v>
      </c>
      <c r="EX211" s="146">
        <v>0</v>
      </c>
      <c r="EY211" s="146">
        <v>0</v>
      </c>
      <c r="EZ211" s="146">
        <v>0</v>
      </c>
      <c r="FA211" s="146">
        <v>0</v>
      </c>
      <c r="FB211" s="146">
        <v>0</v>
      </c>
      <c r="FC211" s="146">
        <v>0</v>
      </c>
      <c r="FD211" s="146">
        <v>0</v>
      </c>
      <c r="FE211" s="146">
        <v>0</v>
      </c>
      <c r="FF211" s="146">
        <v>0</v>
      </c>
      <c r="FG211" s="146">
        <v>0</v>
      </c>
      <c r="FH211" s="146">
        <v>0</v>
      </c>
      <c r="FI211" s="146">
        <v>0</v>
      </c>
      <c r="FJ211" s="146">
        <v>0</v>
      </c>
      <c r="FK211" s="146">
        <v>0</v>
      </c>
      <c r="FL211" s="146">
        <v>0</v>
      </c>
      <c r="FM211" s="146">
        <v>0</v>
      </c>
      <c r="FN211" s="146">
        <v>0</v>
      </c>
      <c r="FO211" s="146">
        <v>0</v>
      </c>
      <c r="FP211" s="146">
        <v>0</v>
      </c>
      <c r="FQ211" s="146">
        <v>0</v>
      </c>
      <c r="FR211" s="146">
        <v>0</v>
      </c>
      <c r="FS211" s="146">
        <v>0</v>
      </c>
      <c r="FT211" s="146">
        <v>0</v>
      </c>
      <c r="FU211" s="146">
        <v>0</v>
      </c>
      <c r="FV211" s="146">
        <v>0</v>
      </c>
      <c r="FW211" s="146">
        <v>0</v>
      </c>
      <c r="FX211" s="146">
        <v>0</v>
      </c>
      <c r="FY211" s="146">
        <v>0</v>
      </c>
      <c r="FZ211" s="146">
        <v>0</v>
      </c>
      <c r="GA211" s="146">
        <v>0</v>
      </c>
      <c r="GB211" s="146">
        <v>0</v>
      </c>
      <c r="GC211" s="146">
        <v>0</v>
      </c>
      <c r="GD211" s="146">
        <v>0</v>
      </c>
      <c r="GE211" s="146">
        <v>0</v>
      </c>
      <c r="GF211" s="146">
        <v>0</v>
      </c>
      <c r="GG211" s="146">
        <v>0</v>
      </c>
      <c r="GH211" s="146">
        <v>0</v>
      </c>
      <c r="GI211" s="146">
        <v>0</v>
      </c>
      <c r="GJ211" s="146">
        <v>0</v>
      </c>
      <c r="GK211" s="146">
        <v>0</v>
      </c>
      <c r="GL211" s="146">
        <v>0</v>
      </c>
      <c r="GM211" s="146">
        <v>0</v>
      </c>
      <c r="GN211" s="146">
        <v>0</v>
      </c>
      <c r="GO211" s="146">
        <v>0</v>
      </c>
      <c r="GP211" s="146">
        <v>0</v>
      </c>
      <c r="GQ211" s="146">
        <v>0</v>
      </c>
      <c r="GR211" s="146">
        <v>0</v>
      </c>
      <c r="GS211" s="146">
        <v>0</v>
      </c>
      <c r="GT211" s="146">
        <v>0</v>
      </c>
      <c r="GU211" s="146">
        <v>0</v>
      </c>
      <c r="GV211" s="146">
        <v>0</v>
      </c>
      <c r="GW211" s="146">
        <v>0</v>
      </c>
      <c r="GX211" s="146">
        <v>0</v>
      </c>
      <c r="GY211" s="146">
        <v>0</v>
      </c>
      <c r="GZ211" s="146">
        <v>0</v>
      </c>
      <c r="HA211" s="146">
        <v>0</v>
      </c>
      <c r="HB211" s="146">
        <v>0</v>
      </c>
      <c r="HC211" s="146">
        <v>0</v>
      </c>
      <c r="HD211" s="146">
        <v>0</v>
      </c>
      <c r="HE211" s="146">
        <v>0</v>
      </c>
      <c r="HF211" s="146">
        <v>0</v>
      </c>
      <c r="HG211" s="146">
        <v>0</v>
      </c>
      <c r="HH211" s="146">
        <v>0</v>
      </c>
      <c r="HI211" s="146">
        <v>0</v>
      </c>
      <c r="HJ211" s="146">
        <v>0</v>
      </c>
      <c r="HK211" s="146">
        <v>0</v>
      </c>
      <c r="HL211" s="146">
        <v>0</v>
      </c>
      <c r="HM211" s="146">
        <v>0</v>
      </c>
      <c r="HN211" s="146">
        <v>0</v>
      </c>
      <c r="HO211" s="146">
        <v>0</v>
      </c>
      <c r="HP211" s="146">
        <v>0</v>
      </c>
      <c r="HQ211" s="146">
        <v>0</v>
      </c>
      <c r="HR211" s="146">
        <v>0</v>
      </c>
      <c r="HS211" s="146">
        <v>0</v>
      </c>
      <c r="HT211" s="146">
        <v>0</v>
      </c>
      <c r="HU211" s="151"/>
      <c r="HV211" s="146">
        <v>0</v>
      </c>
      <c r="HW211" s="151"/>
      <c r="HX211" s="151"/>
      <c r="HY211" s="151"/>
      <c r="HZ211" s="151"/>
      <c r="IA211" s="151"/>
      <c r="IB211" s="151"/>
      <c r="IC211" s="151"/>
      <c r="ID211" s="151"/>
      <c r="IE211" s="151"/>
      <c r="IF211" s="151"/>
      <c r="IG211" s="151"/>
      <c r="IH211" s="151"/>
      <c r="II211" s="151"/>
      <c r="IJ211" s="151"/>
      <c r="IK211" s="151"/>
      <c r="IL211" s="151"/>
      <c r="IM211" s="151"/>
      <c r="IN211" s="151"/>
      <c r="IO211" s="151"/>
      <c r="IP211" s="151"/>
      <c r="IQ211" s="151"/>
      <c r="IR211" s="151"/>
      <c r="IS211" s="151"/>
      <c r="IT211" s="151"/>
      <c r="IU211" s="151"/>
      <c r="IV211" s="151"/>
      <c r="IW211" s="151"/>
      <c r="IX211" s="151"/>
      <c r="IY211" s="151"/>
      <c r="IZ211" s="151"/>
      <c r="JA211" s="151"/>
      <c r="JB211" s="151"/>
      <c r="JC211" s="151"/>
      <c r="JD211" s="151"/>
      <c r="JE211" s="151"/>
      <c r="JF211" s="151"/>
      <c r="JG211" s="151"/>
      <c r="JH211" s="151"/>
      <c r="JI211" s="151"/>
      <c r="JJ211" s="151"/>
      <c r="JK211" s="151"/>
      <c r="JL211" s="151"/>
      <c r="JM211" s="151"/>
      <c r="JN211" s="151"/>
      <c r="JO211" s="151"/>
      <c r="JP211" s="151"/>
      <c r="JQ211" s="151"/>
      <c r="JR211" s="151"/>
      <c r="JS211" s="151"/>
      <c r="JT211" s="151"/>
      <c r="JU211" s="151"/>
      <c r="JV211" s="151"/>
      <c r="JW211" s="151"/>
      <c r="JX211" s="151"/>
      <c r="JY211" s="151"/>
      <c r="JZ211" s="151"/>
      <c r="KA211" s="151"/>
      <c r="KB211" s="151"/>
      <c r="KC211" s="151"/>
      <c r="KD211" s="151"/>
      <c r="KE211" s="151"/>
      <c r="KF211" s="151"/>
      <c r="KG211" s="151"/>
      <c r="KH211" s="151"/>
      <c r="KI211" s="151"/>
      <c r="KJ211" s="151"/>
      <c r="KK211" s="151"/>
      <c r="KL211" s="151"/>
      <c r="KM211" s="151"/>
      <c r="KN211" s="151"/>
      <c r="KO211" s="151"/>
      <c r="KP211" s="151"/>
      <c r="KQ211" s="151"/>
      <c r="KR211" s="151"/>
      <c r="KS211" s="151"/>
      <c r="KT211" s="151"/>
      <c r="KU211" s="151"/>
      <c r="KV211" s="151"/>
      <c r="KW211" s="151"/>
      <c r="KX211" s="151"/>
      <c r="KY211" s="151"/>
      <c r="KZ211" s="151"/>
      <c r="LA211" s="151"/>
      <c r="LB211" s="151"/>
      <c r="LC211" s="151"/>
      <c r="LD211" s="151"/>
      <c r="LE211" s="151"/>
    </row>
    <row r="212" spans="1:317" x14ac:dyDescent="0.2">
      <c r="A212" s="179" t="s">
        <v>849</v>
      </c>
      <c r="B212" s="180" t="s">
        <v>1111</v>
      </c>
      <c r="C212" s="181"/>
      <c r="D212" s="182">
        <v>0</v>
      </c>
      <c r="E212" s="182">
        <v>0</v>
      </c>
      <c r="F212" s="183" t="s">
        <v>1314</v>
      </c>
      <c r="G212" s="183">
        <v>0</v>
      </c>
      <c r="H212" s="183">
        <v>0</v>
      </c>
      <c r="I212" s="183">
        <v>0</v>
      </c>
      <c r="J212" s="183">
        <v>0</v>
      </c>
      <c r="K212" s="183" t="s">
        <v>1368</v>
      </c>
      <c r="L212" s="183">
        <v>0</v>
      </c>
      <c r="M212" s="183">
        <v>0</v>
      </c>
      <c r="N212" s="183" t="s">
        <v>881</v>
      </c>
      <c r="O212" s="183">
        <v>0</v>
      </c>
      <c r="P212" s="183">
        <v>0</v>
      </c>
      <c r="Q212" s="183"/>
      <c r="R212" s="183"/>
      <c r="S212" s="183"/>
      <c r="T212" s="183"/>
      <c r="U212" s="183"/>
      <c r="V212" s="183">
        <v>0</v>
      </c>
      <c r="W212" s="183">
        <v>0</v>
      </c>
      <c r="X212" s="183">
        <v>0</v>
      </c>
      <c r="Y212" s="184">
        <v>0</v>
      </c>
      <c r="Z212" s="184">
        <v>0</v>
      </c>
      <c r="AA212" s="184">
        <v>0</v>
      </c>
      <c r="AB212" s="185" t="s">
        <v>615</v>
      </c>
      <c r="AC212" s="185" t="s">
        <v>615</v>
      </c>
      <c r="AD212" s="186" t="s">
        <v>881</v>
      </c>
      <c r="AE212" s="186" t="s">
        <v>858</v>
      </c>
      <c r="AF212" s="187">
        <v>7</v>
      </c>
      <c r="AG212" s="187">
        <v>3</v>
      </c>
      <c r="AH212" s="187">
        <v>4</v>
      </c>
      <c r="AI212" s="188">
        <v>1</v>
      </c>
      <c r="AJ212" s="188" t="s">
        <v>615</v>
      </c>
      <c r="AK212" s="187" t="s">
        <v>1738</v>
      </c>
      <c r="AL212" s="87" t="s">
        <v>615</v>
      </c>
      <c r="AM212" s="189"/>
      <c r="AN212" s="187" t="s">
        <v>615</v>
      </c>
      <c r="AO212" s="13" t="s">
        <v>615</v>
      </c>
      <c r="AP212" s="187">
        <v>0</v>
      </c>
      <c r="AQ212" s="187">
        <v>0</v>
      </c>
      <c r="AR212" s="190">
        <v>0</v>
      </c>
      <c r="AS212" s="190">
        <v>0</v>
      </c>
      <c r="AT212" s="190">
        <v>0</v>
      </c>
      <c r="AU212" s="187">
        <v>0</v>
      </c>
      <c r="AV212" s="187">
        <v>0</v>
      </c>
      <c r="AW212" s="191"/>
      <c r="AX212" s="192"/>
      <c r="AY212" s="193">
        <v>42666</v>
      </c>
      <c r="AZ212" s="193"/>
      <c r="BA212" s="193"/>
      <c r="BB212" s="194"/>
      <c r="BC212" s="194"/>
      <c r="BD212" s="195"/>
      <c r="BE212" s="195" t="s">
        <v>532</v>
      </c>
      <c r="BF212" s="195"/>
      <c r="BG212" s="195">
        <v>72</v>
      </c>
      <c r="BH212" s="196" t="s">
        <v>547</v>
      </c>
      <c r="BI212" s="197">
        <v>1</v>
      </c>
      <c r="BJ212" s="198"/>
      <c r="BK212" s="199">
        <v>0</v>
      </c>
      <c r="BL212" s="13">
        <v>0</v>
      </c>
      <c r="BM212" s="13">
        <v>0</v>
      </c>
      <c r="BN212" s="13" t="s">
        <v>616</v>
      </c>
      <c r="BO212" s="13" t="s">
        <v>616</v>
      </c>
      <c r="BP212" s="200">
        <v>0</v>
      </c>
      <c r="BQ212" s="201"/>
      <c r="BR212" s="202"/>
      <c r="BS212" s="187">
        <v>1000000000</v>
      </c>
      <c r="BT212" s="203">
        <v>0</v>
      </c>
      <c r="BU212" s="204">
        <v>0</v>
      </c>
      <c r="BV212" s="203">
        <v>0</v>
      </c>
      <c r="BW212" s="205">
        <v>0</v>
      </c>
      <c r="BX212" s="205">
        <v>0</v>
      </c>
      <c r="BY212" s="205">
        <v>0</v>
      </c>
      <c r="BZ212" s="203">
        <v>0</v>
      </c>
      <c r="CA212" s="203">
        <v>0</v>
      </c>
      <c r="CB212" s="203">
        <v>0</v>
      </c>
      <c r="CC212" s="204">
        <v>0</v>
      </c>
      <c r="CD212" s="203">
        <v>0</v>
      </c>
      <c r="CE212" s="203">
        <v>0</v>
      </c>
      <c r="CF212" s="13">
        <v>0</v>
      </c>
      <c r="CG212" s="206">
        <v>0</v>
      </c>
      <c r="CH212" s="207">
        <v>0</v>
      </c>
      <c r="CI212" s="201"/>
      <c r="CJ212" s="208"/>
      <c r="CK212" s="209" t="s">
        <v>615</v>
      </c>
      <c r="CL212" s="210" t="s">
        <v>615</v>
      </c>
      <c r="CM212" s="207">
        <v>0</v>
      </c>
      <c r="CN212" s="207">
        <v>0</v>
      </c>
      <c r="CO212" s="204">
        <v>0</v>
      </c>
      <c r="CP212" s="204">
        <v>0</v>
      </c>
      <c r="CQ212" s="211"/>
      <c r="CR212" s="204">
        <v>1</v>
      </c>
      <c r="CS212" s="212">
        <v>42558</v>
      </c>
      <c r="CT212" s="212">
        <v>42780</v>
      </c>
      <c r="CU212" s="213">
        <v>42780</v>
      </c>
      <c r="CV212" s="214">
        <v>42829</v>
      </c>
      <c r="CW212" s="214" t="s">
        <v>615</v>
      </c>
      <c r="CX212" s="214" t="s">
        <v>615</v>
      </c>
      <c r="CY212" s="204">
        <v>1</v>
      </c>
      <c r="CZ212" s="204">
        <v>0.97959183673469385</v>
      </c>
      <c r="DA212" s="203">
        <v>0</v>
      </c>
      <c r="DB212" s="204">
        <v>0.97959183673469385</v>
      </c>
      <c r="DC212" s="204">
        <v>0</v>
      </c>
      <c r="DD212" s="204">
        <v>0</v>
      </c>
      <c r="DE212" s="204">
        <v>0</v>
      </c>
      <c r="DF212" s="215">
        <v>0</v>
      </c>
      <c r="DG212" s="13" t="s">
        <v>615</v>
      </c>
      <c r="DH212" s="86">
        <v>210</v>
      </c>
      <c r="DI212" s="86"/>
      <c r="DJ212" s="86">
        <v>206</v>
      </c>
      <c r="DK212" s="86" t="s">
        <v>1665</v>
      </c>
      <c r="DL212" s="86" t="e">
        <v>#N/A</v>
      </c>
      <c r="DM212" s="86" t="e">
        <v>#N/A</v>
      </c>
      <c r="DN212" s="86" t="e">
        <v>#N/A</v>
      </c>
      <c r="DO212" s="86">
        <v>368</v>
      </c>
      <c r="DP212" s="86">
        <v>5</v>
      </c>
      <c r="DQ212" s="86">
        <v>49</v>
      </c>
      <c r="DR212" s="152">
        <v>0</v>
      </c>
      <c r="DS212" s="152">
        <v>0</v>
      </c>
      <c r="DT212" s="152">
        <v>0</v>
      </c>
      <c r="DU212" s="152">
        <v>0</v>
      </c>
      <c r="DV212" s="152">
        <v>0</v>
      </c>
      <c r="DW212" s="152">
        <v>0</v>
      </c>
      <c r="DX212" s="152">
        <v>0</v>
      </c>
      <c r="DY212" s="152">
        <v>0</v>
      </c>
      <c r="DZ212" s="152">
        <v>0</v>
      </c>
      <c r="EA212" s="152">
        <v>0</v>
      </c>
      <c r="EB212" s="152">
        <v>0</v>
      </c>
      <c r="EC212" s="152">
        <v>0</v>
      </c>
      <c r="ED212" s="152">
        <v>0</v>
      </c>
      <c r="EE212" s="152">
        <v>0</v>
      </c>
      <c r="EF212" s="152">
        <v>0</v>
      </c>
      <c r="EG212" s="152">
        <v>0</v>
      </c>
      <c r="EH212" s="152">
        <v>0</v>
      </c>
      <c r="EI212" s="152">
        <v>0</v>
      </c>
      <c r="EJ212" s="152">
        <v>0</v>
      </c>
      <c r="EK212" s="152">
        <v>0</v>
      </c>
      <c r="EL212" s="152">
        <v>0</v>
      </c>
      <c r="EM212" s="152">
        <v>0</v>
      </c>
      <c r="EN212" s="152">
        <v>0</v>
      </c>
      <c r="EO212" s="152">
        <v>0</v>
      </c>
      <c r="EP212" s="152">
        <v>0</v>
      </c>
      <c r="EQ212" s="152">
        <v>0</v>
      </c>
      <c r="ER212" s="152">
        <v>0</v>
      </c>
      <c r="ES212" s="152">
        <v>0</v>
      </c>
      <c r="ET212" s="152">
        <v>0</v>
      </c>
      <c r="EU212" s="152">
        <v>0</v>
      </c>
      <c r="EV212" s="152">
        <v>0</v>
      </c>
      <c r="EW212" s="152">
        <v>0</v>
      </c>
      <c r="EX212" s="152">
        <v>0</v>
      </c>
      <c r="EY212" s="152">
        <v>0</v>
      </c>
      <c r="EZ212" s="152">
        <v>0</v>
      </c>
      <c r="FA212" s="152">
        <v>0</v>
      </c>
      <c r="FB212" s="152">
        <v>0</v>
      </c>
      <c r="FC212" s="152">
        <v>0</v>
      </c>
      <c r="FD212" s="152">
        <v>0</v>
      </c>
      <c r="FE212" s="152">
        <v>0</v>
      </c>
      <c r="FF212" s="152">
        <v>0</v>
      </c>
      <c r="FG212" s="152">
        <v>0</v>
      </c>
      <c r="FH212" s="152">
        <v>0</v>
      </c>
      <c r="FI212" s="152">
        <v>0</v>
      </c>
      <c r="FJ212" s="152">
        <v>0</v>
      </c>
      <c r="FK212" s="152">
        <v>0</v>
      </c>
      <c r="FL212" s="152">
        <v>0</v>
      </c>
      <c r="FM212" s="152">
        <v>0</v>
      </c>
      <c r="FN212" s="152">
        <v>0</v>
      </c>
      <c r="FO212" s="152">
        <v>0</v>
      </c>
      <c r="FP212" s="152">
        <v>0</v>
      </c>
      <c r="FQ212" s="152">
        <v>0</v>
      </c>
      <c r="FR212" s="152">
        <v>0</v>
      </c>
      <c r="FS212" s="152">
        <v>0</v>
      </c>
      <c r="FT212" s="152">
        <v>0</v>
      </c>
      <c r="FU212" s="152">
        <v>0</v>
      </c>
      <c r="FV212" s="152">
        <v>0</v>
      </c>
      <c r="FW212" s="152">
        <v>0</v>
      </c>
      <c r="FX212" s="152">
        <v>0</v>
      </c>
      <c r="FY212" s="152">
        <v>0</v>
      </c>
      <c r="FZ212" s="152">
        <v>0</v>
      </c>
      <c r="GA212" s="152">
        <v>0</v>
      </c>
      <c r="GB212" s="152">
        <v>0</v>
      </c>
      <c r="GC212" s="152">
        <v>0</v>
      </c>
      <c r="GD212" s="152">
        <v>0</v>
      </c>
      <c r="GE212" s="152">
        <v>0</v>
      </c>
      <c r="GF212" s="152">
        <v>0</v>
      </c>
      <c r="GG212" s="152">
        <v>0</v>
      </c>
      <c r="GH212" s="152">
        <v>0</v>
      </c>
      <c r="GI212" s="152">
        <v>0</v>
      </c>
      <c r="GJ212" s="152">
        <v>0</v>
      </c>
      <c r="GK212" s="152">
        <v>0</v>
      </c>
      <c r="GL212" s="152">
        <v>0</v>
      </c>
      <c r="GM212" s="152">
        <v>0</v>
      </c>
      <c r="GN212" s="152">
        <v>0</v>
      </c>
      <c r="GO212" s="152">
        <v>0</v>
      </c>
      <c r="GP212" s="152">
        <v>0</v>
      </c>
      <c r="GQ212" s="152">
        <v>0</v>
      </c>
      <c r="GR212" s="152">
        <v>0</v>
      </c>
      <c r="GS212" s="152">
        <v>0</v>
      </c>
      <c r="GT212" s="152">
        <v>0</v>
      </c>
      <c r="GU212" s="152">
        <v>0</v>
      </c>
      <c r="GV212" s="152">
        <v>0</v>
      </c>
      <c r="GW212" s="152">
        <v>0</v>
      </c>
      <c r="GX212" s="152">
        <v>0</v>
      </c>
      <c r="GY212" s="152">
        <v>0</v>
      </c>
      <c r="GZ212" s="152">
        <v>0</v>
      </c>
      <c r="HA212" s="152">
        <v>0</v>
      </c>
      <c r="HB212" s="152">
        <v>0</v>
      </c>
      <c r="HC212" s="152">
        <v>0</v>
      </c>
      <c r="HD212" s="152">
        <v>0</v>
      </c>
      <c r="HE212" s="152">
        <v>0</v>
      </c>
      <c r="HF212" s="152">
        <v>0</v>
      </c>
      <c r="HG212" s="152">
        <v>0</v>
      </c>
      <c r="HH212" s="152">
        <v>0</v>
      </c>
      <c r="HI212" s="152">
        <v>0</v>
      </c>
      <c r="HJ212" s="152">
        <v>0</v>
      </c>
      <c r="HK212" s="152">
        <v>0</v>
      </c>
      <c r="HL212" s="152">
        <v>0</v>
      </c>
      <c r="HM212" s="152">
        <v>0</v>
      </c>
      <c r="HN212" s="152">
        <v>0</v>
      </c>
      <c r="HO212" s="152">
        <v>0</v>
      </c>
      <c r="HP212" s="152">
        <v>0</v>
      </c>
      <c r="HQ212" s="152">
        <v>0</v>
      </c>
      <c r="HR212" s="152">
        <v>0</v>
      </c>
      <c r="HS212" s="152">
        <v>0</v>
      </c>
      <c r="HT212" s="152">
        <v>0</v>
      </c>
      <c r="HU212" s="216"/>
      <c r="HV212" s="152">
        <v>0</v>
      </c>
      <c r="HW212" s="216"/>
      <c r="HX212" s="216"/>
      <c r="HY212" s="216"/>
      <c r="HZ212" s="216"/>
      <c r="IA212" s="216"/>
      <c r="IB212" s="216"/>
      <c r="IC212" s="216"/>
      <c r="ID212" s="216"/>
      <c r="IE212" s="216"/>
      <c r="IF212" s="216"/>
      <c r="IG212" s="216"/>
      <c r="IH212" s="216"/>
      <c r="II212" s="216"/>
      <c r="IJ212" s="216"/>
      <c r="IK212" s="216"/>
      <c r="IL212" s="216"/>
      <c r="IM212" s="216"/>
      <c r="IN212" s="216"/>
      <c r="IO212" s="216"/>
      <c r="IP212" s="216"/>
      <c r="IQ212" s="216"/>
      <c r="IR212" s="216"/>
      <c r="IS212" s="216"/>
      <c r="IT212" s="216"/>
      <c r="IU212" s="216"/>
      <c r="IV212" s="216"/>
      <c r="IW212" s="216"/>
      <c r="IX212" s="216"/>
      <c r="IY212" s="216"/>
      <c r="IZ212" s="216"/>
      <c r="JA212" s="216"/>
      <c r="JB212" s="216"/>
      <c r="JC212" s="216"/>
      <c r="JD212" s="216"/>
      <c r="JE212" s="216"/>
      <c r="JF212" s="216"/>
      <c r="JG212" s="216"/>
      <c r="JH212" s="216"/>
      <c r="JI212" s="216"/>
      <c r="JJ212" s="216"/>
      <c r="JK212" s="216"/>
      <c r="JL212" s="216"/>
      <c r="JM212" s="216"/>
      <c r="JN212" s="216"/>
      <c r="JO212" s="216"/>
      <c r="JP212" s="216"/>
      <c r="JQ212" s="216"/>
      <c r="JR212" s="216"/>
      <c r="JS212" s="216"/>
      <c r="JT212" s="216"/>
      <c r="JU212" s="216"/>
      <c r="JV212" s="216"/>
      <c r="JW212" s="216"/>
      <c r="JX212" s="216"/>
      <c r="JY212" s="216"/>
      <c r="JZ212" s="216"/>
      <c r="KA212" s="216"/>
      <c r="KB212" s="216"/>
      <c r="KC212" s="216"/>
      <c r="KD212" s="216"/>
      <c r="KE212" s="216"/>
      <c r="KF212" s="216"/>
      <c r="KG212" s="216"/>
      <c r="KH212" s="216"/>
      <c r="KI212" s="216"/>
      <c r="KJ212" s="216"/>
      <c r="KK212" s="216"/>
      <c r="KL212" s="216"/>
      <c r="KM212" s="216"/>
      <c r="KN212" s="216"/>
      <c r="KO212" s="216"/>
      <c r="KP212" s="216"/>
      <c r="KQ212" s="216"/>
      <c r="KR212" s="216"/>
      <c r="KS212" s="216"/>
      <c r="KT212" s="216"/>
      <c r="KU212" s="216"/>
      <c r="KV212" s="216"/>
      <c r="KW212" s="216"/>
      <c r="KX212" s="216"/>
      <c r="KY212" s="216"/>
      <c r="KZ212" s="216"/>
      <c r="LA212" s="216"/>
      <c r="LB212" s="216"/>
      <c r="LC212" s="216"/>
      <c r="LD212" s="216"/>
      <c r="LE212" s="216"/>
    </row>
    <row r="213" spans="1:317" x14ac:dyDescent="0.2">
      <c r="A213" s="179" t="s">
        <v>849</v>
      </c>
      <c r="B213" s="180" t="s">
        <v>1112</v>
      </c>
      <c r="C213" s="181"/>
      <c r="D213" s="182">
        <v>0</v>
      </c>
      <c r="E213" s="182">
        <v>0</v>
      </c>
      <c r="F213" s="183" t="s">
        <v>1314</v>
      </c>
      <c r="G213" s="183">
        <v>0</v>
      </c>
      <c r="H213" s="183">
        <v>0</v>
      </c>
      <c r="I213" s="183">
        <v>0</v>
      </c>
      <c r="J213" s="183">
        <v>0</v>
      </c>
      <c r="K213" s="183" t="s">
        <v>1368</v>
      </c>
      <c r="L213" s="183">
        <v>0</v>
      </c>
      <c r="M213" s="183">
        <v>0</v>
      </c>
      <c r="N213" s="183" t="s">
        <v>881</v>
      </c>
      <c r="O213" s="183">
        <v>0</v>
      </c>
      <c r="P213" s="183">
        <v>0</v>
      </c>
      <c r="Q213" s="183"/>
      <c r="R213" s="183"/>
      <c r="S213" s="183"/>
      <c r="T213" s="183"/>
      <c r="U213" s="183"/>
      <c r="V213" s="183">
        <v>0</v>
      </c>
      <c r="W213" s="183">
        <v>0</v>
      </c>
      <c r="X213" s="183">
        <v>0</v>
      </c>
      <c r="Y213" s="184">
        <v>0</v>
      </c>
      <c r="Z213" s="184">
        <v>0</v>
      </c>
      <c r="AA213" s="184">
        <v>0</v>
      </c>
      <c r="AB213" s="185" t="s">
        <v>615</v>
      </c>
      <c r="AC213" s="185" t="s">
        <v>615</v>
      </c>
      <c r="AD213" s="186" t="s">
        <v>881</v>
      </c>
      <c r="AE213" s="186" t="s">
        <v>858</v>
      </c>
      <c r="AF213" s="187">
        <v>7</v>
      </c>
      <c r="AG213" s="187">
        <v>3</v>
      </c>
      <c r="AH213" s="187">
        <v>4</v>
      </c>
      <c r="AI213" s="188">
        <v>1</v>
      </c>
      <c r="AJ213" s="188" t="s">
        <v>615</v>
      </c>
      <c r="AK213" s="187" t="s">
        <v>1738</v>
      </c>
      <c r="AL213" s="87" t="s">
        <v>615</v>
      </c>
      <c r="AM213" s="189"/>
      <c r="AN213" s="187" t="s">
        <v>615</v>
      </c>
      <c r="AO213" s="13" t="s">
        <v>615</v>
      </c>
      <c r="AP213" s="187">
        <v>0</v>
      </c>
      <c r="AQ213" s="187">
        <v>0</v>
      </c>
      <c r="AR213" s="190">
        <v>0</v>
      </c>
      <c r="AS213" s="190">
        <v>0</v>
      </c>
      <c r="AT213" s="190">
        <v>0</v>
      </c>
      <c r="AU213" s="187">
        <v>0</v>
      </c>
      <c r="AV213" s="187">
        <v>0</v>
      </c>
      <c r="AW213" s="191"/>
      <c r="AX213" s="192"/>
      <c r="AY213" s="193">
        <v>42666</v>
      </c>
      <c r="AZ213" s="193"/>
      <c r="BA213" s="193"/>
      <c r="BB213" s="194"/>
      <c r="BC213" s="194"/>
      <c r="BD213" s="195"/>
      <c r="BE213" s="195" t="s">
        <v>532</v>
      </c>
      <c r="BF213" s="195"/>
      <c r="BG213" s="195">
        <v>120</v>
      </c>
      <c r="BH213" s="196" t="s">
        <v>547</v>
      </c>
      <c r="BI213" s="197">
        <v>1</v>
      </c>
      <c r="BJ213" s="198"/>
      <c r="BK213" s="199">
        <v>0</v>
      </c>
      <c r="BL213" s="13">
        <v>0</v>
      </c>
      <c r="BM213" s="13">
        <v>0</v>
      </c>
      <c r="BN213" s="13" t="s">
        <v>616</v>
      </c>
      <c r="BO213" s="13" t="s">
        <v>616</v>
      </c>
      <c r="BP213" s="200">
        <v>0</v>
      </c>
      <c r="BQ213" s="201"/>
      <c r="BR213" s="202"/>
      <c r="BS213" s="187">
        <v>1000000000</v>
      </c>
      <c r="BT213" s="203">
        <v>0</v>
      </c>
      <c r="BU213" s="204">
        <v>0</v>
      </c>
      <c r="BV213" s="203">
        <v>0</v>
      </c>
      <c r="BW213" s="205">
        <v>0</v>
      </c>
      <c r="BX213" s="205">
        <v>0</v>
      </c>
      <c r="BY213" s="205">
        <v>0</v>
      </c>
      <c r="BZ213" s="203">
        <v>0</v>
      </c>
      <c r="CA213" s="203">
        <v>0</v>
      </c>
      <c r="CB213" s="203">
        <v>0</v>
      </c>
      <c r="CC213" s="204">
        <v>0</v>
      </c>
      <c r="CD213" s="203">
        <v>0</v>
      </c>
      <c r="CE213" s="203">
        <v>0</v>
      </c>
      <c r="CF213" s="13">
        <v>0</v>
      </c>
      <c r="CG213" s="206">
        <v>0</v>
      </c>
      <c r="CH213" s="207">
        <v>0</v>
      </c>
      <c r="CI213" s="201"/>
      <c r="CJ213" s="208"/>
      <c r="CK213" s="209" t="s">
        <v>615</v>
      </c>
      <c r="CL213" s="210" t="s">
        <v>615</v>
      </c>
      <c r="CM213" s="207">
        <v>0</v>
      </c>
      <c r="CN213" s="207">
        <v>0</v>
      </c>
      <c r="CO213" s="204">
        <v>0</v>
      </c>
      <c r="CP213" s="204">
        <v>0</v>
      </c>
      <c r="CQ213" s="211"/>
      <c r="CR213" s="204">
        <v>1</v>
      </c>
      <c r="CS213" s="212">
        <v>42558</v>
      </c>
      <c r="CT213" s="212">
        <v>42780</v>
      </c>
      <c r="CU213" s="213">
        <v>42780</v>
      </c>
      <c r="CV213" s="214">
        <v>42829</v>
      </c>
      <c r="CW213" s="214" t="s">
        <v>615</v>
      </c>
      <c r="CX213" s="214" t="s">
        <v>615</v>
      </c>
      <c r="CY213" s="204">
        <v>1</v>
      </c>
      <c r="CZ213" s="204">
        <v>0.97959183673469385</v>
      </c>
      <c r="DA213" s="203">
        <v>0</v>
      </c>
      <c r="DB213" s="204">
        <v>0.97959183673469385</v>
      </c>
      <c r="DC213" s="204">
        <v>0</v>
      </c>
      <c r="DD213" s="204">
        <v>0</v>
      </c>
      <c r="DE213" s="204">
        <v>0</v>
      </c>
      <c r="DF213" s="215">
        <v>0</v>
      </c>
      <c r="DG213" s="13" t="s">
        <v>615</v>
      </c>
      <c r="DH213" s="86">
        <v>211</v>
      </c>
      <c r="DI213" s="86"/>
      <c r="DJ213" s="86">
        <v>207</v>
      </c>
      <c r="DK213" s="86" t="s">
        <v>1666</v>
      </c>
      <c r="DL213" s="86" t="e">
        <v>#N/A</v>
      </c>
      <c r="DM213" s="86" t="e">
        <v>#N/A</v>
      </c>
      <c r="DN213" s="86" t="e">
        <v>#N/A</v>
      </c>
      <c r="DO213" s="86">
        <v>369</v>
      </c>
      <c r="DP213" s="86">
        <v>5</v>
      </c>
      <c r="DQ213" s="86">
        <v>49</v>
      </c>
      <c r="DR213" s="146">
        <v>0</v>
      </c>
      <c r="DS213" s="146">
        <v>0</v>
      </c>
      <c r="DT213" s="146">
        <v>0</v>
      </c>
      <c r="DU213" s="146">
        <v>0</v>
      </c>
      <c r="DV213" s="146">
        <v>0</v>
      </c>
      <c r="DW213" s="146">
        <v>0</v>
      </c>
      <c r="DX213" s="146">
        <v>0</v>
      </c>
      <c r="DY213" s="146">
        <v>0</v>
      </c>
      <c r="DZ213" s="146">
        <v>0</v>
      </c>
      <c r="EA213" s="146">
        <v>0</v>
      </c>
      <c r="EB213" s="146">
        <v>0</v>
      </c>
      <c r="EC213" s="146">
        <v>0</v>
      </c>
      <c r="ED213" s="146">
        <v>0</v>
      </c>
      <c r="EE213" s="146">
        <v>0</v>
      </c>
      <c r="EF213" s="146">
        <v>0</v>
      </c>
      <c r="EG213" s="146">
        <v>0</v>
      </c>
      <c r="EH213" s="146">
        <v>0</v>
      </c>
      <c r="EI213" s="146">
        <v>0</v>
      </c>
      <c r="EJ213" s="146">
        <v>0</v>
      </c>
      <c r="EK213" s="146">
        <v>0</v>
      </c>
      <c r="EL213" s="146">
        <v>0</v>
      </c>
      <c r="EM213" s="146">
        <v>0</v>
      </c>
      <c r="EN213" s="146">
        <v>0</v>
      </c>
      <c r="EO213" s="146">
        <v>0</v>
      </c>
      <c r="EP213" s="146">
        <v>0</v>
      </c>
      <c r="EQ213" s="146">
        <v>0</v>
      </c>
      <c r="ER213" s="146">
        <v>0</v>
      </c>
      <c r="ES213" s="146">
        <v>0</v>
      </c>
      <c r="ET213" s="146">
        <v>0</v>
      </c>
      <c r="EU213" s="146">
        <v>0</v>
      </c>
      <c r="EV213" s="146">
        <v>0</v>
      </c>
      <c r="EW213" s="146">
        <v>0</v>
      </c>
      <c r="EX213" s="146">
        <v>0</v>
      </c>
      <c r="EY213" s="146">
        <v>0</v>
      </c>
      <c r="EZ213" s="146">
        <v>0</v>
      </c>
      <c r="FA213" s="146">
        <v>0</v>
      </c>
      <c r="FB213" s="146">
        <v>0</v>
      </c>
      <c r="FC213" s="146">
        <v>0</v>
      </c>
      <c r="FD213" s="146">
        <v>0</v>
      </c>
      <c r="FE213" s="146">
        <v>0</v>
      </c>
      <c r="FF213" s="146">
        <v>0</v>
      </c>
      <c r="FG213" s="146">
        <v>0</v>
      </c>
      <c r="FH213" s="146">
        <v>0</v>
      </c>
      <c r="FI213" s="146">
        <v>0</v>
      </c>
      <c r="FJ213" s="146">
        <v>0</v>
      </c>
      <c r="FK213" s="146">
        <v>0</v>
      </c>
      <c r="FL213" s="146">
        <v>0</v>
      </c>
      <c r="FM213" s="146">
        <v>0</v>
      </c>
      <c r="FN213" s="146">
        <v>0</v>
      </c>
      <c r="FO213" s="146">
        <v>0</v>
      </c>
      <c r="FP213" s="146">
        <v>0</v>
      </c>
      <c r="FQ213" s="146">
        <v>0</v>
      </c>
      <c r="FR213" s="146">
        <v>0</v>
      </c>
      <c r="FS213" s="146">
        <v>0</v>
      </c>
      <c r="FT213" s="146">
        <v>0</v>
      </c>
      <c r="FU213" s="146">
        <v>0</v>
      </c>
      <c r="FV213" s="146">
        <v>0</v>
      </c>
      <c r="FW213" s="146">
        <v>0</v>
      </c>
      <c r="FX213" s="146">
        <v>0</v>
      </c>
      <c r="FY213" s="146">
        <v>0</v>
      </c>
      <c r="FZ213" s="146">
        <v>0</v>
      </c>
      <c r="GA213" s="146">
        <v>0</v>
      </c>
      <c r="GB213" s="146">
        <v>0</v>
      </c>
      <c r="GC213" s="146">
        <v>0</v>
      </c>
      <c r="GD213" s="146">
        <v>0</v>
      </c>
      <c r="GE213" s="146">
        <v>0</v>
      </c>
      <c r="GF213" s="146">
        <v>0</v>
      </c>
      <c r="GG213" s="146">
        <v>0</v>
      </c>
      <c r="GH213" s="146">
        <v>0</v>
      </c>
      <c r="GI213" s="146">
        <v>0</v>
      </c>
      <c r="GJ213" s="146">
        <v>0</v>
      </c>
      <c r="GK213" s="146">
        <v>0</v>
      </c>
      <c r="GL213" s="146">
        <v>0</v>
      </c>
      <c r="GM213" s="146">
        <v>0</v>
      </c>
      <c r="GN213" s="146">
        <v>0</v>
      </c>
      <c r="GO213" s="146">
        <v>0</v>
      </c>
      <c r="GP213" s="146">
        <v>0</v>
      </c>
      <c r="GQ213" s="146">
        <v>0</v>
      </c>
      <c r="GR213" s="146">
        <v>0</v>
      </c>
      <c r="GS213" s="146">
        <v>0</v>
      </c>
      <c r="GT213" s="146">
        <v>0</v>
      </c>
      <c r="GU213" s="146">
        <v>0</v>
      </c>
      <c r="GV213" s="146">
        <v>0</v>
      </c>
      <c r="GW213" s="146">
        <v>0</v>
      </c>
      <c r="GX213" s="146">
        <v>0</v>
      </c>
      <c r="GY213" s="146">
        <v>0</v>
      </c>
      <c r="GZ213" s="146">
        <v>0</v>
      </c>
      <c r="HA213" s="146">
        <v>0</v>
      </c>
      <c r="HB213" s="146">
        <v>0</v>
      </c>
      <c r="HC213" s="146">
        <v>0</v>
      </c>
      <c r="HD213" s="146">
        <v>0</v>
      </c>
      <c r="HE213" s="146">
        <v>0</v>
      </c>
      <c r="HF213" s="146">
        <v>0</v>
      </c>
      <c r="HG213" s="146">
        <v>0</v>
      </c>
      <c r="HH213" s="146">
        <v>0</v>
      </c>
      <c r="HI213" s="146">
        <v>0</v>
      </c>
      <c r="HJ213" s="146">
        <v>0</v>
      </c>
      <c r="HK213" s="146">
        <v>0</v>
      </c>
      <c r="HL213" s="146">
        <v>0</v>
      </c>
      <c r="HM213" s="146">
        <v>0</v>
      </c>
      <c r="HN213" s="146">
        <v>0</v>
      </c>
      <c r="HO213" s="146">
        <v>0</v>
      </c>
      <c r="HP213" s="146">
        <v>0</v>
      </c>
      <c r="HQ213" s="146">
        <v>0</v>
      </c>
      <c r="HR213" s="146">
        <v>0</v>
      </c>
      <c r="HS213" s="146">
        <v>0</v>
      </c>
      <c r="HT213" s="146">
        <v>0</v>
      </c>
      <c r="HU213" s="151"/>
      <c r="HV213" s="146">
        <v>0</v>
      </c>
      <c r="HW213" s="151"/>
      <c r="HX213" s="151"/>
      <c r="HY213" s="151"/>
      <c r="HZ213" s="151"/>
      <c r="IA213" s="151"/>
      <c r="IB213" s="151"/>
      <c r="IC213" s="151"/>
      <c r="ID213" s="151"/>
      <c r="IE213" s="151"/>
      <c r="IF213" s="151"/>
      <c r="IG213" s="151"/>
      <c r="IH213" s="151"/>
      <c r="II213" s="151"/>
      <c r="IJ213" s="151"/>
      <c r="IK213" s="151"/>
      <c r="IL213" s="151"/>
      <c r="IM213" s="151"/>
      <c r="IN213" s="151"/>
      <c r="IO213" s="151"/>
      <c r="IP213" s="151"/>
      <c r="IQ213" s="151"/>
      <c r="IR213" s="151"/>
      <c r="IS213" s="151"/>
      <c r="IT213" s="151"/>
      <c r="IU213" s="151"/>
      <c r="IV213" s="151"/>
      <c r="IW213" s="151"/>
      <c r="IX213" s="151"/>
      <c r="IY213" s="151"/>
      <c r="IZ213" s="151"/>
      <c r="JA213" s="151"/>
      <c r="JB213" s="151"/>
      <c r="JC213" s="151"/>
      <c r="JD213" s="151"/>
      <c r="JE213" s="151"/>
      <c r="JF213" s="151"/>
      <c r="JG213" s="151"/>
      <c r="JH213" s="151"/>
      <c r="JI213" s="151"/>
      <c r="JJ213" s="151"/>
      <c r="JK213" s="151"/>
      <c r="JL213" s="151"/>
      <c r="JM213" s="151"/>
      <c r="JN213" s="151"/>
      <c r="JO213" s="151"/>
      <c r="JP213" s="151"/>
      <c r="JQ213" s="151"/>
      <c r="JR213" s="151"/>
      <c r="JS213" s="151"/>
      <c r="JT213" s="151"/>
      <c r="JU213" s="151"/>
      <c r="JV213" s="151"/>
      <c r="JW213" s="151"/>
      <c r="JX213" s="151"/>
      <c r="JY213" s="151"/>
      <c r="JZ213" s="151"/>
      <c r="KA213" s="151"/>
      <c r="KB213" s="151"/>
      <c r="KC213" s="151"/>
      <c r="KD213" s="151"/>
      <c r="KE213" s="151"/>
      <c r="KF213" s="151"/>
      <c r="KG213" s="151"/>
      <c r="KH213" s="151"/>
      <c r="KI213" s="151"/>
      <c r="KJ213" s="151"/>
      <c r="KK213" s="151"/>
      <c r="KL213" s="151"/>
      <c r="KM213" s="151"/>
      <c r="KN213" s="151"/>
      <c r="KO213" s="151"/>
      <c r="KP213" s="151"/>
      <c r="KQ213" s="151"/>
      <c r="KR213" s="151"/>
      <c r="KS213" s="151"/>
      <c r="KT213" s="151"/>
      <c r="KU213" s="151"/>
      <c r="KV213" s="151"/>
      <c r="KW213" s="151"/>
      <c r="KX213" s="151"/>
      <c r="KY213" s="151"/>
      <c r="KZ213" s="151"/>
      <c r="LA213" s="151"/>
      <c r="LB213" s="151"/>
      <c r="LC213" s="151"/>
      <c r="LD213" s="151"/>
      <c r="LE213" s="151"/>
    </row>
    <row r="214" spans="1:317" x14ac:dyDescent="0.2">
      <c r="A214" s="179" t="s">
        <v>849</v>
      </c>
      <c r="B214" s="180" t="s">
        <v>1113</v>
      </c>
      <c r="C214" s="181"/>
      <c r="D214" s="182">
        <v>0</v>
      </c>
      <c r="E214" s="182">
        <v>0</v>
      </c>
      <c r="F214" s="183" t="s">
        <v>1315</v>
      </c>
      <c r="G214" s="183">
        <v>0</v>
      </c>
      <c r="H214" s="183">
        <v>0</v>
      </c>
      <c r="I214" s="183">
        <v>0</v>
      </c>
      <c r="J214" s="183">
        <v>0</v>
      </c>
      <c r="K214" s="183" t="s">
        <v>1368</v>
      </c>
      <c r="L214" s="183">
        <v>0</v>
      </c>
      <c r="M214" s="183">
        <v>0</v>
      </c>
      <c r="N214" s="183" t="s">
        <v>881</v>
      </c>
      <c r="O214" s="183">
        <v>0</v>
      </c>
      <c r="P214" s="183">
        <v>0</v>
      </c>
      <c r="Q214" s="183"/>
      <c r="R214" s="183"/>
      <c r="S214" s="183"/>
      <c r="T214" s="183"/>
      <c r="U214" s="183"/>
      <c r="V214" s="183">
        <v>0</v>
      </c>
      <c r="W214" s="183">
        <v>0</v>
      </c>
      <c r="X214" s="183">
        <v>0</v>
      </c>
      <c r="Y214" s="184">
        <v>0</v>
      </c>
      <c r="Z214" s="184">
        <v>0</v>
      </c>
      <c r="AA214" s="184">
        <v>0</v>
      </c>
      <c r="AB214" s="185" t="s">
        <v>615</v>
      </c>
      <c r="AC214" s="185" t="s">
        <v>615</v>
      </c>
      <c r="AD214" s="186" t="s">
        <v>881</v>
      </c>
      <c r="AE214" s="186" t="s">
        <v>858</v>
      </c>
      <c r="AF214" s="187">
        <v>7</v>
      </c>
      <c r="AG214" s="187">
        <v>3</v>
      </c>
      <c r="AH214" s="187">
        <v>4</v>
      </c>
      <c r="AI214" s="188">
        <v>1</v>
      </c>
      <c r="AJ214" s="188" t="s">
        <v>615</v>
      </c>
      <c r="AK214" s="187" t="s">
        <v>1738</v>
      </c>
      <c r="AL214" s="87" t="s">
        <v>615</v>
      </c>
      <c r="AM214" s="189"/>
      <c r="AN214" s="187" t="s">
        <v>615</v>
      </c>
      <c r="AO214" s="13" t="s">
        <v>615</v>
      </c>
      <c r="AP214" s="187">
        <v>0</v>
      </c>
      <c r="AQ214" s="187">
        <v>0</v>
      </c>
      <c r="AR214" s="190">
        <v>0</v>
      </c>
      <c r="AS214" s="190">
        <v>0</v>
      </c>
      <c r="AT214" s="190">
        <v>0</v>
      </c>
      <c r="AU214" s="187">
        <v>0</v>
      </c>
      <c r="AV214" s="187">
        <v>0</v>
      </c>
      <c r="AW214" s="191"/>
      <c r="AX214" s="192"/>
      <c r="AY214" s="193">
        <v>42666</v>
      </c>
      <c r="AZ214" s="193"/>
      <c r="BA214" s="193"/>
      <c r="BB214" s="194"/>
      <c r="BC214" s="194"/>
      <c r="BD214" s="195"/>
      <c r="BE214" s="195" t="s">
        <v>532</v>
      </c>
      <c r="BF214" s="195"/>
      <c r="BG214" s="195">
        <v>240</v>
      </c>
      <c r="BH214" s="196" t="s">
        <v>547</v>
      </c>
      <c r="BI214" s="197">
        <v>1</v>
      </c>
      <c r="BJ214" s="198"/>
      <c r="BK214" s="199">
        <v>0</v>
      </c>
      <c r="BL214" s="13">
        <v>0</v>
      </c>
      <c r="BM214" s="13">
        <v>0</v>
      </c>
      <c r="BN214" s="13" t="s">
        <v>616</v>
      </c>
      <c r="BO214" s="13" t="s">
        <v>616</v>
      </c>
      <c r="BP214" s="200">
        <v>0</v>
      </c>
      <c r="BQ214" s="201"/>
      <c r="BR214" s="202"/>
      <c r="BS214" s="187">
        <v>1000000000</v>
      </c>
      <c r="BT214" s="203">
        <v>0</v>
      </c>
      <c r="BU214" s="204">
        <v>0</v>
      </c>
      <c r="BV214" s="203">
        <v>0</v>
      </c>
      <c r="BW214" s="205">
        <v>0</v>
      </c>
      <c r="BX214" s="205">
        <v>0</v>
      </c>
      <c r="BY214" s="205">
        <v>0</v>
      </c>
      <c r="BZ214" s="203">
        <v>0</v>
      </c>
      <c r="CA214" s="203">
        <v>0</v>
      </c>
      <c r="CB214" s="203">
        <v>0</v>
      </c>
      <c r="CC214" s="204">
        <v>0</v>
      </c>
      <c r="CD214" s="203">
        <v>0</v>
      </c>
      <c r="CE214" s="203">
        <v>0</v>
      </c>
      <c r="CF214" s="13">
        <v>0</v>
      </c>
      <c r="CG214" s="206">
        <v>0</v>
      </c>
      <c r="CH214" s="207">
        <v>0</v>
      </c>
      <c r="CI214" s="201"/>
      <c r="CJ214" s="208"/>
      <c r="CK214" s="209" t="s">
        <v>615</v>
      </c>
      <c r="CL214" s="210" t="s">
        <v>615</v>
      </c>
      <c r="CM214" s="207">
        <v>0</v>
      </c>
      <c r="CN214" s="207">
        <v>0</v>
      </c>
      <c r="CO214" s="204">
        <v>0</v>
      </c>
      <c r="CP214" s="204">
        <v>0</v>
      </c>
      <c r="CQ214" s="211"/>
      <c r="CR214" s="204">
        <v>1</v>
      </c>
      <c r="CS214" s="212">
        <v>42558</v>
      </c>
      <c r="CT214" s="212">
        <v>42780</v>
      </c>
      <c r="CU214" s="213">
        <v>42780</v>
      </c>
      <c r="CV214" s="214">
        <v>42829</v>
      </c>
      <c r="CW214" s="214" t="s">
        <v>615</v>
      </c>
      <c r="CX214" s="214" t="s">
        <v>615</v>
      </c>
      <c r="CY214" s="204">
        <v>1</v>
      </c>
      <c r="CZ214" s="204">
        <v>0.97959183673469385</v>
      </c>
      <c r="DA214" s="203">
        <v>0</v>
      </c>
      <c r="DB214" s="204">
        <v>0.97959183673469385</v>
      </c>
      <c r="DC214" s="204">
        <v>0</v>
      </c>
      <c r="DD214" s="204">
        <v>0</v>
      </c>
      <c r="DE214" s="204">
        <v>0</v>
      </c>
      <c r="DF214" s="215">
        <v>0</v>
      </c>
      <c r="DG214" s="13" t="s">
        <v>615</v>
      </c>
      <c r="DH214" s="86">
        <v>212</v>
      </c>
      <c r="DI214" s="86"/>
      <c r="DJ214" s="86">
        <v>216</v>
      </c>
      <c r="DK214" s="86" t="s">
        <v>1675</v>
      </c>
      <c r="DL214" s="86" t="e">
        <v>#N/A</v>
      </c>
      <c r="DM214" s="86" t="e">
        <v>#N/A</v>
      </c>
      <c r="DN214" s="86" t="e">
        <v>#N/A</v>
      </c>
      <c r="DO214" s="86">
        <v>381</v>
      </c>
      <c r="DP214" s="86">
        <v>5</v>
      </c>
      <c r="DQ214" s="86">
        <v>49</v>
      </c>
      <c r="DR214" s="152">
        <v>0</v>
      </c>
      <c r="DS214" s="152">
        <v>0</v>
      </c>
      <c r="DT214" s="152">
        <v>0</v>
      </c>
      <c r="DU214" s="152">
        <v>0</v>
      </c>
      <c r="DV214" s="152">
        <v>0</v>
      </c>
      <c r="DW214" s="152">
        <v>0</v>
      </c>
      <c r="DX214" s="152">
        <v>0</v>
      </c>
      <c r="DY214" s="152">
        <v>0</v>
      </c>
      <c r="DZ214" s="152">
        <v>0</v>
      </c>
      <c r="EA214" s="152">
        <v>0</v>
      </c>
      <c r="EB214" s="152">
        <v>0</v>
      </c>
      <c r="EC214" s="152">
        <v>0</v>
      </c>
      <c r="ED214" s="152">
        <v>0</v>
      </c>
      <c r="EE214" s="152">
        <v>0</v>
      </c>
      <c r="EF214" s="152">
        <v>0</v>
      </c>
      <c r="EG214" s="152">
        <v>0</v>
      </c>
      <c r="EH214" s="152">
        <v>0</v>
      </c>
      <c r="EI214" s="152">
        <v>0</v>
      </c>
      <c r="EJ214" s="152">
        <v>0</v>
      </c>
      <c r="EK214" s="152">
        <v>0</v>
      </c>
      <c r="EL214" s="152">
        <v>0</v>
      </c>
      <c r="EM214" s="152">
        <v>0</v>
      </c>
      <c r="EN214" s="152">
        <v>0</v>
      </c>
      <c r="EO214" s="152">
        <v>0</v>
      </c>
      <c r="EP214" s="152">
        <v>0</v>
      </c>
      <c r="EQ214" s="152">
        <v>0</v>
      </c>
      <c r="ER214" s="152">
        <v>0</v>
      </c>
      <c r="ES214" s="152">
        <v>0</v>
      </c>
      <c r="ET214" s="152">
        <v>0</v>
      </c>
      <c r="EU214" s="152">
        <v>0</v>
      </c>
      <c r="EV214" s="152">
        <v>0</v>
      </c>
      <c r="EW214" s="152">
        <v>0</v>
      </c>
      <c r="EX214" s="152">
        <v>0</v>
      </c>
      <c r="EY214" s="152">
        <v>0</v>
      </c>
      <c r="EZ214" s="152">
        <v>0</v>
      </c>
      <c r="FA214" s="152">
        <v>0</v>
      </c>
      <c r="FB214" s="152">
        <v>0</v>
      </c>
      <c r="FC214" s="152">
        <v>0</v>
      </c>
      <c r="FD214" s="152">
        <v>0</v>
      </c>
      <c r="FE214" s="152">
        <v>0</v>
      </c>
      <c r="FF214" s="152">
        <v>0</v>
      </c>
      <c r="FG214" s="152">
        <v>0</v>
      </c>
      <c r="FH214" s="152">
        <v>0</v>
      </c>
      <c r="FI214" s="152">
        <v>0</v>
      </c>
      <c r="FJ214" s="152">
        <v>0</v>
      </c>
      <c r="FK214" s="152">
        <v>0</v>
      </c>
      <c r="FL214" s="152">
        <v>0</v>
      </c>
      <c r="FM214" s="152">
        <v>0</v>
      </c>
      <c r="FN214" s="152">
        <v>0</v>
      </c>
      <c r="FO214" s="152">
        <v>0</v>
      </c>
      <c r="FP214" s="152">
        <v>0</v>
      </c>
      <c r="FQ214" s="152">
        <v>0</v>
      </c>
      <c r="FR214" s="152">
        <v>0</v>
      </c>
      <c r="FS214" s="152">
        <v>0</v>
      </c>
      <c r="FT214" s="152">
        <v>0</v>
      </c>
      <c r="FU214" s="152">
        <v>0</v>
      </c>
      <c r="FV214" s="152">
        <v>0</v>
      </c>
      <c r="FW214" s="152">
        <v>0</v>
      </c>
      <c r="FX214" s="152">
        <v>0</v>
      </c>
      <c r="FY214" s="152">
        <v>0</v>
      </c>
      <c r="FZ214" s="152">
        <v>0</v>
      </c>
      <c r="GA214" s="152">
        <v>0</v>
      </c>
      <c r="GB214" s="152">
        <v>0</v>
      </c>
      <c r="GC214" s="152">
        <v>0</v>
      </c>
      <c r="GD214" s="152">
        <v>0</v>
      </c>
      <c r="GE214" s="152">
        <v>0</v>
      </c>
      <c r="GF214" s="152">
        <v>0</v>
      </c>
      <c r="GG214" s="152">
        <v>0</v>
      </c>
      <c r="GH214" s="152">
        <v>0</v>
      </c>
      <c r="GI214" s="152">
        <v>0</v>
      </c>
      <c r="GJ214" s="152">
        <v>0</v>
      </c>
      <c r="GK214" s="152">
        <v>0</v>
      </c>
      <c r="GL214" s="152">
        <v>0</v>
      </c>
      <c r="GM214" s="152">
        <v>0</v>
      </c>
      <c r="GN214" s="152">
        <v>0</v>
      </c>
      <c r="GO214" s="152">
        <v>0</v>
      </c>
      <c r="GP214" s="152">
        <v>0</v>
      </c>
      <c r="GQ214" s="152">
        <v>0</v>
      </c>
      <c r="GR214" s="152">
        <v>0</v>
      </c>
      <c r="GS214" s="152">
        <v>0</v>
      </c>
      <c r="GT214" s="152">
        <v>0</v>
      </c>
      <c r="GU214" s="152">
        <v>0</v>
      </c>
      <c r="GV214" s="152">
        <v>0</v>
      </c>
      <c r="GW214" s="152">
        <v>0</v>
      </c>
      <c r="GX214" s="152">
        <v>0</v>
      </c>
      <c r="GY214" s="152">
        <v>0</v>
      </c>
      <c r="GZ214" s="152">
        <v>0</v>
      </c>
      <c r="HA214" s="152">
        <v>0</v>
      </c>
      <c r="HB214" s="152">
        <v>0</v>
      </c>
      <c r="HC214" s="152">
        <v>0</v>
      </c>
      <c r="HD214" s="152">
        <v>0</v>
      </c>
      <c r="HE214" s="152">
        <v>0</v>
      </c>
      <c r="HF214" s="152">
        <v>0</v>
      </c>
      <c r="HG214" s="152">
        <v>0</v>
      </c>
      <c r="HH214" s="152">
        <v>0</v>
      </c>
      <c r="HI214" s="152">
        <v>0</v>
      </c>
      <c r="HJ214" s="152">
        <v>0</v>
      </c>
      <c r="HK214" s="152">
        <v>0</v>
      </c>
      <c r="HL214" s="152">
        <v>0</v>
      </c>
      <c r="HM214" s="152">
        <v>0</v>
      </c>
      <c r="HN214" s="152">
        <v>0</v>
      </c>
      <c r="HO214" s="152">
        <v>0</v>
      </c>
      <c r="HP214" s="152">
        <v>0</v>
      </c>
      <c r="HQ214" s="152">
        <v>0</v>
      </c>
      <c r="HR214" s="152">
        <v>0</v>
      </c>
      <c r="HS214" s="152">
        <v>0</v>
      </c>
      <c r="HT214" s="152">
        <v>0</v>
      </c>
      <c r="HU214" s="216"/>
      <c r="HV214" s="152">
        <v>0</v>
      </c>
      <c r="HW214" s="216"/>
      <c r="HX214" s="216"/>
      <c r="HY214" s="216"/>
      <c r="HZ214" s="216"/>
      <c r="IA214" s="216"/>
      <c r="IB214" s="216"/>
      <c r="IC214" s="216"/>
      <c r="ID214" s="216"/>
      <c r="IE214" s="216"/>
      <c r="IF214" s="216"/>
      <c r="IG214" s="216"/>
      <c r="IH214" s="216"/>
      <c r="II214" s="216"/>
      <c r="IJ214" s="216"/>
      <c r="IK214" s="216"/>
      <c r="IL214" s="216"/>
      <c r="IM214" s="216"/>
      <c r="IN214" s="216"/>
      <c r="IO214" s="216"/>
      <c r="IP214" s="216"/>
      <c r="IQ214" s="216"/>
      <c r="IR214" s="216"/>
      <c r="IS214" s="216"/>
      <c r="IT214" s="216"/>
      <c r="IU214" s="216"/>
      <c r="IV214" s="216"/>
      <c r="IW214" s="216"/>
      <c r="IX214" s="216"/>
      <c r="IY214" s="216"/>
      <c r="IZ214" s="216"/>
      <c r="JA214" s="216"/>
      <c r="JB214" s="216"/>
      <c r="JC214" s="216"/>
      <c r="JD214" s="216"/>
      <c r="JE214" s="216"/>
      <c r="JF214" s="216"/>
      <c r="JG214" s="216"/>
      <c r="JH214" s="216"/>
      <c r="JI214" s="216"/>
      <c r="JJ214" s="216"/>
      <c r="JK214" s="216"/>
      <c r="JL214" s="216"/>
      <c r="JM214" s="216"/>
      <c r="JN214" s="216"/>
      <c r="JO214" s="216"/>
      <c r="JP214" s="216"/>
      <c r="JQ214" s="216"/>
      <c r="JR214" s="216"/>
      <c r="JS214" s="216"/>
      <c r="JT214" s="216"/>
      <c r="JU214" s="216"/>
      <c r="JV214" s="216"/>
      <c r="JW214" s="216"/>
      <c r="JX214" s="216"/>
      <c r="JY214" s="216"/>
      <c r="JZ214" s="216"/>
      <c r="KA214" s="216"/>
      <c r="KB214" s="216"/>
      <c r="KC214" s="216"/>
      <c r="KD214" s="216"/>
      <c r="KE214" s="216"/>
      <c r="KF214" s="216"/>
      <c r="KG214" s="216"/>
      <c r="KH214" s="216"/>
      <c r="KI214" s="216"/>
      <c r="KJ214" s="216"/>
      <c r="KK214" s="216"/>
      <c r="KL214" s="216"/>
      <c r="KM214" s="216"/>
      <c r="KN214" s="216"/>
      <c r="KO214" s="216"/>
      <c r="KP214" s="216"/>
      <c r="KQ214" s="216"/>
      <c r="KR214" s="216"/>
      <c r="KS214" s="216"/>
      <c r="KT214" s="216"/>
      <c r="KU214" s="216"/>
      <c r="KV214" s="216"/>
      <c r="KW214" s="216"/>
      <c r="KX214" s="216"/>
      <c r="KY214" s="216"/>
      <c r="KZ214" s="216"/>
      <c r="LA214" s="216"/>
      <c r="LB214" s="216"/>
      <c r="LC214" s="216"/>
      <c r="LD214" s="216"/>
      <c r="LE214" s="216"/>
    </row>
    <row r="215" spans="1:317" x14ac:dyDescent="0.2">
      <c r="A215" s="179" t="s">
        <v>849</v>
      </c>
      <c r="B215" s="180" t="s">
        <v>1114</v>
      </c>
      <c r="C215" s="181"/>
      <c r="D215" s="182">
        <v>0</v>
      </c>
      <c r="E215" s="182">
        <v>0</v>
      </c>
      <c r="F215" s="183" t="s">
        <v>1315</v>
      </c>
      <c r="G215" s="183">
        <v>0</v>
      </c>
      <c r="H215" s="183">
        <v>0</v>
      </c>
      <c r="I215" s="183">
        <v>0</v>
      </c>
      <c r="J215" s="183">
        <v>0</v>
      </c>
      <c r="K215" s="183" t="s">
        <v>1368</v>
      </c>
      <c r="L215" s="183">
        <v>0</v>
      </c>
      <c r="M215" s="183">
        <v>0</v>
      </c>
      <c r="N215" s="183" t="s">
        <v>881</v>
      </c>
      <c r="O215" s="183">
        <v>0</v>
      </c>
      <c r="P215" s="183">
        <v>0</v>
      </c>
      <c r="Q215" s="183"/>
      <c r="R215" s="183"/>
      <c r="S215" s="183"/>
      <c r="T215" s="183"/>
      <c r="U215" s="183"/>
      <c r="V215" s="183">
        <v>0</v>
      </c>
      <c r="W215" s="183">
        <v>0</v>
      </c>
      <c r="X215" s="183">
        <v>0</v>
      </c>
      <c r="Y215" s="184">
        <v>0</v>
      </c>
      <c r="Z215" s="184">
        <v>0</v>
      </c>
      <c r="AA215" s="184">
        <v>0</v>
      </c>
      <c r="AB215" s="185" t="s">
        <v>615</v>
      </c>
      <c r="AC215" s="185" t="s">
        <v>615</v>
      </c>
      <c r="AD215" s="186" t="s">
        <v>881</v>
      </c>
      <c r="AE215" s="186" t="s">
        <v>858</v>
      </c>
      <c r="AF215" s="187">
        <v>7</v>
      </c>
      <c r="AG215" s="187">
        <v>3</v>
      </c>
      <c r="AH215" s="187">
        <v>4</v>
      </c>
      <c r="AI215" s="188">
        <v>1</v>
      </c>
      <c r="AJ215" s="188" t="s">
        <v>615</v>
      </c>
      <c r="AK215" s="187" t="s">
        <v>1738</v>
      </c>
      <c r="AL215" s="87" t="s">
        <v>615</v>
      </c>
      <c r="AM215" s="189"/>
      <c r="AN215" s="187" t="s">
        <v>615</v>
      </c>
      <c r="AO215" s="13" t="s">
        <v>615</v>
      </c>
      <c r="AP215" s="187">
        <v>0</v>
      </c>
      <c r="AQ215" s="187">
        <v>0</v>
      </c>
      <c r="AR215" s="190">
        <v>0</v>
      </c>
      <c r="AS215" s="190">
        <v>0</v>
      </c>
      <c r="AT215" s="190">
        <v>0</v>
      </c>
      <c r="AU215" s="187">
        <v>0</v>
      </c>
      <c r="AV215" s="187">
        <v>0</v>
      </c>
      <c r="AW215" s="191"/>
      <c r="AX215" s="192"/>
      <c r="AY215" s="193">
        <v>42666</v>
      </c>
      <c r="AZ215" s="193"/>
      <c r="BA215" s="193"/>
      <c r="BB215" s="194"/>
      <c r="BC215" s="194"/>
      <c r="BD215" s="195"/>
      <c r="BE215" s="195" t="s">
        <v>532</v>
      </c>
      <c r="BF215" s="195"/>
      <c r="BG215" s="195">
        <v>144</v>
      </c>
      <c r="BH215" s="196" t="s">
        <v>547</v>
      </c>
      <c r="BI215" s="197">
        <v>1</v>
      </c>
      <c r="BJ215" s="198"/>
      <c r="BK215" s="199">
        <v>0</v>
      </c>
      <c r="BL215" s="13">
        <v>0</v>
      </c>
      <c r="BM215" s="13">
        <v>0</v>
      </c>
      <c r="BN215" s="13" t="s">
        <v>616</v>
      </c>
      <c r="BO215" s="13" t="s">
        <v>616</v>
      </c>
      <c r="BP215" s="200">
        <v>0</v>
      </c>
      <c r="BQ215" s="201"/>
      <c r="BR215" s="202"/>
      <c r="BS215" s="187">
        <v>1000000000</v>
      </c>
      <c r="BT215" s="203">
        <v>0</v>
      </c>
      <c r="BU215" s="204">
        <v>0</v>
      </c>
      <c r="BV215" s="203">
        <v>0</v>
      </c>
      <c r="BW215" s="205">
        <v>0</v>
      </c>
      <c r="BX215" s="205">
        <v>0</v>
      </c>
      <c r="BY215" s="205">
        <v>0</v>
      </c>
      <c r="BZ215" s="203">
        <v>0</v>
      </c>
      <c r="CA215" s="203">
        <v>0</v>
      </c>
      <c r="CB215" s="203">
        <v>0</v>
      </c>
      <c r="CC215" s="204">
        <v>0</v>
      </c>
      <c r="CD215" s="203">
        <v>0</v>
      </c>
      <c r="CE215" s="203">
        <v>0</v>
      </c>
      <c r="CF215" s="13">
        <v>0</v>
      </c>
      <c r="CG215" s="206">
        <v>0</v>
      </c>
      <c r="CH215" s="207">
        <v>0</v>
      </c>
      <c r="CI215" s="201"/>
      <c r="CJ215" s="208"/>
      <c r="CK215" s="209" t="s">
        <v>615</v>
      </c>
      <c r="CL215" s="210" t="s">
        <v>615</v>
      </c>
      <c r="CM215" s="207">
        <v>0</v>
      </c>
      <c r="CN215" s="207">
        <v>0</v>
      </c>
      <c r="CO215" s="204">
        <v>0</v>
      </c>
      <c r="CP215" s="204">
        <v>0</v>
      </c>
      <c r="CQ215" s="211"/>
      <c r="CR215" s="204">
        <v>1</v>
      </c>
      <c r="CS215" s="212">
        <v>42558</v>
      </c>
      <c r="CT215" s="212">
        <v>42780</v>
      </c>
      <c r="CU215" s="213">
        <v>42780</v>
      </c>
      <c r="CV215" s="214">
        <v>42829</v>
      </c>
      <c r="CW215" s="214" t="s">
        <v>615</v>
      </c>
      <c r="CX215" s="214" t="s">
        <v>615</v>
      </c>
      <c r="CY215" s="204">
        <v>1</v>
      </c>
      <c r="CZ215" s="204">
        <v>0.97959183673469385</v>
      </c>
      <c r="DA215" s="203">
        <v>0</v>
      </c>
      <c r="DB215" s="204">
        <v>0.97959183673469385</v>
      </c>
      <c r="DC215" s="204">
        <v>0</v>
      </c>
      <c r="DD215" s="204">
        <v>0</v>
      </c>
      <c r="DE215" s="204">
        <v>0</v>
      </c>
      <c r="DF215" s="215">
        <v>0</v>
      </c>
      <c r="DG215" s="13" t="s">
        <v>615</v>
      </c>
      <c r="DH215" s="86">
        <v>213</v>
      </c>
      <c r="DI215" s="86"/>
      <c r="DJ215" s="86">
        <v>217</v>
      </c>
      <c r="DK215" s="86" t="s">
        <v>1676</v>
      </c>
      <c r="DL215" s="86" t="e">
        <v>#N/A</v>
      </c>
      <c r="DM215" s="86" t="e">
        <v>#N/A</v>
      </c>
      <c r="DN215" s="86" t="e">
        <v>#N/A</v>
      </c>
      <c r="DO215" s="86">
        <v>382</v>
      </c>
      <c r="DP215" s="86">
        <v>5</v>
      </c>
      <c r="DQ215" s="86">
        <v>49</v>
      </c>
      <c r="DR215" s="146">
        <v>0</v>
      </c>
      <c r="DS215" s="146">
        <v>0</v>
      </c>
      <c r="DT215" s="146">
        <v>0</v>
      </c>
      <c r="DU215" s="146">
        <v>0</v>
      </c>
      <c r="DV215" s="146">
        <v>0</v>
      </c>
      <c r="DW215" s="146">
        <v>0</v>
      </c>
      <c r="DX215" s="146">
        <v>0</v>
      </c>
      <c r="DY215" s="146">
        <v>0</v>
      </c>
      <c r="DZ215" s="146">
        <v>0</v>
      </c>
      <c r="EA215" s="146">
        <v>0</v>
      </c>
      <c r="EB215" s="146">
        <v>0</v>
      </c>
      <c r="EC215" s="146">
        <v>0</v>
      </c>
      <c r="ED215" s="146">
        <v>0</v>
      </c>
      <c r="EE215" s="146">
        <v>0</v>
      </c>
      <c r="EF215" s="146">
        <v>0</v>
      </c>
      <c r="EG215" s="146">
        <v>0</v>
      </c>
      <c r="EH215" s="146">
        <v>0</v>
      </c>
      <c r="EI215" s="146">
        <v>0</v>
      </c>
      <c r="EJ215" s="146">
        <v>0</v>
      </c>
      <c r="EK215" s="146">
        <v>0</v>
      </c>
      <c r="EL215" s="146">
        <v>0</v>
      </c>
      <c r="EM215" s="146">
        <v>0</v>
      </c>
      <c r="EN215" s="146">
        <v>0</v>
      </c>
      <c r="EO215" s="146">
        <v>0</v>
      </c>
      <c r="EP215" s="146">
        <v>0</v>
      </c>
      <c r="EQ215" s="146">
        <v>0</v>
      </c>
      <c r="ER215" s="146">
        <v>0</v>
      </c>
      <c r="ES215" s="146">
        <v>0</v>
      </c>
      <c r="ET215" s="146">
        <v>0</v>
      </c>
      <c r="EU215" s="146">
        <v>0</v>
      </c>
      <c r="EV215" s="146">
        <v>0</v>
      </c>
      <c r="EW215" s="146">
        <v>0</v>
      </c>
      <c r="EX215" s="146">
        <v>0</v>
      </c>
      <c r="EY215" s="146">
        <v>0</v>
      </c>
      <c r="EZ215" s="146">
        <v>0</v>
      </c>
      <c r="FA215" s="146">
        <v>0</v>
      </c>
      <c r="FB215" s="146">
        <v>0</v>
      </c>
      <c r="FC215" s="146">
        <v>0</v>
      </c>
      <c r="FD215" s="146">
        <v>0</v>
      </c>
      <c r="FE215" s="146">
        <v>0</v>
      </c>
      <c r="FF215" s="146">
        <v>0</v>
      </c>
      <c r="FG215" s="146">
        <v>0</v>
      </c>
      <c r="FH215" s="146">
        <v>0</v>
      </c>
      <c r="FI215" s="146">
        <v>0</v>
      </c>
      <c r="FJ215" s="146">
        <v>0</v>
      </c>
      <c r="FK215" s="146">
        <v>0</v>
      </c>
      <c r="FL215" s="146">
        <v>0</v>
      </c>
      <c r="FM215" s="146">
        <v>0</v>
      </c>
      <c r="FN215" s="146">
        <v>0</v>
      </c>
      <c r="FO215" s="146">
        <v>0</v>
      </c>
      <c r="FP215" s="146">
        <v>0</v>
      </c>
      <c r="FQ215" s="146">
        <v>0</v>
      </c>
      <c r="FR215" s="146">
        <v>0</v>
      </c>
      <c r="FS215" s="146">
        <v>0</v>
      </c>
      <c r="FT215" s="146">
        <v>0</v>
      </c>
      <c r="FU215" s="146">
        <v>0</v>
      </c>
      <c r="FV215" s="146">
        <v>0</v>
      </c>
      <c r="FW215" s="146">
        <v>0</v>
      </c>
      <c r="FX215" s="146">
        <v>0</v>
      </c>
      <c r="FY215" s="146">
        <v>0</v>
      </c>
      <c r="FZ215" s="146">
        <v>0</v>
      </c>
      <c r="GA215" s="146">
        <v>0</v>
      </c>
      <c r="GB215" s="146">
        <v>0</v>
      </c>
      <c r="GC215" s="146">
        <v>0</v>
      </c>
      <c r="GD215" s="146">
        <v>0</v>
      </c>
      <c r="GE215" s="146">
        <v>0</v>
      </c>
      <c r="GF215" s="146">
        <v>0</v>
      </c>
      <c r="GG215" s="146">
        <v>0</v>
      </c>
      <c r="GH215" s="146">
        <v>0</v>
      </c>
      <c r="GI215" s="146">
        <v>0</v>
      </c>
      <c r="GJ215" s="146">
        <v>0</v>
      </c>
      <c r="GK215" s="146">
        <v>0</v>
      </c>
      <c r="GL215" s="146">
        <v>0</v>
      </c>
      <c r="GM215" s="146">
        <v>0</v>
      </c>
      <c r="GN215" s="146">
        <v>0</v>
      </c>
      <c r="GO215" s="146">
        <v>0</v>
      </c>
      <c r="GP215" s="146">
        <v>0</v>
      </c>
      <c r="GQ215" s="146">
        <v>0</v>
      </c>
      <c r="GR215" s="146">
        <v>0</v>
      </c>
      <c r="GS215" s="146">
        <v>0</v>
      </c>
      <c r="GT215" s="146">
        <v>0</v>
      </c>
      <c r="GU215" s="146">
        <v>0</v>
      </c>
      <c r="GV215" s="146">
        <v>0</v>
      </c>
      <c r="GW215" s="146">
        <v>0</v>
      </c>
      <c r="GX215" s="146">
        <v>0</v>
      </c>
      <c r="GY215" s="146">
        <v>0</v>
      </c>
      <c r="GZ215" s="146">
        <v>0</v>
      </c>
      <c r="HA215" s="146">
        <v>0</v>
      </c>
      <c r="HB215" s="146">
        <v>0</v>
      </c>
      <c r="HC215" s="146">
        <v>0</v>
      </c>
      <c r="HD215" s="146">
        <v>0</v>
      </c>
      <c r="HE215" s="146">
        <v>0</v>
      </c>
      <c r="HF215" s="146">
        <v>0</v>
      </c>
      <c r="HG215" s="146">
        <v>0</v>
      </c>
      <c r="HH215" s="146">
        <v>0</v>
      </c>
      <c r="HI215" s="146">
        <v>0</v>
      </c>
      <c r="HJ215" s="146">
        <v>0</v>
      </c>
      <c r="HK215" s="146">
        <v>0</v>
      </c>
      <c r="HL215" s="146">
        <v>0</v>
      </c>
      <c r="HM215" s="146">
        <v>0</v>
      </c>
      <c r="HN215" s="146">
        <v>0</v>
      </c>
      <c r="HO215" s="146">
        <v>0</v>
      </c>
      <c r="HP215" s="146">
        <v>0</v>
      </c>
      <c r="HQ215" s="146">
        <v>0</v>
      </c>
      <c r="HR215" s="146">
        <v>0</v>
      </c>
      <c r="HS215" s="146">
        <v>0</v>
      </c>
      <c r="HT215" s="146">
        <v>0</v>
      </c>
      <c r="HU215" s="151"/>
      <c r="HV215" s="146">
        <v>0</v>
      </c>
      <c r="HW215" s="151"/>
      <c r="HX215" s="151"/>
      <c r="HY215" s="151"/>
      <c r="HZ215" s="151"/>
      <c r="IA215" s="151"/>
      <c r="IB215" s="151"/>
      <c r="IC215" s="151"/>
      <c r="ID215" s="151"/>
      <c r="IE215" s="151"/>
      <c r="IF215" s="151"/>
      <c r="IG215" s="151"/>
      <c r="IH215" s="151"/>
      <c r="II215" s="151"/>
      <c r="IJ215" s="151"/>
      <c r="IK215" s="151"/>
      <c r="IL215" s="151"/>
      <c r="IM215" s="151"/>
      <c r="IN215" s="151"/>
      <c r="IO215" s="151"/>
      <c r="IP215" s="151"/>
      <c r="IQ215" s="151"/>
      <c r="IR215" s="151"/>
      <c r="IS215" s="151"/>
      <c r="IT215" s="151"/>
      <c r="IU215" s="151"/>
      <c r="IV215" s="151"/>
      <c r="IW215" s="151"/>
      <c r="IX215" s="151"/>
      <c r="IY215" s="151"/>
      <c r="IZ215" s="151"/>
      <c r="JA215" s="151"/>
      <c r="JB215" s="151"/>
      <c r="JC215" s="151"/>
      <c r="JD215" s="151"/>
      <c r="JE215" s="151"/>
      <c r="JF215" s="151"/>
      <c r="JG215" s="151"/>
      <c r="JH215" s="151"/>
      <c r="JI215" s="151"/>
      <c r="JJ215" s="151"/>
      <c r="JK215" s="151"/>
      <c r="JL215" s="151"/>
      <c r="JM215" s="151"/>
      <c r="JN215" s="151"/>
      <c r="JO215" s="151"/>
      <c r="JP215" s="151"/>
      <c r="JQ215" s="151"/>
      <c r="JR215" s="151"/>
      <c r="JS215" s="151"/>
      <c r="JT215" s="151"/>
      <c r="JU215" s="151"/>
      <c r="JV215" s="151"/>
      <c r="JW215" s="151"/>
      <c r="JX215" s="151"/>
      <c r="JY215" s="151"/>
      <c r="JZ215" s="151"/>
      <c r="KA215" s="151"/>
      <c r="KB215" s="151"/>
      <c r="KC215" s="151"/>
      <c r="KD215" s="151"/>
      <c r="KE215" s="151"/>
      <c r="KF215" s="151"/>
      <c r="KG215" s="151"/>
      <c r="KH215" s="151"/>
      <c r="KI215" s="151"/>
      <c r="KJ215" s="151"/>
      <c r="KK215" s="151"/>
      <c r="KL215" s="151"/>
      <c r="KM215" s="151"/>
      <c r="KN215" s="151"/>
      <c r="KO215" s="151"/>
      <c r="KP215" s="151"/>
      <c r="KQ215" s="151"/>
      <c r="KR215" s="151"/>
      <c r="KS215" s="151"/>
      <c r="KT215" s="151"/>
      <c r="KU215" s="151"/>
      <c r="KV215" s="151"/>
      <c r="KW215" s="151"/>
      <c r="KX215" s="151"/>
      <c r="KY215" s="151"/>
      <c r="KZ215" s="151"/>
      <c r="LA215" s="151"/>
      <c r="LB215" s="151"/>
      <c r="LC215" s="151"/>
      <c r="LD215" s="151"/>
      <c r="LE215" s="151"/>
    </row>
    <row r="216" spans="1:317" x14ac:dyDescent="0.2">
      <c r="A216" s="179" t="s">
        <v>849</v>
      </c>
      <c r="B216" s="180" t="s">
        <v>1115</v>
      </c>
      <c r="C216" s="181"/>
      <c r="D216" s="182">
        <v>0</v>
      </c>
      <c r="E216" s="182">
        <v>0</v>
      </c>
      <c r="F216" s="183" t="s">
        <v>1315</v>
      </c>
      <c r="G216" s="183">
        <v>0</v>
      </c>
      <c r="H216" s="183">
        <v>0</v>
      </c>
      <c r="I216" s="183">
        <v>0</v>
      </c>
      <c r="J216" s="183">
        <v>0</v>
      </c>
      <c r="K216" s="183" t="s">
        <v>1368</v>
      </c>
      <c r="L216" s="183">
        <v>0</v>
      </c>
      <c r="M216" s="183">
        <v>0</v>
      </c>
      <c r="N216" s="183" t="s">
        <v>881</v>
      </c>
      <c r="O216" s="183">
        <v>0</v>
      </c>
      <c r="P216" s="183">
        <v>0</v>
      </c>
      <c r="Q216" s="183"/>
      <c r="R216" s="183"/>
      <c r="S216" s="183"/>
      <c r="T216" s="183"/>
      <c r="U216" s="183"/>
      <c r="V216" s="183">
        <v>0</v>
      </c>
      <c r="W216" s="183">
        <v>0</v>
      </c>
      <c r="X216" s="183">
        <v>0</v>
      </c>
      <c r="Y216" s="184">
        <v>0</v>
      </c>
      <c r="Z216" s="184">
        <v>0</v>
      </c>
      <c r="AA216" s="184">
        <v>0</v>
      </c>
      <c r="AB216" s="185" t="s">
        <v>615</v>
      </c>
      <c r="AC216" s="185" t="s">
        <v>615</v>
      </c>
      <c r="AD216" s="186" t="s">
        <v>881</v>
      </c>
      <c r="AE216" s="186" t="s">
        <v>858</v>
      </c>
      <c r="AF216" s="187">
        <v>7</v>
      </c>
      <c r="AG216" s="187">
        <v>3</v>
      </c>
      <c r="AH216" s="187">
        <v>4</v>
      </c>
      <c r="AI216" s="188">
        <v>1</v>
      </c>
      <c r="AJ216" s="188" t="s">
        <v>615</v>
      </c>
      <c r="AK216" s="187" t="s">
        <v>1738</v>
      </c>
      <c r="AL216" s="87" t="s">
        <v>615</v>
      </c>
      <c r="AM216" s="189"/>
      <c r="AN216" s="187" t="s">
        <v>615</v>
      </c>
      <c r="AO216" s="13" t="s">
        <v>615</v>
      </c>
      <c r="AP216" s="187">
        <v>0</v>
      </c>
      <c r="AQ216" s="187">
        <v>0</v>
      </c>
      <c r="AR216" s="190">
        <v>0</v>
      </c>
      <c r="AS216" s="190">
        <v>0</v>
      </c>
      <c r="AT216" s="190">
        <v>0</v>
      </c>
      <c r="AU216" s="187">
        <v>0</v>
      </c>
      <c r="AV216" s="187">
        <v>0</v>
      </c>
      <c r="AW216" s="191"/>
      <c r="AX216" s="192"/>
      <c r="AY216" s="193">
        <v>42666</v>
      </c>
      <c r="AZ216" s="193"/>
      <c r="BA216" s="193"/>
      <c r="BB216" s="194"/>
      <c r="BC216" s="194"/>
      <c r="BD216" s="195"/>
      <c r="BE216" s="195" t="s">
        <v>532</v>
      </c>
      <c r="BF216" s="195"/>
      <c r="BG216" s="195">
        <v>144</v>
      </c>
      <c r="BH216" s="196" t="s">
        <v>547</v>
      </c>
      <c r="BI216" s="197">
        <v>1</v>
      </c>
      <c r="BJ216" s="198"/>
      <c r="BK216" s="199">
        <v>0</v>
      </c>
      <c r="BL216" s="13">
        <v>0</v>
      </c>
      <c r="BM216" s="13">
        <v>0</v>
      </c>
      <c r="BN216" s="13" t="s">
        <v>616</v>
      </c>
      <c r="BO216" s="13" t="s">
        <v>616</v>
      </c>
      <c r="BP216" s="200">
        <v>0</v>
      </c>
      <c r="BQ216" s="201"/>
      <c r="BR216" s="202"/>
      <c r="BS216" s="187">
        <v>1000000000</v>
      </c>
      <c r="BT216" s="203">
        <v>0</v>
      </c>
      <c r="BU216" s="204">
        <v>0</v>
      </c>
      <c r="BV216" s="203">
        <v>0</v>
      </c>
      <c r="BW216" s="205">
        <v>0</v>
      </c>
      <c r="BX216" s="205">
        <v>0</v>
      </c>
      <c r="BY216" s="205">
        <v>0</v>
      </c>
      <c r="BZ216" s="203">
        <v>0</v>
      </c>
      <c r="CA216" s="203">
        <v>0</v>
      </c>
      <c r="CB216" s="203">
        <v>0</v>
      </c>
      <c r="CC216" s="204">
        <v>0</v>
      </c>
      <c r="CD216" s="203">
        <v>0</v>
      </c>
      <c r="CE216" s="203">
        <v>0</v>
      </c>
      <c r="CF216" s="13">
        <v>0</v>
      </c>
      <c r="CG216" s="206">
        <v>0</v>
      </c>
      <c r="CH216" s="207">
        <v>0</v>
      </c>
      <c r="CI216" s="201"/>
      <c r="CJ216" s="208"/>
      <c r="CK216" s="209" t="s">
        <v>615</v>
      </c>
      <c r="CL216" s="210" t="s">
        <v>615</v>
      </c>
      <c r="CM216" s="207">
        <v>0</v>
      </c>
      <c r="CN216" s="207">
        <v>0</v>
      </c>
      <c r="CO216" s="204">
        <v>0</v>
      </c>
      <c r="CP216" s="204">
        <v>0</v>
      </c>
      <c r="CQ216" s="211"/>
      <c r="CR216" s="204">
        <v>1</v>
      </c>
      <c r="CS216" s="212">
        <v>42558</v>
      </c>
      <c r="CT216" s="212">
        <v>42780</v>
      </c>
      <c r="CU216" s="213">
        <v>42780</v>
      </c>
      <c r="CV216" s="214">
        <v>42829</v>
      </c>
      <c r="CW216" s="214" t="s">
        <v>615</v>
      </c>
      <c r="CX216" s="214" t="s">
        <v>615</v>
      </c>
      <c r="CY216" s="204">
        <v>1</v>
      </c>
      <c r="CZ216" s="204">
        <v>0.97959183673469385</v>
      </c>
      <c r="DA216" s="203">
        <v>0</v>
      </c>
      <c r="DB216" s="204">
        <v>0.97959183673469385</v>
      </c>
      <c r="DC216" s="204">
        <v>0</v>
      </c>
      <c r="DD216" s="204">
        <v>0</v>
      </c>
      <c r="DE216" s="204">
        <v>0</v>
      </c>
      <c r="DF216" s="215">
        <v>0</v>
      </c>
      <c r="DG216" s="13" t="s">
        <v>615</v>
      </c>
      <c r="DH216" s="86">
        <v>214</v>
      </c>
      <c r="DI216" s="86"/>
      <c r="DJ216" s="86">
        <v>218</v>
      </c>
      <c r="DK216" s="86" t="s">
        <v>1677</v>
      </c>
      <c r="DL216" s="86" t="e">
        <v>#N/A</v>
      </c>
      <c r="DM216" s="86" t="e">
        <v>#N/A</v>
      </c>
      <c r="DN216" s="86" t="e">
        <v>#N/A</v>
      </c>
      <c r="DO216" s="86">
        <v>383</v>
      </c>
      <c r="DP216" s="86">
        <v>5</v>
      </c>
      <c r="DQ216" s="86">
        <v>49</v>
      </c>
      <c r="DR216" s="152">
        <v>0</v>
      </c>
      <c r="DS216" s="152">
        <v>0</v>
      </c>
      <c r="DT216" s="152">
        <v>0</v>
      </c>
      <c r="DU216" s="152">
        <v>0</v>
      </c>
      <c r="DV216" s="152">
        <v>0</v>
      </c>
      <c r="DW216" s="152">
        <v>0</v>
      </c>
      <c r="DX216" s="152">
        <v>0</v>
      </c>
      <c r="DY216" s="152">
        <v>0</v>
      </c>
      <c r="DZ216" s="152">
        <v>0</v>
      </c>
      <c r="EA216" s="152">
        <v>0</v>
      </c>
      <c r="EB216" s="152">
        <v>0</v>
      </c>
      <c r="EC216" s="152">
        <v>0</v>
      </c>
      <c r="ED216" s="152">
        <v>0</v>
      </c>
      <c r="EE216" s="152">
        <v>0</v>
      </c>
      <c r="EF216" s="152">
        <v>0</v>
      </c>
      <c r="EG216" s="152">
        <v>0</v>
      </c>
      <c r="EH216" s="152">
        <v>0</v>
      </c>
      <c r="EI216" s="152">
        <v>0</v>
      </c>
      <c r="EJ216" s="152">
        <v>0</v>
      </c>
      <c r="EK216" s="152">
        <v>0</v>
      </c>
      <c r="EL216" s="152">
        <v>0</v>
      </c>
      <c r="EM216" s="152">
        <v>0</v>
      </c>
      <c r="EN216" s="152">
        <v>0</v>
      </c>
      <c r="EO216" s="152">
        <v>0</v>
      </c>
      <c r="EP216" s="152">
        <v>0</v>
      </c>
      <c r="EQ216" s="152">
        <v>0</v>
      </c>
      <c r="ER216" s="152">
        <v>0</v>
      </c>
      <c r="ES216" s="152">
        <v>0</v>
      </c>
      <c r="ET216" s="152">
        <v>0</v>
      </c>
      <c r="EU216" s="152">
        <v>0</v>
      </c>
      <c r="EV216" s="152">
        <v>0</v>
      </c>
      <c r="EW216" s="152">
        <v>0</v>
      </c>
      <c r="EX216" s="152">
        <v>0</v>
      </c>
      <c r="EY216" s="152">
        <v>0</v>
      </c>
      <c r="EZ216" s="152">
        <v>0</v>
      </c>
      <c r="FA216" s="152">
        <v>0</v>
      </c>
      <c r="FB216" s="152">
        <v>0</v>
      </c>
      <c r="FC216" s="152">
        <v>0</v>
      </c>
      <c r="FD216" s="152">
        <v>0</v>
      </c>
      <c r="FE216" s="152">
        <v>0</v>
      </c>
      <c r="FF216" s="152">
        <v>0</v>
      </c>
      <c r="FG216" s="152">
        <v>0</v>
      </c>
      <c r="FH216" s="152">
        <v>0</v>
      </c>
      <c r="FI216" s="152">
        <v>0</v>
      </c>
      <c r="FJ216" s="152">
        <v>0</v>
      </c>
      <c r="FK216" s="152">
        <v>0</v>
      </c>
      <c r="FL216" s="152">
        <v>0</v>
      </c>
      <c r="FM216" s="152">
        <v>0</v>
      </c>
      <c r="FN216" s="152">
        <v>0</v>
      </c>
      <c r="FO216" s="152">
        <v>0</v>
      </c>
      <c r="FP216" s="152">
        <v>0</v>
      </c>
      <c r="FQ216" s="152">
        <v>0</v>
      </c>
      <c r="FR216" s="152">
        <v>0</v>
      </c>
      <c r="FS216" s="152">
        <v>0</v>
      </c>
      <c r="FT216" s="152">
        <v>0</v>
      </c>
      <c r="FU216" s="152">
        <v>0</v>
      </c>
      <c r="FV216" s="152">
        <v>0</v>
      </c>
      <c r="FW216" s="152">
        <v>0</v>
      </c>
      <c r="FX216" s="152">
        <v>0</v>
      </c>
      <c r="FY216" s="152">
        <v>0</v>
      </c>
      <c r="FZ216" s="152">
        <v>0</v>
      </c>
      <c r="GA216" s="152">
        <v>0</v>
      </c>
      <c r="GB216" s="152">
        <v>0</v>
      </c>
      <c r="GC216" s="152">
        <v>0</v>
      </c>
      <c r="GD216" s="152">
        <v>0</v>
      </c>
      <c r="GE216" s="152">
        <v>0</v>
      </c>
      <c r="GF216" s="152">
        <v>0</v>
      </c>
      <c r="GG216" s="152">
        <v>0</v>
      </c>
      <c r="GH216" s="152">
        <v>0</v>
      </c>
      <c r="GI216" s="152">
        <v>0</v>
      </c>
      <c r="GJ216" s="152">
        <v>0</v>
      </c>
      <c r="GK216" s="152">
        <v>0</v>
      </c>
      <c r="GL216" s="152">
        <v>0</v>
      </c>
      <c r="GM216" s="152">
        <v>0</v>
      </c>
      <c r="GN216" s="152">
        <v>0</v>
      </c>
      <c r="GO216" s="152">
        <v>0</v>
      </c>
      <c r="GP216" s="152">
        <v>0</v>
      </c>
      <c r="GQ216" s="152">
        <v>0</v>
      </c>
      <c r="GR216" s="152">
        <v>0</v>
      </c>
      <c r="GS216" s="152">
        <v>0</v>
      </c>
      <c r="GT216" s="152">
        <v>0</v>
      </c>
      <c r="GU216" s="152">
        <v>0</v>
      </c>
      <c r="GV216" s="152">
        <v>0</v>
      </c>
      <c r="GW216" s="152">
        <v>0</v>
      </c>
      <c r="GX216" s="152">
        <v>0</v>
      </c>
      <c r="GY216" s="152">
        <v>0</v>
      </c>
      <c r="GZ216" s="152">
        <v>0</v>
      </c>
      <c r="HA216" s="152">
        <v>0</v>
      </c>
      <c r="HB216" s="152">
        <v>0</v>
      </c>
      <c r="HC216" s="152">
        <v>0</v>
      </c>
      <c r="HD216" s="152">
        <v>0</v>
      </c>
      <c r="HE216" s="152">
        <v>0</v>
      </c>
      <c r="HF216" s="152">
        <v>0</v>
      </c>
      <c r="HG216" s="152">
        <v>0</v>
      </c>
      <c r="HH216" s="152">
        <v>0</v>
      </c>
      <c r="HI216" s="152">
        <v>0</v>
      </c>
      <c r="HJ216" s="152">
        <v>0</v>
      </c>
      <c r="HK216" s="152">
        <v>0</v>
      </c>
      <c r="HL216" s="152">
        <v>0</v>
      </c>
      <c r="HM216" s="152">
        <v>0</v>
      </c>
      <c r="HN216" s="152">
        <v>0</v>
      </c>
      <c r="HO216" s="152">
        <v>0</v>
      </c>
      <c r="HP216" s="152">
        <v>0</v>
      </c>
      <c r="HQ216" s="152">
        <v>0</v>
      </c>
      <c r="HR216" s="152">
        <v>0</v>
      </c>
      <c r="HS216" s="152">
        <v>0</v>
      </c>
      <c r="HT216" s="152">
        <v>0</v>
      </c>
      <c r="HU216" s="216"/>
      <c r="HV216" s="152">
        <v>0</v>
      </c>
      <c r="HW216" s="216"/>
      <c r="HX216" s="216"/>
      <c r="HY216" s="216"/>
      <c r="HZ216" s="216"/>
      <c r="IA216" s="216"/>
      <c r="IB216" s="216"/>
      <c r="IC216" s="216"/>
      <c r="ID216" s="216"/>
      <c r="IE216" s="216"/>
      <c r="IF216" s="216"/>
      <c r="IG216" s="216"/>
      <c r="IH216" s="216"/>
      <c r="II216" s="216"/>
      <c r="IJ216" s="216"/>
      <c r="IK216" s="216"/>
      <c r="IL216" s="216"/>
      <c r="IM216" s="216"/>
      <c r="IN216" s="216"/>
      <c r="IO216" s="216"/>
      <c r="IP216" s="216"/>
      <c r="IQ216" s="216"/>
      <c r="IR216" s="216"/>
      <c r="IS216" s="216"/>
      <c r="IT216" s="216"/>
      <c r="IU216" s="216"/>
      <c r="IV216" s="216"/>
      <c r="IW216" s="216"/>
      <c r="IX216" s="216"/>
      <c r="IY216" s="216"/>
      <c r="IZ216" s="216"/>
      <c r="JA216" s="216"/>
      <c r="JB216" s="216"/>
      <c r="JC216" s="216"/>
      <c r="JD216" s="216"/>
      <c r="JE216" s="216"/>
      <c r="JF216" s="216"/>
      <c r="JG216" s="216"/>
      <c r="JH216" s="216"/>
      <c r="JI216" s="216"/>
      <c r="JJ216" s="216"/>
      <c r="JK216" s="216"/>
      <c r="JL216" s="216"/>
      <c r="JM216" s="216"/>
      <c r="JN216" s="216"/>
      <c r="JO216" s="216"/>
      <c r="JP216" s="216"/>
      <c r="JQ216" s="216"/>
      <c r="JR216" s="216"/>
      <c r="JS216" s="216"/>
      <c r="JT216" s="216"/>
      <c r="JU216" s="216"/>
      <c r="JV216" s="216"/>
      <c r="JW216" s="216"/>
      <c r="JX216" s="216"/>
      <c r="JY216" s="216"/>
      <c r="JZ216" s="216"/>
      <c r="KA216" s="216"/>
      <c r="KB216" s="216"/>
      <c r="KC216" s="216"/>
      <c r="KD216" s="216"/>
      <c r="KE216" s="216"/>
      <c r="KF216" s="216"/>
      <c r="KG216" s="216"/>
      <c r="KH216" s="216"/>
      <c r="KI216" s="216"/>
      <c r="KJ216" s="216"/>
      <c r="KK216" s="216"/>
      <c r="KL216" s="216"/>
      <c r="KM216" s="216"/>
      <c r="KN216" s="216"/>
      <c r="KO216" s="216"/>
      <c r="KP216" s="216"/>
      <c r="KQ216" s="216"/>
      <c r="KR216" s="216"/>
      <c r="KS216" s="216"/>
      <c r="KT216" s="216"/>
      <c r="KU216" s="216"/>
      <c r="KV216" s="216"/>
      <c r="KW216" s="216"/>
      <c r="KX216" s="216"/>
      <c r="KY216" s="216"/>
      <c r="KZ216" s="216"/>
      <c r="LA216" s="216"/>
      <c r="LB216" s="216"/>
      <c r="LC216" s="216"/>
      <c r="LD216" s="216"/>
      <c r="LE216" s="216"/>
    </row>
    <row r="217" spans="1:317" x14ac:dyDescent="0.2">
      <c r="A217" s="179" t="s">
        <v>849</v>
      </c>
      <c r="B217" s="180" t="s">
        <v>1116</v>
      </c>
      <c r="C217" s="181"/>
      <c r="D217" s="182">
        <v>0</v>
      </c>
      <c r="E217" s="182">
        <v>0</v>
      </c>
      <c r="F217" s="183" t="s">
        <v>1315</v>
      </c>
      <c r="G217" s="183">
        <v>0</v>
      </c>
      <c r="H217" s="183">
        <v>0</v>
      </c>
      <c r="I217" s="183">
        <v>0</v>
      </c>
      <c r="J217" s="183">
        <v>0</v>
      </c>
      <c r="K217" s="183" t="s">
        <v>1368</v>
      </c>
      <c r="L217" s="183">
        <v>0</v>
      </c>
      <c r="M217" s="183">
        <v>0</v>
      </c>
      <c r="N217" s="183" t="s">
        <v>881</v>
      </c>
      <c r="O217" s="183">
        <v>0</v>
      </c>
      <c r="P217" s="183">
        <v>0</v>
      </c>
      <c r="Q217" s="183"/>
      <c r="R217" s="183"/>
      <c r="S217" s="183"/>
      <c r="T217" s="183"/>
      <c r="U217" s="183"/>
      <c r="V217" s="183">
        <v>0</v>
      </c>
      <c r="W217" s="183">
        <v>0</v>
      </c>
      <c r="X217" s="183">
        <v>0</v>
      </c>
      <c r="Y217" s="184">
        <v>0</v>
      </c>
      <c r="Z217" s="184">
        <v>0</v>
      </c>
      <c r="AA217" s="184">
        <v>0</v>
      </c>
      <c r="AB217" s="185" t="s">
        <v>615</v>
      </c>
      <c r="AC217" s="185" t="s">
        <v>615</v>
      </c>
      <c r="AD217" s="186" t="s">
        <v>881</v>
      </c>
      <c r="AE217" s="186" t="s">
        <v>858</v>
      </c>
      <c r="AF217" s="187">
        <v>7</v>
      </c>
      <c r="AG217" s="187">
        <v>3</v>
      </c>
      <c r="AH217" s="187">
        <v>4</v>
      </c>
      <c r="AI217" s="188">
        <v>1</v>
      </c>
      <c r="AJ217" s="188" t="s">
        <v>615</v>
      </c>
      <c r="AK217" s="187" t="s">
        <v>1738</v>
      </c>
      <c r="AL217" s="87" t="s">
        <v>615</v>
      </c>
      <c r="AM217" s="189"/>
      <c r="AN217" s="187" t="s">
        <v>615</v>
      </c>
      <c r="AO217" s="13" t="s">
        <v>615</v>
      </c>
      <c r="AP217" s="187">
        <v>0</v>
      </c>
      <c r="AQ217" s="187">
        <v>0</v>
      </c>
      <c r="AR217" s="190">
        <v>0</v>
      </c>
      <c r="AS217" s="190">
        <v>0</v>
      </c>
      <c r="AT217" s="190">
        <v>0</v>
      </c>
      <c r="AU217" s="187">
        <v>0</v>
      </c>
      <c r="AV217" s="187">
        <v>0</v>
      </c>
      <c r="AW217" s="191"/>
      <c r="AX217" s="192"/>
      <c r="AY217" s="193">
        <v>42666</v>
      </c>
      <c r="AZ217" s="193"/>
      <c r="BA217" s="193"/>
      <c r="BB217" s="194"/>
      <c r="BC217" s="194"/>
      <c r="BD217" s="195"/>
      <c r="BE217" s="195" t="s">
        <v>532</v>
      </c>
      <c r="BF217" s="195"/>
      <c r="BG217" s="195">
        <v>48</v>
      </c>
      <c r="BH217" s="196" t="s">
        <v>547</v>
      </c>
      <c r="BI217" s="197">
        <v>1</v>
      </c>
      <c r="BJ217" s="198"/>
      <c r="BK217" s="199">
        <v>0</v>
      </c>
      <c r="BL217" s="13">
        <v>0</v>
      </c>
      <c r="BM217" s="13">
        <v>0</v>
      </c>
      <c r="BN217" s="13" t="s">
        <v>616</v>
      </c>
      <c r="BO217" s="13" t="s">
        <v>616</v>
      </c>
      <c r="BP217" s="200">
        <v>0</v>
      </c>
      <c r="BQ217" s="201"/>
      <c r="BR217" s="202"/>
      <c r="BS217" s="187">
        <v>1000000000</v>
      </c>
      <c r="BT217" s="203">
        <v>0</v>
      </c>
      <c r="BU217" s="204">
        <v>0</v>
      </c>
      <c r="BV217" s="203">
        <v>0</v>
      </c>
      <c r="BW217" s="205">
        <v>0</v>
      </c>
      <c r="BX217" s="205">
        <v>0</v>
      </c>
      <c r="BY217" s="205">
        <v>0</v>
      </c>
      <c r="BZ217" s="203">
        <v>0</v>
      </c>
      <c r="CA217" s="203">
        <v>0</v>
      </c>
      <c r="CB217" s="203">
        <v>0</v>
      </c>
      <c r="CC217" s="204">
        <v>0</v>
      </c>
      <c r="CD217" s="203">
        <v>0</v>
      </c>
      <c r="CE217" s="203">
        <v>0</v>
      </c>
      <c r="CF217" s="13">
        <v>0</v>
      </c>
      <c r="CG217" s="206">
        <v>0</v>
      </c>
      <c r="CH217" s="207">
        <v>0</v>
      </c>
      <c r="CI217" s="201"/>
      <c r="CJ217" s="208"/>
      <c r="CK217" s="209" t="s">
        <v>615</v>
      </c>
      <c r="CL217" s="210" t="s">
        <v>615</v>
      </c>
      <c r="CM217" s="207">
        <v>0</v>
      </c>
      <c r="CN217" s="207">
        <v>0</v>
      </c>
      <c r="CO217" s="204">
        <v>0</v>
      </c>
      <c r="CP217" s="204">
        <v>0</v>
      </c>
      <c r="CQ217" s="211"/>
      <c r="CR217" s="204">
        <v>1</v>
      </c>
      <c r="CS217" s="212">
        <v>42558</v>
      </c>
      <c r="CT217" s="212">
        <v>42780</v>
      </c>
      <c r="CU217" s="213">
        <v>42780</v>
      </c>
      <c r="CV217" s="214">
        <v>42829</v>
      </c>
      <c r="CW217" s="214" t="s">
        <v>615</v>
      </c>
      <c r="CX217" s="214" t="s">
        <v>615</v>
      </c>
      <c r="CY217" s="204">
        <v>1</v>
      </c>
      <c r="CZ217" s="204">
        <v>0.97959183673469385</v>
      </c>
      <c r="DA217" s="203">
        <v>0</v>
      </c>
      <c r="DB217" s="204">
        <v>0.97959183673469385</v>
      </c>
      <c r="DC217" s="204">
        <v>0</v>
      </c>
      <c r="DD217" s="204">
        <v>0</v>
      </c>
      <c r="DE217" s="204">
        <v>0</v>
      </c>
      <c r="DF217" s="215">
        <v>0</v>
      </c>
      <c r="DG217" s="13" t="s">
        <v>615</v>
      </c>
      <c r="DH217" s="86">
        <v>215</v>
      </c>
      <c r="DI217" s="86"/>
      <c r="DJ217" s="86">
        <v>219</v>
      </c>
      <c r="DK217" s="86" t="s">
        <v>1678</v>
      </c>
      <c r="DL217" s="86" t="e">
        <v>#N/A</v>
      </c>
      <c r="DM217" s="86" t="e">
        <v>#N/A</v>
      </c>
      <c r="DN217" s="86" t="e">
        <v>#N/A</v>
      </c>
      <c r="DO217" s="86">
        <v>384</v>
      </c>
      <c r="DP217" s="86">
        <v>5</v>
      </c>
      <c r="DQ217" s="86">
        <v>49</v>
      </c>
      <c r="DR217" s="146">
        <v>0</v>
      </c>
      <c r="DS217" s="146">
        <v>0</v>
      </c>
      <c r="DT217" s="146">
        <v>0</v>
      </c>
      <c r="DU217" s="146">
        <v>0</v>
      </c>
      <c r="DV217" s="146">
        <v>0</v>
      </c>
      <c r="DW217" s="146">
        <v>0</v>
      </c>
      <c r="DX217" s="146">
        <v>0</v>
      </c>
      <c r="DY217" s="146">
        <v>0</v>
      </c>
      <c r="DZ217" s="146">
        <v>0</v>
      </c>
      <c r="EA217" s="146">
        <v>0</v>
      </c>
      <c r="EB217" s="146">
        <v>0</v>
      </c>
      <c r="EC217" s="146">
        <v>0</v>
      </c>
      <c r="ED217" s="146">
        <v>0</v>
      </c>
      <c r="EE217" s="146">
        <v>0</v>
      </c>
      <c r="EF217" s="146">
        <v>0</v>
      </c>
      <c r="EG217" s="146">
        <v>0</v>
      </c>
      <c r="EH217" s="146">
        <v>0</v>
      </c>
      <c r="EI217" s="146">
        <v>0</v>
      </c>
      <c r="EJ217" s="146">
        <v>0</v>
      </c>
      <c r="EK217" s="146">
        <v>0</v>
      </c>
      <c r="EL217" s="146">
        <v>0</v>
      </c>
      <c r="EM217" s="146">
        <v>0</v>
      </c>
      <c r="EN217" s="146">
        <v>0</v>
      </c>
      <c r="EO217" s="146">
        <v>0</v>
      </c>
      <c r="EP217" s="146">
        <v>0</v>
      </c>
      <c r="EQ217" s="146">
        <v>0</v>
      </c>
      <c r="ER217" s="146">
        <v>0</v>
      </c>
      <c r="ES217" s="146">
        <v>0</v>
      </c>
      <c r="ET217" s="146">
        <v>0</v>
      </c>
      <c r="EU217" s="146">
        <v>0</v>
      </c>
      <c r="EV217" s="146">
        <v>0</v>
      </c>
      <c r="EW217" s="146">
        <v>0</v>
      </c>
      <c r="EX217" s="146">
        <v>0</v>
      </c>
      <c r="EY217" s="146">
        <v>0</v>
      </c>
      <c r="EZ217" s="146">
        <v>0</v>
      </c>
      <c r="FA217" s="146">
        <v>0</v>
      </c>
      <c r="FB217" s="146">
        <v>0</v>
      </c>
      <c r="FC217" s="146">
        <v>0</v>
      </c>
      <c r="FD217" s="146">
        <v>0</v>
      </c>
      <c r="FE217" s="146">
        <v>0</v>
      </c>
      <c r="FF217" s="146">
        <v>0</v>
      </c>
      <c r="FG217" s="146">
        <v>0</v>
      </c>
      <c r="FH217" s="146">
        <v>0</v>
      </c>
      <c r="FI217" s="146">
        <v>0</v>
      </c>
      <c r="FJ217" s="146">
        <v>0</v>
      </c>
      <c r="FK217" s="146">
        <v>0</v>
      </c>
      <c r="FL217" s="146">
        <v>0</v>
      </c>
      <c r="FM217" s="146">
        <v>0</v>
      </c>
      <c r="FN217" s="146">
        <v>0</v>
      </c>
      <c r="FO217" s="146">
        <v>0</v>
      </c>
      <c r="FP217" s="146">
        <v>0</v>
      </c>
      <c r="FQ217" s="146">
        <v>0</v>
      </c>
      <c r="FR217" s="146">
        <v>0</v>
      </c>
      <c r="FS217" s="146">
        <v>0</v>
      </c>
      <c r="FT217" s="146">
        <v>0</v>
      </c>
      <c r="FU217" s="146">
        <v>0</v>
      </c>
      <c r="FV217" s="146">
        <v>0</v>
      </c>
      <c r="FW217" s="146">
        <v>0</v>
      </c>
      <c r="FX217" s="146">
        <v>0</v>
      </c>
      <c r="FY217" s="146">
        <v>0</v>
      </c>
      <c r="FZ217" s="146">
        <v>0</v>
      </c>
      <c r="GA217" s="146">
        <v>0</v>
      </c>
      <c r="GB217" s="146">
        <v>0</v>
      </c>
      <c r="GC217" s="146">
        <v>0</v>
      </c>
      <c r="GD217" s="146">
        <v>0</v>
      </c>
      <c r="GE217" s="146">
        <v>0</v>
      </c>
      <c r="GF217" s="146">
        <v>0</v>
      </c>
      <c r="GG217" s="146">
        <v>0</v>
      </c>
      <c r="GH217" s="146">
        <v>0</v>
      </c>
      <c r="GI217" s="146">
        <v>0</v>
      </c>
      <c r="GJ217" s="146">
        <v>0</v>
      </c>
      <c r="GK217" s="146">
        <v>0</v>
      </c>
      <c r="GL217" s="146">
        <v>0</v>
      </c>
      <c r="GM217" s="146">
        <v>0</v>
      </c>
      <c r="GN217" s="146">
        <v>0</v>
      </c>
      <c r="GO217" s="146">
        <v>0</v>
      </c>
      <c r="GP217" s="146">
        <v>0</v>
      </c>
      <c r="GQ217" s="146">
        <v>0</v>
      </c>
      <c r="GR217" s="146">
        <v>0</v>
      </c>
      <c r="GS217" s="146">
        <v>0</v>
      </c>
      <c r="GT217" s="146">
        <v>0</v>
      </c>
      <c r="GU217" s="146">
        <v>0</v>
      </c>
      <c r="GV217" s="146">
        <v>0</v>
      </c>
      <c r="GW217" s="146">
        <v>0</v>
      </c>
      <c r="GX217" s="146">
        <v>0</v>
      </c>
      <c r="GY217" s="146">
        <v>0</v>
      </c>
      <c r="GZ217" s="146">
        <v>0</v>
      </c>
      <c r="HA217" s="146">
        <v>0</v>
      </c>
      <c r="HB217" s="146">
        <v>0</v>
      </c>
      <c r="HC217" s="146">
        <v>0</v>
      </c>
      <c r="HD217" s="146">
        <v>0</v>
      </c>
      <c r="HE217" s="146">
        <v>0</v>
      </c>
      <c r="HF217" s="146">
        <v>0</v>
      </c>
      <c r="HG217" s="146">
        <v>0</v>
      </c>
      <c r="HH217" s="146">
        <v>0</v>
      </c>
      <c r="HI217" s="146">
        <v>0</v>
      </c>
      <c r="HJ217" s="146">
        <v>0</v>
      </c>
      <c r="HK217" s="146">
        <v>0</v>
      </c>
      <c r="HL217" s="146">
        <v>0</v>
      </c>
      <c r="HM217" s="146">
        <v>0</v>
      </c>
      <c r="HN217" s="146">
        <v>0</v>
      </c>
      <c r="HO217" s="146">
        <v>0</v>
      </c>
      <c r="HP217" s="146">
        <v>0</v>
      </c>
      <c r="HQ217" s="146">
        <v>0</v>
      </c>
      <c r="HR217" s="146">
        <v>0</v>
      </c>
      <c r="HS217" s="146">
        <v>0</v>
      </c>
      <c r="HT217" s="146">
        <v>0</v>
      </c>
      <c r="HU217" s="151"/>
      <c r="HV217" s="146">
        <v>0</v>
      </c>
      <c r="HW217" s="151"/>
      <c r="HX217" s="151"/>
      <c r="HY217" s="151"/>
      <c r="HZ217" s="151"/>
      <c r="IA217" s="151"/>
      <c r="IB217" s="151"/>
      <c r="IC217" s="151"/>
      <c r="ID217" s="151"/>
      <c r="IE217" s="151"/>
      <c r="IF217" s="151"/>
      <c r="IG217" s="151"/>
      <c r="IH217" s="151"/>
      <c r="II217" s="151"/>
      <c r="IJ217" s="151"/>
      <c r="IK217" s="151"/>
      <c r="IL217" s="151"/>
      <c r="IM217" s="151"/>
      <c r="IN217" s="151"/>
      <c r="IO217" s="151"/>
      <c r="IP217" s="151"/>
      <c r="IQ217" s="151"/>
      <c r="IR217" s="151"/>
      <c r="IS217" s="151"/>
      <c r="IT217" s="151"/>
      <c r="IU217" s="151"/>
      <c r="IV217" s="151"/>
      <c r="IW217" s="151"/>
      <c r="IX217" s="151"/>
      <c r="IY217" s="151"/>
      <c r="IZ217" s="151"/>
      <c r="JA217" s="151"/>
      <c r="JB217" s="151"/>
      <c r="JC217" s="151"/>
      <c r="JD217" s="151"/>
      <c r="JE217" s="151"/>
      <c r="JF217" s="151"/>
      <c r="JG217" s="151"/>
      <c r="JH217" s="151"/>
      <c r="JI217" s="151"/>
      <c r="JJ217" s="151"/>
      <c r="JK217" s="151"/>
      <c r="JL217" s="151"/>
      <c r="JM217" s="151"/>
      <c r="JN217" s="151"/>
      <c r="JO217" s="151"/>
      <c r="JP217" s="151"/>
      <c r="JQ217" s="151"/>
      <c r="JR217" s="151"/>
      <c r="JS217" s="151"/>
      <c r="JT217" s="151"/>
      <c r="JU217" s="151"/>
      <c r="JV217" s="151"/>
      <c r="JW217" s="151"/>
      <c r="JX217" s="151"/>
      <c r="JY217" s="151"/>
      <c r="JZ217" s="151"/>
      <c r="KA217" s="151"/>
      <c r="KB217" s="151"/>
      <c r="KC217" s="151"/>
      <c r="KD217" s="151"/>
      <c r="KE217" s="151"/>
      <c r="KF217" s="151"/>
      <c r="KG217" s="151"/>
      <c r="KH217" s="151"/>
      <c r="KI217" s="151"/>
      <c r="KJ217" s="151"/>
      <c r="KK217" s="151"/>
      <c r="KL217" s="151"/>
      <c r="KM217" s="151"/>
      <c r="KN217" s="151"/>
      <c r="KO217" s="151"/>
      <c r="KP217" s="151"/>
      <c r="KQ217" s="151"/>
      <c r="KR217" s="151"/>
      <c r="KS217" s="151"/>
      <c r="KT217" s="151"/>
      <c r="KU217" s="151"/>
      <c r="KV217" s="151"/>
      <c r="KW217" s="151"/>
      <c r="KX217" s="151"/>
      <c r="KY217" s="151"/>
      <c r="KZ217" s="151"/>
      <c r="LA217" s="151"/>
      <c r="LB217" s="151"/>
      <c r="LC217" s="151"/>
      <c r="LD217" s="151"/>
      <c r="LE217" s="151"/>
    </row>
    <row r="218" spans="1:317" x14ac:dyDescent="0.2">
      <c r="A218" s="179" t="s">
        <v>849</v>
      </c>
      <c r="B218" s="180" t="s">
        <v>1117</v>
      </c>
      <c r="C218" s="181"/>
      <c r="D218" s="182">
        <v>0</v>
      </c>
      <c r="E218" s="182">
        <v>0</v>
      </c>
      <c r="F218" s="183" t="s">
        <v>1316</v>
      </c>
      <c r="G218" s="183">
        <v>0</v>
      </c>
      <c r="H218" s="183">
        <v>0</v>
      </c>
      <c r="I218" s="183">
        <v>0</v>
      </c>
      <c r="J218" s="183">
        <v>0</v>
      </c>
      <c r="K218" s="183" t="s">
        <v>1368</v>
      </c>
      <c r="L218" s="183">
        <v>0</v>
      </c>
      <c r="M218" s="183">
        <v>0</v>
      </c>
      <c r="N218" s="183" t="s">
        <v>881</v>
      </c>
      <c r="O218" s="183">
        <v>0</v>
      </c>
      <c r="P218" s="183">
        <v>0</v>
      </c>
      <c r="Q218" s="183"/>
      <c r="R218" s="183"/>
      <c r="S218" s="183"/>
      <c r="T218" s="183"/>
      <c r="U218" s="183"/>
      <c r="V218" s="183">
        <v>0</v>
      </c>
      <c r="W218" s="183">
        <v>0</v>
      </c>
      <c r="X218" s="183">
        <v>0</v>
      </c>
      <c r="Y218" s="184">
        <v>0</v>
      </c>
      <c r="Z218" s="184">
        <v>0</v>
      </c>
      <c r="AA218" s="184">
        <v>0</v>
      </c>
      <c r="AB218" s="185" t="s">
        <v>615</v>
      </c>
      <c r="AC218" s="185" t="s">
        <v>615</v>
      </c>
      <c r="AD218" s="186" t="s">
        <v>881</v>
      </c>
      <c r="AE218" s="186" t="s">
        <v>858</v>
      </c>
      <c r="AF218" s="187">
        <v>7</v>
      </c>
      <c r="AG218" s="187">
        <v>3</v>
      </c>
      <c r="AH218" s="187">
        <v>4</v>
      </c>
      <c r="AI218" s="188">
        <v>1</v>
      </c>
      <c r="AJ218" s="188" t="s">
        <v>615</v>
      </c>
      <c r="AK218" s="187" t="s">
        <v>1738</v>
      </c>
      <c r="AL218" s="87" t="s">
        <v>615</v>
      </c>
      <c r="AM218" s="189"/>
      <c r="AN218" s="187" t="s">
        <v>615</v>
      </c>
      <c r="AO218" s="13" t="s">
        <v>615</v>
      </c>
      <c r="AP218" s="187">
        <v>0</v>
      </c>
      <c r="AQ218" s="187">
        <v>0</v>
      </c>
      <c r="AR218" s="190">
        <v>0</v>
      </c>
      <c r="AS218" s="190">
        <v>0</v>
      </c>
      <c r="AT218" s="190">
        <v>0</v>
      </c>
      <c r="AU218" s="187">
        <v>0</v>
      </c>
      <c r="AV218" s="187">
        <v>0</v>
      </c>
      <c r="AW218" s="191"/>
      <c r="AX218" s="192"/>
      <c r="AY218" s="193">
        <v>42666</v>
      </c>
      <c r="AZ218" s="193"/>
      <c r="BA218" s="193"/>
      <c r="BB218" s="194"/>
      <c r="BC218" s="194"/>
      <c r="BD218" s="195"/>
      <c r="BE218" s="195" t="s">
        <v>532</v>
      </c>
      <c r="BF218" s="195"/>
      <c r="BG218" s="195">
        <v>288</v>
      </c>
      <c r="BH218" s="196" t="s">
        <v>547</v>
      </c>
      <c r="BI218" s="197">
        <v>1</v>
      </c>
      <c r="BJ218" s="198"/>
      <c r="BK218" s="199">
        <v>0</v>
      </c>
      <c r="BL218" s="13">
        <v>0</v>
      </c>
      <c r="BM218" s="13">
        <v>0</v>
      </c>
      <c r="BN218" s="13" t="s">
        <v>616</v>
      </c>
      <c r="BO218" s="13" t="s">
        <v>616</v>
      </c>
      <c r="BP218" s="200">
        <v>0</v>
      </c>
      <c r="BQ218" s="201"/>
      <c r="BR218" s="202"/>
      <c r="BS218" s="187">
        <v>1000000000</v>
      </c>
      <c r="BT218" s="203">
        <v>0</v>
      </c>
      <c r="BU218" s="204">
        <v>0</v>
      </c>
      <c r="BV218" s="203">
        <v>0</v>
      </c>
      <c r="BW218" s="205">
        <v>0</v>
      </c>
      <c r="BX218" s="205">
        <v>0</v>
      </c>
      <c r="BY218" s="205">
        <v>0</v>
      </c>
      <c r="BZ218" s="203">
        <v>0</v>
      </c>
      <c r="CA218" s="203">
        <v>0</v>
      </c>
      <c r="CB218" s="203">
        <v>0</v>
      </c>
      <c r="CC218" s="204">
        <v>0</v>
      </c>
      <c r="CD218" s="203">
        <v>0</v>
      </c>
      <c r="CE218" s="203">
        <v>0</v>
      </c>
      <c r="CF218" s="13">
        <v>0</v>
      </c>
      <c r="CG218" s="206">
        <v>0</v>
      </c>
      <c r="CH218" s="207">
        <v>0</v>
      </c>
      <c r="CI218" s="201"/>
      <c r="CJ218" s="208"/>
      <c r="CK218" s="209" t="s">
        <v>615</v>
      </c>
      <c r="CL218" s="210" t="s">
        <v>615</v>
      </c>
      <c r="CM218" s="207">
        <v>0</v>
      </c>
      <c r="CN218" s="207">
        <v>0</v>
      </c>
      <c r="CO218" s="204">
        <v>0</v>
      </c>
      <c r="CP218" s="204">
        <v>0</v>
      </c>
      <c r="CQ218" s="211"/>
      <c r="CR218" s="204">
        <v>1</v>
      </c>
      <c r="CS218" s="212">
        <v>42558</v>
      </c>
      <c r="CT218" s="212">
        <v>42780</v>
      </c>
      <c r="CU218" s="213">
        <v>42780</v>
      </c>
      <c r="CV218" s="214">
        <v>42829</v>
      </c>
      <c r="CW218" s="214" t="s">
        <v>615</v>
      </c>
      <c r="CX218" s="214" t="s">
        <v>615</v>
      </c>
      <c r="CY218" s="204">
        <v>1</v>
      </c>
      <c r="CZ218" s="204">
        <v>0.97959183673469385</v>
      </c>
      <c r="DA218" s="203">
        <v>0</v>
      </c>
      <c r="DB218" s="204">
        <v>0.97959183673469385</v>
      </c>
      <c r="DC218" s="204">
        <v>0</v>
      </c>
      <c r="DD218" s="204">
        <v>0</v>
      </c>
      <c r="DE218" s="204">
        <v>0</v>
      </c>
      <c r="DF218" s="215">
        <v>0</v>
      </c>
      <c r="DG218" s="13" t="s">
        <v>615</v>
      </c>
      <c r="DH218" s="86">
        <v>216</v>
      </c>
      <c r="DI218" s="86"/>
      <c r="DJ218" s="86">
        <v>220</v>
      </c>
      <c r="DK218" s="86" t="s">
        <v>1679</v>
      </c>
      <c r="DL218" s="86" t="e">
        <v>#N/A</v>
      </c>
      <c r="DM218" s="86" t="e">
        <v>#N/A</v>
      </c>
      <c r="DN218" s="86" t="e">
        <v>#N/A</v>
      </c>
      <c r="DO218" s="86">
        <v>385</v>
      </c>
      <c r="DP218" s="86">
        <v>5</v>
      </c>
      <c r="DQ218" s="86">
        <v>49</v>
      </c>
      <c r="DR218" s="152">
        <v>0</v>
      </c>
      <c r="DS218" s="152">
        <v>0</v>
      </c>
      <c r="DT218" s="152">
        <v>0</v>
      </c>
      <c r="DU218" s="152">
        <v>0</v>
      </c>
      <c r="DV218" s="152">
        <v>0</v>
      </c>
      <c r="DW218" s="152">
        <v>0</v>
      </c>
      <c r="DX218" s="152">
        <v>0</v>
      </c>
      <c r="DY218" s="152">
        <v>0</v>
      </c>
      <c r="DZ218" s="152">
        <v>0</v>
      </c>
      <c r="EA218" s="152">
        <v>0</v>
      </c>
      <c r="EB218" s="152">
        <v>0</v>
      </c>
      <c r="EC218" s="152">
        <v>0</v>
      </c>
      <c r="ED218" s="152">
        <v>0</v>
      </c>
      <c r="EE218" s="152">
        <v>0</v>
      </c>
      <c r="EF218" s="152">
        <v>0</v>
      </c>
      <c r="EG218" s="152">
        <v>0</v>
      </c>
      <c r="EH218" s="152">
        <v>0</v>
      </c>
      <c r="EI218" s="152">
        <v>0</v>
      </c>
      <c r="EJ218" s="152">
        <v>0</v>
      </c>
      <c r="EK218" s="152">
        <v>0</v>
      </c>
      <c r="EL218" s="152">
        <v>0</v>
      </c>
      <c r="EM218" s="152">
        <v>0</v>
      </c>
      <c r="EN218" s="152">
        <v>0</v>
      </c>
      <c r="EO218" s="152">
        <v>0</v>
      </c>
      <c r="EP218" s="152">
        <v>0</v>
      </c>
      <c r="EQ218" s="152">
        <v>0</v>
      </c>
      <c r="ER218" s="152">
        <v>0</v>
      </c>
      <c r="ES218" s="152">
        <v>0</v>
      </c>
      <c r="ET218" s="152">
        <v>0</v>
      </c>
      <c r="EU218" s="152">
        <v>0</v>
      </c>
      <c r="EV218" s="152">
        <v>0</v>
      </c>
      <c r="EW218" s="152">
        <v>0</v>
      </c>
      <c r="EX218" s="152">
        <v>0</v>
      </c>
      <c r="EY218" s="152">
        <v>0</v>
      </c>
      <c r="EZ218" s="152">
        <v>0</v>
      </c>
      <c r="FA218" s="152">
        <v>0</v>
      </c>
      <c r="FB218" s="152">
        <v>0</v>
      </c>
      <c r="FC218" s="152">
        <v>0</v>
      </c>
      <c r="FD218" s="152">
        <v>0</v>
      </c>
      <c r="FE218" s="152">
        <v>0</v>
      </c>
      <c r="FF218" s="152">
        <v>0</v>
      </c>
      <c r="FG218" s="152">
        <v>0</v>
      </c>
      <c r="FH218" s="152">
        <v>0</v>
      </c>
      <c r="FI218" s="152">
        <v>0</v>
      </c>
      <c r="FJ218" s="152">
        <v>0</v>
      </c>
      <c r="FK218" s="152">
        <v>0</v>
      </c>
      <c r="FL218" s="152">
        <v>0</v>
      </c>
      <c r="FM218" s="152">
        <v>0</v>
      </c>
      <c r="FN218" s="152">
        <v>0</v>
      </c>
      <c r="FO218" s="152">
        <v>0</v>
      </c>
      <c r="FP218" s="152">
        <v>0</v>
      </c>
      <c r="FQ218" s="152">
        <v>0</v>
      </c>
      <c r="FR218" s="152">
        <v>0</v>
      </c>
      <c r="FS218" s="152">
        <v>0</v>
      </c>
      <c r="FT218" s="152">
        <v>0</v>
      </c>
      <c r="FU218" s="152">
        <v>0</v>
      </c>
      <c r="FV218" s="152">
        <v>0</v>
      </c>
      <c r="FW218" s="152">
        <v>0</v>
      </c>
      <c r="FX218" s="152">
        <v>0</v>
      </c>
      <c r="FY218" s="152">
        <v>0</v>
      </c>
      <c r="FZ218" s="152">
        <v>0</v>
      </c>
      <c r="GA218" s="152">
        <v>0</v>
      </c>
      <c r="GB218" s="152">
        <v>0</v>
      </c>
      <c r="GC218" s="152">
        <v>0</v>
      </c>
      <c r="GD218" s="152">
        <v>0</v>
      </c>
      <c r="GE218" s="152">
        <v>0</v>
      </c>
      <c r="GF218" s="152">
        <v>0</v>
      </c>
      <c r="GG218" s="152">
        <v>0</v>
      </c>
      <c r="GH218" s="152">
        <v>0</v>
      </c>
      <c r="GI218" s="152">
        <v>0</v>
      </c>
      <c r="GJ218" s="152">
        <v>0</v>
      </c>
      <c r="GK218" s="152">
        <v>0</v>
      </c>
      <c r="GL218" s="152">
        <v>0</v>
      </c>
      <c r="GM218" s="152">
        <v>0</v>
      </c>
      <c r="GN218" s="152">
        <v>0</v>
      </c>
      <c r="GO218" s="152">
        <v>0</v>
      </c>
      <c r="GP218" s="152">
        <v>0</v>
      </c>
      <c r="GQ218" s="152">
        <v>0</v>
      </c>
      <c r="GR218" s="152">
        <v>0</v>
      </c>
      <c r="GS218" s="152">
        <v>0</v>
      </c>
      <c r="GT218" s="152">
        <v>0</v>
      </c>
      <c r="GU218" s="152">
        <v>0</v>
      </c>
      <c r="GV218" s="152">
        <v>0</v>
      </c>
      <c r="GW218" s="152">
        <v>0</v>
      </c>
      <c r="GX218" s="152">
        <v>0</v>
      </c>
      <c r="GY218" s="152">
        <v>0</v>
      </c>
      <c r="GZ218" s="152">
        <v>0</v>
      </c>
      <c r="HA218" s="152">
        <v>0</v>
      </c>
      <c r="HB218" s="152">
        <v>0</v>
      </c>
      <c r="HC218" s="152">
        <v>0</v>
      </c>
      <c r="HD218" s="152">
        <v>0</v>
      </c>
      <c r="HE218" s="152">
        <v>0</v>
      </c>
      <c r="HF218" s="152">
        <v>0</v>
      </c>
      <c r="HG218" s="152">
        <v>0</v>
      </c>
      <c r="HH218" s="152">
        <v>0</v>
      </c>
      <c r="HI218" s="152">
        <v>0</v>
      </c>
      <c r="HJ218" s="152">
        <v>0</v>
      </c>
      <c r="HK218" s="152">
        <v>0</v>
      </c>
      <c r="HL218" s="152">
        <v>0</v>
      </c>
      <c r="HM218" s="152">
        <v>0</v>
      </c>
      <c r="HN218" s="152">
        <v>0</v>
      </c>
      <c r="HO218" s="152">
        <v>0</v>
      </c>
      <c r="HP218" s="152">
        <v>0</v>
      </c>
      <c r="HQ218" s="152">
        <v>0</v>
      </c>
      <c r="HR218" s="152">
        <v>0</v>
      </c>
      <c r="HS218" s="152">
        <v>0</v>
      </c>
      <c r="HT218" s="152">
        <v>0</v>
      </c>
      <c r="HU218" s="216"/>
      <c r="HV218" s="152">
        <v>0</v>
      </c>
      <c r="HW218" s="216"/>
      <c r="HX218" s="216"/>
      <c r="HY218" s="216"/>
      <c r="HZ218" s="216"/>
      <c r="IA218" s="216"/>
      <c r="IB218" s="216"/>
      <c r="IC218" s="216"/>
      <c r="ID218" s="216"/>
      <c r="IE218" s="216"/>
      <c r="IF218" s="216"/>
      <c r="IG218" s="216"/>
      <c r="IH218" s="216"/>
      <c r="II218" s="216"/>
      <c r="IJ218" s="216"/>
      <c r="IK218" s="216"/>
      <c r="IL218" s="216"/>
      <c r="IM218" s="216"/>
      <c r="IN218" s="216"/>
      <c r="IO218" s="216"/>
      <c r="IP218" s="216"/>
      <c r="IQ218" s="216"/>
      <c r="IR218" s="216"/>
      <c r="IS218" s="216"/>
      <c r="IT218" s="216"/>
      <c r="IU218" s="216"/>
      <c r="IV218" s="216"/>
      <c r="IW218" s="216"/>
      <c r="IX218" s="216"/>
      <c r="IY218" s="216"/>
      <c r="IZ218" s="216"/>
      <c r="JA218" s="216"/>
      <c r="JB218" s="216"/>
      <c r="JC218" s="216"/>
      <c r="JD218" s="216"/>
      <c r="JE218" s="216"/>
      <c r="JF218" s="216"/>
      <c r="JG218" s="216"/>
      <c r="JH218" s="216"/>
      <c r="JI218" s="216"/>
      <c r="JJ218" s="216"/>
      <c r="JK218" s="216"/>
      <c r="JL218" s="216"/>
      <c r="JM218" s="216"/>
      <c r="JN218" s="216"/>
      <c r="JO218" s="216"/>
      <c r="JP218" s="216"/>
      <c r="JQ218" s="216"/>
      <c r="JR218" s="216"/>
      <c r="JS218" s="216"/>
      <c r="JT218" s="216"/>
      <c r="JU218" s="216"/>
      <c r="JV218" s="216"/>
      <c r="JW218" s="216"/>
      <c r="JX218" s="216"/>
      <c r="JY218" s="216"/>
      <c r="JZ218" s="216"/>
      <c r="KA218" s="216"/>
      <c r="KB218" s="216"/>
      <c r="KC218" s="216"/>
      <c r="KD218" s="216"/>
      <c r="KE218" s="216"/>
      <c r="KF218" s="216"/>
      <c r="KG218" s="216"/>
      <c r="KH218" s="216"/>
      <c r="KI218" s="216"/>
      <c r="KJ218" s="216"/>
      <c r="KK218" s="216"/>
      <c r="KL218" s="216"/>
      <c r="KM218" s="216"/>
      <c r="KN218" s="216"/>
      <c r="KO218" s="216"/>
      <c r="KP218" s="216"/>
      <c r="KQ218" s="216"/>
      <c r="KR218" s="216"/>
      <c r="KS218" s="216"/>
      <c r="KT218" s="216"/>
      <c r="KU218" s="216"/>
      <c r="KV218" s="216"/>
      <c r="KW218" s="216"/>
      <c r="KX218" s="216"/>
      <c r="KY218" s="216"/>
      <c r="KZ218" s="216"/>
      <c r="LA218" s="216"/>
      <c r="LB218" s="216"/>
      <c r="LC218" s="216"/>
      <c r="LD218" s="216"/>
      <c r="LE218" s="216"/>
    </row>
    <row r="219" spans="1:317" x14ac:dyDescent="0.2">
      <c r="A219" s="179" t="s">
        <v>849</v>
      </c>
      <c r="B219" s="180" t="s">
        <v>1118</v>
      </c>
      <c r="C219" s="181"/>
      <c r="D219" s="182">
        <v>0</v>
      </c>
      <c r="E219" s="182">
        <v>0</v>
      </c>
      <c r="F219" s="183" t="s">
        <v>1316</v>
      </c>
      <c r="G219" s="183">
        <v>0</v>
      </c>
      <c r="H219" s="183">
        <v>0</v>
      </c>
      <c r="I219" s="183">
        <v>0</v>
      </c>
      <c r="J219" s="183">
        <v>0</v>
      </c>
      <c r="K219" s="183" t="s">
        <v>1368</v>
      </c>
      <c r="L219" s="183">
        <v>0</v>
      </c>
      <c r="M219" s="183">
        <v>0</v>
      </c>
      <c r="N219" s="183" t="s">
        <v>881</v>
      </c>
      <c r="O219" s="183">
        <v>0</v>
      </c>
      <c r="P219" s="183">
        <v>0</v>
      </c>
      <c r="Q219" s="183"/>
      <c r="R219" s="183"/>
      <c r="S219" s="183"/>
      <c r="T219" s="183"/>
      <c r="U219" s="183"/>
      <c r="V219" s="183">
        <v>0</v>
      </c>
      <c r="W219" s="183">
        <v>0</v>
      </c>
      <c r="X219" s="183">
        <v>0</v>
      </c>
      <c r="Y219" s="184">
        <v>0</v>
      </c>
      <c r="Z219" s="184">
        <v>0</v>
      </c>
      <c r="AA219" s="184">
        <v>0</v>
      </c>
      <c r="AB219" s="185" t="s">
        <v>615</v>
      </c>
      <c r="AC219" s="185" t="s">
        <v>615</v>
      </c>
      <c r="AD219" s="186" t="s">
        <v>881</v>
      </c>
      <c r="AE219" s="186" t="s">
        <v>858</v>
      </c>
      <c r="AF219" s="187">
        <v>7</v>
      </c>
      <c r="AG219" s="187">
        <v>3</v>
      </c>
      <c r="AH219" s="187">
        <v>4</v>
      </c>
      <c r="AI219" s="188">
        <v>1</v>
      </c>
      <c r="AJ219" s="188" t="s">
        <v>615</v>
      </c>
      <c r="AK219" s="187" t="s">
        <v>1738</v>
      </c>
      <c r="AL219" s="87" t="s">
        <v>615</v>
      </c>
      <c r="AM219" s="189"/>
      <c r="AN219" s="187" t="s">
        <v>615</v>
      </c>
      <c r="AO219" s="13" t="s">
        <v>615</v>
      </c>
      <c r="AP219" s="187">
        <v>0</v>
      </c>
      <c r="AQ219" s="187">
        <v>0</v>
      </c>
      <c r="AR219" s="190">
        <v>0</v>
      </c>
      <c r="AS219" s="190">
        <v>0</v>
      </c>
      <c r="AT219" s="190">
        <v>0</v>
      </c>
      <c r="AU219" s="187">
        <v>0</v>
      </c>
      <c r="AV219" s="187">
        <v>0</v>
      </c>
      <c r="AW219" s="191"/>
      <c r="AX219" s="192"/>
      <c r="AY219" s="193">
        <v>42666</v>
      </c>
      <c r="AZ219" s="193"/>
      <c r="BA219" s="193"/>
      <c r="BB219" s="194"/>
      <c r="BC219" s="194"/>
      <c r="BD219" s="195"/>
      <c r="BE219" s="195" t="s">
        <v>532</v>
      </c>
      <c r="BF219" s="195"/>
      <c r="BG219" s="195">
        <v>120</v>
      </c>
      <c r="BH219" s="196" t="s">
        <v>547</v>
      </c>
      <c r="BI219" s="197">
        <v>1</v>
      </c>
      <c r="BJ219" s="198"/>
      <c r="BK219" s="199">
        <v>0</v>
      </c>
      <c r="BL219" s="13">
        <v>0</v>
      </c>
      <c r="BM219" s="13">
        <v>0</v>
      </c>
      <c r="BN219" s="13" t="s">
        <v>616</v>
      </c>
      <c r="BO219" s="13" t="s">
        <v>616</v>
      </c>
      <c r="BP219" s="200">
        <v>0</v>
      </c>
      <c r="BQ219" s="201"/>
      <c r="BR219" s="202"/>
      <c r="BS219" s="187">
        <v>1000000000</v>
      </c>
      <c r="BT219" s="203">
        <v>0</v>
      </c>
      <c r="BU219" s="204">
        <v>0</v>
      </c>
      <c r="BV219" s="203">
        <v>0</v>
      </c>
      <c r="BW219" s="205">
        <v>0</v>
      </c>
      <c r="BX219" s="205">
        <v>0</v>
      </c>
      <c r="BY219" s="205">
        <v>0</v>
      </c>
      <c r="BZ219" s="203">
        <v>0</v>
      </c>
      <c r="CA219" s="203">
        <v>0</v>
      </c>
      <c r="CB219" s="203">
        <v>0</v>
      </c>
      <c r="CC219" s="204">
        <v>0</v>
      </c>
      <c r="CD219" s="203">
        <v>0</v>
      </c>
      <c r="CE219" s="203">
        <v>0</v>
      </c>
      <c r="CF219" s="13">
        <v>0</v>
      </c>
      <c r="CG219" s="206">
        <v>0</v>
      </c>
      <c r="CH219" s="207">
        <v>0</v>
      </c>
      <c r="CI219" s="201"/>
      <c r="CJ219" s="208"/>
      <c r="CK219" s="209" t="s">
        <v>615</v>
      </c>
      <c r="CL219" s="210" t="s">
        <v>615</v>
      </c>
      <c r="CM219" s="207">
        <v>0</v>
      </c>
      <c r="CN219" s="207">
        <v>0</v>
      </c>
      <c r="CO219" s="204">
        <v>0</v>
      </c>
      <c r="CP219" s="204">
        <v>0</v>
      </c>
      <c r="CQ219" s="211"/>
      <c r="CR219" s="204">
        <v>1</v>
      </c>
      <c r="CS219" s="212">
        <v>42558</v>
      </c>
      <c r="CT219" s="212">
        <v>42780</v>
      </c>
      <c r="CU219" s="213">
        <v>42780</v>
      </c>
      <c r="CV219" s="214">
        <v>42829</v>
      </c>
      <c r="CW219" s="214" t="s">
        <v>615</v>
      </c>
      <c r="CX219" s="214" t="s">
        <v>615</v>
      </c>
      <c r="CY219" s="204">
        <v>1</v>
      </c>
      <c r="CZ219" s="204">
        <v>0.97959183673469385</v>
      </c>
      <c r="DA219" s="203">
        <v>0</v>
      </c>
      <c r="DB219" s="204">
        <v>0.97959183673469385</v>
      </c>
      <c r="DC219" s="204">
        <v>0</v>
      </c>
      <c r="DD219" s="204">
        <v>0</v>
      </c>
      <c r="DE219" s="204">
        <v>0</v>
      </c>
      <c r="DF219" s="215">
        <v>0</v>
      </c>
      <c r="DG219" s="13" t="s">
        <v>615</v>
      </c>
      <c r="DH219" s="86">
        <v>217</v>
      </c>
      <c r="DI219" s="86"/>
      <c r="DJ219" s="86">
        <v>221</v>
      </c>
      <c r="DK219" s="86" t="s">
        <v>1680</v>
      </c>
      <c r="DL219" s="86" t="e">
        <v>#N/A</v>
      </c>
      <c r="DM219" s="86" t="e">
        <v>#N/A</v>
      </c>
      <c r="DN219" s="86" t="e">
        <v>#N/A</v>
      </c>
      <c r="DO219" s="86">
        <v>386</v>
      </c>
      <c r="DP219" s="86">
        <v>5</v>
      </c>
      <c r="DQ219" s="86">
        <v>49</v>
      </c>
      <c r="DR219" s="146">
        <v>0</v>
      </c>
      <c r="DS219" s="146">
        <v>0</v>
      </c>
      <c r="DT219" s="146">
        <v>0</v>
      </c>
      <c r="DU219" s="146">
        <v>0</v>
      </c>
      <c r="DV219" s="146">
        <v>0</v>
      </c>
      <c r="DW219" s="146">
        <v>0</v>
      </c>
      <c r="DX219" s="146">
        <v>0</v>
      </c>
      <c r="DY219" s="146">
        <v>0</v>
      </c>
      <c r="DZ219" s="146">
        <v>0</v>
      </c>
      <c r="EA219" s="146">
        <v>0</v>
      </c>
      <c r="EB219" s="146">
        <v>0</v>
      </c>
      <c r="EC219" s="146">
        <v>0</v>
      </c>
      <c r="ED219" s="146">
        <v>0</v>
      </c>
      <c r="EE219" s="146">
        <v>0</v>
      </c>
      <c r="EF219" s="146">
        <v>0</v>
      </c>
      <c r="EG219" s="146">
        <v>0</v>
      </c>
      <c r="EH219" s="146">
        <v>0</v>
      </c>
      <c r="EI219" s="146">
        <v>0</v>
      </c>
      <c r="EJ219" s="146">
        <v>0</v>
      </c>
      <c r="EK219" s="146">
        <v>0</v>
      </c>
      <c r="EL219" s="146">
        <v>0</v>
      </c>
      <c r="EM219" s="146">
        <v>0</v>
      </c>
      <c r="EN219" s="146">
        <v>0</v>
      </c>
      <c r="EO219" s="146">
        <v>0</v>
      </c>
      <c r="EP219" s="146">
        <v>0</v>
      </c>
      <c r="EQ219" s="146">
        <v>0</v>
      </c>
      <c r="ER219" s="146">
        <v>0</v>
      </c>
      <c r="ES219" s="146">
        <v>0</v>
      </c>
      <c r="ET219" s="146">
        <v>0</v>
      </c>
      <c r="EU219" s="146">
        <v>0</v>
      </c>
      <c r="EV219" s="146">
        <v>0</v>
      </c>
      <c r="EW219" s="146">
        <v>0</v>
      </c>
      <c r="EX219" s="146">
        <v>0</v>
      </c>
      <c r="EY219" s="146">
        <v>0</v>
      </c>
      <c r="EZ219" s="146">
        <v>0</v>
      </c>
      <c r="FA219" s="146">
        <v>0</v>
      </c>
      <c r="FB219" s="146">
        <v>0</v>
      </c>
      <c r="FC219" s="146">
        <v>0</v>
      </c>
      <c r="FD219" s="146">
        <v>0</v>
      </c>
      <c r="FE219" s="146">
        <v>0</v>
      </c>
      <c r="FF219" s="146">
        <v>0</v>
      </c>
      <c r="FG219" s="146">
        <v>0</v>
      </c>
      <c r="FH219" s="146">
        <v>0</v>
      </c>
      <c r="FI219" s="146">
        <v>0</v>
      </c>
      <c r="FJ219" s="146">
        <v>0</v>
      </c>
      <c r="FK219" s="146">
        <v>0</v>
      </c>
      <c r="FL219" s="146">
        <v>0</v>
      </c>
      <c r="FM219" s="146">
        <v>0</v>
      </c>
      <c r="FN219" s="146">
        <v>0</v>
      </c>
      <c r="FO219" s="146">
        <v>0</v>
      </c>
      <c r="FP219" s="146">
        <v>0</v>
      </c>
      <c r="FQ219" s="146">
        <v>0</v>
      </c>
      <c r="FR219" s="146">
        <v>0</v>
      </c>
      <c r="FS219" s="146">
        <v>0</v>
      </c>
      <c r="FT219" s="146">
        <v>0</v>
      </c>
      <c r="FU219" s="146">
        <v>0</v>
      </c>
      <c r="FV219" s="146">
        <v>0</v>
      </c>
      <c r="FW219" s="146">
        <v>0</v>
      </c>
      <c r="FX219" s="146">
        <v>0</v>
      </c>
      <c r="FY219" s="146">
        <v>0</v>
      </c>
      <c r="FZ219" s="146">
        <v>0</v>
      </c>
      <c r="GA219" s="146">
        <v>0</v>
      </c>
      <c r="GB219" s="146">
        <v>0</v>
      </c>
      <c r="GC219" s="146">
        <v>0</v>
      </c>
      <c r="GD219" s="146">
        <v>0</v>
      </c>
      <c r="GE219" s="146">
        <v>0</v>
      </c>
      <c r="GF219" s="146">
        <v>0</v>
      </c>
      <c r="GG219" s="146">
        <v>0</v>
      </c>
      <c r="GH219" s="146">
        <v>0</v>
      </c>
      <c r="GI219" s="146">
        <v>0</v>
      </c>
      <c r="GJ219" s="146">
        <v>0</v>
      </c>
      <c r="GK219" s="146">
        <v>0</v>
      </c>
      <c r="GL219" s="146">
        <v>0</v>
      </c>
      <c r="GM219" s="146">
        <v>0</v>
      </c>
      <c r="GN219" s="146">
        <v>0</v>
      </c>
      <c r="GO219" s="146">
        <v>0</v>
      </c>
      <c r="GP219" s="146">
        <v>0</v>
      </c>
      <c r="GQ219" s="146">
        <v>0</v>
      </c>
      <c r="GR219" s="146">
        <v>0</v>
      </c>
      <c r="GS219" s="146">
        <v>0</v>
      </c>
      <c r="GT219" s="146">
        <v>0</v>
      </c>
      <c r="GU219" s="146">
        <v>0</v>
      </c>
      <c r="GV219" s="146">
        <v>0</v>
      </c>
      <c r="GW219" s="146">
        <v>0</v>
      </c>
      <c r="GX219" s="146">
        <v>0</v>
      </c>
      <c r="GY219" s="146">
        <v>0</v>
      </c>
      <c r="GZ219" s="146">
        <v>0</v>
      </c>
      <c r="HA219" s="146">
        <v>0</v>
      </c>
      <c r="HB219" s="146">
        <v>0</v>
      </c>
      <c r="HC219" s="146">
        <v>0</v>
      </c>
      <c r="HD219" s="146">
        <v>0</v>
      </c>
      <c r="HE219" s="146">
        <v>0</v>
      </c>
      <c r="HF219" s="146">
        <v>0</v>
      </c>
      <c r="HG219" s="146">
        <v>0</v>
      </c>
      <c r="HH219" s="146">
        <v>0</v>
      </c>
      <c r="HI219" s="146">
        <v>0</v>
      </c>
      <c r="HJ219" s="146">
        <v>0</v>
      </c>
      <c r="HK219" s="146">
        <v>0</v>
      </c>
      <c r="HL219" s="146">
        <v>0</v>
      </c>
      <c r="HM219" s="146">
        <v>0</v>
      </c>
      <c r="HN219" s="146">
        <v>0</v>
      </c>
      <c r="HO219" s="146">
        <v>0</v>
      </c>
      <c r="HP219" s="146">
        <v>0</v>
      </c>
      <c r="HQ219" s="146">
        <v>0</v>
      </c>
      <c r="HR219" s="146">
        <v>0</v>
      </c>
      <c r="HS219" s="146">
        <v>0</v>
      </c>
      <c r="HT219" s="146">
        <v>0</v>
      </c>
      <c r="HU219" s="151"/>
      <c r="HV219" s="146">
        <v>0</v>
      </c>
      <c r="HW219" s="151"/>
      <c r="HX219" s="151"/>
      <c r="HY219" s="151"/>
      <c r="HZ219" s="151"/>
      <c r="IA219" s="151"/>
      <c r="IB219" s="151"/>
      <c r="IC219" s="151"/>
      <c r="ID219" s="151"/>
      <c r="IE219" s="151"/>
      <c r="IF219" s="151"/>
      <c r="IG219" s="151"/>
      <c r="IH219" s="151"/>
      <c r="II219" s="151"/>
      <c r="IJ219" s="151"/>
      <c r="IK219" s="151"/>
      <c r="IL219" s="151"/>
      <c r="IM219" s="151"/>
      <c r="IN219" s="151"/>
      <c r="IO219" s="151"/>
      <c r="IP219" s="151"/>
      <c r="IQ219" s="151"/>
      <c r="IR219" s="151"/>
      <c r="IS219" s="151"/>
      <c r="IT219" s="151"/>
      <c r="IU219" s="151"/>
      <c r="IV219" s="151"/>
      <c r="IW219" s="151"/>
      <c r="IX219" s="151"/>
      <c r="IY219" s="151"/>
      <c r="IZ219" s="151"/>
      <c r="JA219" s="151"/>
      <c r="JB219" s="151"/>
      <c r="JC219" s="151"/>
      <c r="JD219" s="151"/>
      <c r="JE219" s="151"/>
      <c r="JF219" s="151"/>
      <c r="JG219" s="151"/>
      <c r="JH219" s="151"/>
      <c r="JI219" s="151"/>
      <c r="JJ219" s="151"/>
      <c r="JK219" s="151"/>
      <c r="JL219" s="151"/>
      <c r="JM219" s="151"/>
      <c r="JN219" s="151"/>
      <c r="JO219" s="151"/>
      <c r="JP219" s="151"/>
      <c r="JQ219" s="151"/>
      <c r="JR219" s="151"/>
      <c r="JS219" s="151"/>
      <c r="JT219" s="151"/>
      <c r="JU219" s="151"/>
      <c r="JV219" s="151"/>
      <c r="JW219" s="151"/>
      <c r="JX219" s="151"/>
      <c r="JY219" s="151"/>
      <c r="JZ219" s="151"/>
      <c r="KA219" s="151"/>
      <c r="KB219" s="151"/>
      <c r="KC219" s="151"/>
      <c r="KD219" s="151"/>
      <c r="KE219" s="151"/>
      <c r="KF219" s="151"/>
      <c r="KG219" s="151"/>
      <c r="KH219" s="151"/>
      <c r="KI219" s="151"/>
      <c r="KJ219" s="151"/>
      <c r="KK219" s="151"/>
      <c r="KL219" s="151"/>
      <c r="KM219" s="151"/>
      <c r="KN219" s="151"/>
      <c r="KO219" s="151"/>
      <c r="KP219" s="151"/>
      <c r="KQ219" s="151"/>
      <c r="KR219" s="151"/>
      <c r="KS219" s="151"/>
      <c r="KT219" s="151"/>
      <c r="KU219" s="151"/>
      <c r="KV219" s="151"/>
      <c r="KW219" s="151"/>
      <c r="KX219" s="151"/>
      <c r="KY219" s="151"/>
      <c r="KZ219" s="151"/>
      <c r="LA219" s="151"/>
      <c r="LB219" s="151"/>
      <c r="LC219" s="151"/>
      <c r="LD219" s="151"/>
      <c r="LE219" s="151"/>
    </row>
    <row r="220" spans="1:317" x14ac:dyDescent="0.2">
      <c r="A220" s="179" t="s">
        <v>849</v>
      </c>
      <c r="B220" s="180" t="s">
        <v>1119</v>
      </c>
      <c r="C220" s="181"/>
      <c r="D220" s="182">
        <v>0</v>
      </c>
      <c r="E220" s="182">
        <v>0</v>
      </c>
      <c r="F220" s="183" t="s">
        <v>1316</v>
      </c>
      <c r="G220" s="183">
        <v>0</v>
      </c>
      <c r="H220" s="183">
        <v>0</v>
      </c>
      <c r="I220" s="183">
        <v>0</v>
      </c>
      <c r="J220" s="183">
        <v>0</v>
      </c>
      <c r="K220" s="183" t="s">
        <v>1368</v>
      </c>
      <c r="L220" s="183">
        <v>0</v>
      </c>
      <c r="M220" s="183">
        <v>0</v>
      </c>
      <c r="N220" s="183" t="s">
        <v>881</v>
      </c>
      <c r="O220" s="183">
        <v>0</v>
      </c>
      <c r="P220" s="183">
        <v>0</v>
      </c>
      <c r="Q220" s="183"/>
      <c r="R220" s="183"/>
      <c r="S220" s="183"/>
      <c r="T220" s="183"/>
      <c r="U220" s="183"/>
      <c r="V220" s="183">
        <v>0</v>
      </c>
      <c r="W220" s="183">
        <v>0</v>
      </c>
      <c r="X220" s="183">
        <v>0</v>
      </c>
      <c r="Y220" s="184">
        <v>0</v>
      </c>
      <c r="Z220" s="184">
        <v>0</v>
      </c>
      <c r="AA220" s="184">
        <v>0</v>
      </c>
      <c r="AB220" s="185" t="s">
        <v>615</v>
      </c>
      <c r="AC220" s="185" t="s">
        <v>615</v>
      </c>
      <c r="AD220" s="186" t="s">
        <v>881</v>
      </c>
      <c r="AE220" s="186" t="s">
        <v>858</v>
      </c>
      <c r="AF220" s="187">
        <v>7</v>
      </c>
      <c r="AG220" s="187">
        <v>3</v>
      </c>
      <c r="AH220" s="187">
        <v>4</v>
      </c>
      <c r="AI220" s="188">
        <v>1</v>
      </c>
      <c r="AJ220" s="188" t="s">
        <v>615</v>
      </c>
      <c r="AK220" s="187" t="s">
        <v>1738</v>
      </c>
      <c r="AL220" s="87" t="s">
        <v>615</v>
      </c>
      <c r="AM220" s="189"/>
      <c r="AN220" s="187" t="s">
        <v>615</v>
      </c>
      <c r="AO220" s="13" t="s">
        <v>615</v>
      </c>
      <c r="AP220" s="187">
        <v>0</v>
      </c>
      <c r="AQ220" s="187">
        <v>0</v>
      </c>
      <c r="AR220" s="190">
        <v>0</v>
      </c>
      <c r="AS220" s="190">
        <v>0</v>
      </c>
      <c r="AT220" s="190">
        <v>0</v>
      </c>
      <c r="AU220" s="187">
        <v>0</v>
      </c>
      <c r="AV220" s="187">
        <v>0</v>
      </c>
      <c r="AW220" s="191"/>
      <c r="AX220" s="192"/>
      <c r="AY220" s="193">
        <v>42666</v>
      </c>
      <c r="AZ220" s="193"/>
      <c r="BA220" s="193"/>
      <c r="BB220" s="194"/>
      <c r="BC220" s="194"/>
      <c r="BD220" s="195"/>
      <c r="BE220" s="195" t="s">
        <v>532</v>
      </c>
      <c r="BF220" s="195"/>
      <c r="BG220" s="195">
        <v>120</v>
      </c>
      <c r="BH220" s="196" t="s">
        <v>547</v>
      </c>
      <c r="BI220" s="197">
        <v>1</v>
      </c>
      <c r="BJ220" s="198"/>
      <c r="BK220" s="199">
        <v>0</v>
      </c>
      <c r="BL220" s="13">
        <v>0</v>
      </c>
      <c r="BM220" s="13">
        <v>0</v>
      </c>
      <c r="BN220" s="13" t="s">
        <v>616</v>
      </c>
      <c r="BO220" s="13" t="s">
        <v>616</v>
      </c>
      <c r="BP220" s="200">
        <v>0</v>
      </c>
      <c r="BQ220" s="201"/>
      <c r="BR220" s="202"/>
      <c r="BS220" s="187">
        <v>1000000000</v>
      </c>
      <c r="BT220" s="203">
        <v>0</v>
      </c>
      <c r="BU220" s="204">
        <v>0</v>
      </c>
      <c r="BV220" s="203">
        <v>0</v>
      </c>
      <c r="BW220" s="205">
        <v>0</v>
      </c>
      <c r="BX220" s="205">
        <v>0</v>
      </c>
      <c r="BY220" s="205">
        <v>0</v>
      </c>
      <c r="BZ220" s="203">
        <v>0</v>
      </c>
      <c r="CA220" s="203">
        <v>0</v>
      </c>
      <c r="CB220" s="203">
        <v>0</v>
      </c>
      <c r="CC220" s="204">
        <v>0</v>
      </c>
      <c r="CD220" s="203">
        <v>0</v>
      </c>
      <c r="CE220" s="203">
        <v>0</v>
      </c>
      <c r="CF220" s="13">
        <v>0</v>
      </c>
      <c r="CG220" s="206">
        <v>0</v>
      </c>
      <c r="CH220" s="207">
        <v>0</v>
      </c>
      <c r="CI220" s="201"/>
      <c r="CJ220" s="208"/>
      <c r="CK220" s="209" t="s">
        <v>615</v>
      </c>
      <c r="CL220" s="210" t="s">
        <v>615</v>
      </c>
      <c r="CM220" s="207">
        <v>0</v>
      </c>
      <c r="CN220" s="207">
        <v>0</v>
      </c>
      <c r="CO220" s="204">
        <v>0</v>
      </c>
      <c r="CP220" s="204">
        <v>0</v>
      </c>
      <c r="CQ220" s="211"/>
      <c r="CR220" s="204">
        <v>1</v>
      </c>
      <c r="CS220" s="212">
        <v>42558</v>
      </c>
      <c r="CT220" s="212">
        <v>42780</v>
      </c>
      <c r="CU220" s="213">
        <v>42780</v>
      </c>
      <c r="CV220" s="214">
        <v>42829</v>
      </c>
      <c r="CW220" s="214" t="s">
        <v>615</v>
      </c>
      <c r="CX220" s="214" t="s">
        <v>615</v>
      </c>
      <c r="CY220" s="204">
        <v>1</v>
      </c>
      <c r="CZ220" s="204">
        <v>0.97959183673469385</v>
      </c>
      <c r="DA220" s="203">
        <v>0</v>
      </c>
      <c r="DB220" s="204">
        <v>0.97959183673469385</v>
      </c>
      <c r="DC220" s="204">
        <v>0</v>
      </c>
      <c r="DD220" s="204">
        <v>0</v>
      </c>
      <c r="DE220" s="204">
        <v>0</v>
      </c>
      <c r="DF220" s="215">
        <v>0</v>
      </c>
      <c r="DG220" s="13" t="s">
        <v>615</v>
      </c>
      <c r="DH220" s="86">
        <v>218</v>
      </c>
      <c r="DI220" s="86"/>
      <c r="DJ220" s="86">
        <v>222</v>
      </c>
      <c r="DK220" s="86" t="s">
        <v>1681</v>
      </c>
      <c r="DL220" s="86" t="e">
        <v>#N/A</v>
      </c>
      <c r="DM220" s="86" t="e">
        <v>#N/A</v>
      </c>
      <c r="DN220" s="86" t="e">
        <v>#N/A</v>
      </c>
      <c r="DO220" s="86">
        <v>387</v>
      </c>
      <c r="DP220" s="86">
        <v>5</v>
      </c>
      <c r="DQ220" s="86">
        <v>49</v>
      </c>
      <c r="DR220" s="152">
        <v>0</v>
      </c>
      <c r="DS220" s="152">
        <v>0</v>
      </c>
      <c r="DT220" s="152">
        <v>0</v>
      </c>
      <c r="DU220" s="152">
        <v>0</v>
      </c>
      <c r="DV220" s="152">
        <v>0</v>
      </c>
      <c r="DW220" s="152">
        <v>0</v>
      </c>
      <c r="DX220" s="152">
        <v>0</v>
      </c>
      <c r="DY220" s="152">
        <v>0</v>
      </c>
      <c r="DZ220" s="152">
        <v>0</v>
      </c>
      <c r="EA220" s="152">
        <v>0</v>
      </c>
      <c r="EB220" s="152">
        <v>0</v>
      </c>
      <c r="EC220" s="152">
        <v>0</v>
      </c>
      <c r="ED220" s="152">
        <v>0</v>
      </c>
      <c r="EE220" s="152">
        <v>0</v>
      </c>
      <c r="EF220" s="152">
        <v>0</v>
      </c>
      <c r="EG220" s="152">
        <v>0</v>
      </c>
      <c r="EH220" s="152">
        <v>0</v>
      </c>
      <c r="EI220" s="152">
        <v>0</v>
      </c>
      <c r="EJ220" s="152">
        <v>0</v>
      </c>
      <c r="EK220" s="152">
        <v>0</v>
      </c>
      <c r="EL220" s="152">
        <v>0</v>
      </c>
      <c r="EM220" s="152">
        <v>0</v>
      </c>
      <c r="EN220" s="152">
        <v>0</v>
      </c>
      <c r="EO220" s="152">
        <v>0</v>
      </c>
      <c r="EP220" s="152">
        <v>0</v>
      </c>
      <c r="EQ220" s="152">
        <v>0</v>
      </c>
      <c r="ER220" s="152">
        <v>0</v>
      </c>
      <c r="ES220" s="152">
        <v>0</v>
      </c>
      <c r="ET220" s="152">
        <v>0</v>
      </c>
      <c r="EU220" s="152">
        <v>0</v>
      </c>
      <c r="EV220" s="152">
        <v>0</v>
      </c>
      <c r="EW220" s="152">
        <v>0</v>
      </c>
      <c r="EX220" s="152">
        <v>0</v>
      </c>
      <c r="EY220" s="152">
        <v>0</v>
      </c>
      <c r="EZ220" s="152">
        <v>0</v>
      </c>
      <c r="FA220" s="152">
        <v>0</v>
      </c>
      <c r="FB220" s="152">
        <v>0</v>
      </c>
      <c r="FC220" s="152">
        <v>0</v>
      </c>
      <c r="FD220" s="152">
        <v>0</v>
      </c>
      <c r="FE220" s="152">
        <v>0</v>
      </c>
      <c r="FF220" s="152">
        <v>0</v>
      </c>
      <c r="FG220" s="152">
        <v>0</v>
      </c>
      <c r="FH220" s="152">
        <v>0</v>
      </c>
      <c r="FI220" s="152">
        <v>0</v>
      </c>
      <c r="FJ220" s="152">
        <v>0</v>
      </c>
      <c r="FK220" s="152">
        <v>0</v>
      </c>
      <c r="FL220" s="152">
        <v>0</v>
      </c>
      <c r="FM220" s="152">
        <v>0</v>
      </c>
      <c r="FN220" s="152">
        <v>0</v>
      </c>
      <c r="FO220" s="152">
        <v>0</v>
      </c>
      <c r="FP220" s="152">
        <v>0</v>
      </c>
      <c r="FQ220" s="152">
        <v>0</v>
      </c>
      <c r="FR220" s="152">
        <v>0</v>
      </c>
      <c r="FS220" s="152">
        <v>0</v>
      </c>
      <c r="FT220" s="152">
        <v>0</v>
      </c>
      <c r="FU220" s="152">
        <v>0</v>
      </c>
      <c r="FV220" s="152">
        <v>0</v>
      </c>
      <c r="FW220" s="152">
        <v>0</v>
      </c>
      <c r="FX220" s="152">
        <v>0</v>
      </c>
      <c r="FY220" s="152">
        <v>0</v>
      </c>
      <c r="FZ220" s="152">
        <v>0</v>
      </c>
      <c r="GA220" s="152">
        <v>0</v>
      </c>
      <c r="GB220" s="152">
        <v>0</v>
      </c>
      <c r="GC220" s="152">
        <v>0</v>
      </c>
      <c r="GD220" s="152">
        <v>0</v>
      </c>
      <c r="GE220" s="152">
        <v>0</v>
      </c>
      <c r="GF220" s="152">
        <v>0</v>
      </c>
      <c r="GG220" s="152">
        <v>0</v>
      </c>
      <c r="GH220" s="152">
        <v>0</v>
      </c>
      <c r="GI220" s="152">
        <v>0</v>
      </c>
      <c r="GJ220" s="152">
        <v>0</v>
      </c>
      <c r="GK220" s="152">
        <v>0</v>
      </c>
      <c r="GL220" s="152">
        <v>0</v>
      </c>
      <c r="GM220" s="152">
        <v>0</v>
      </c>
      <c r="GN220" s="152">
        <v>0</v>
      </c>
      <c r="GO220" s="152">
        <v>0</v>
      </c>
      <c r="GP220" s="152">
        <v>0</v>
      </c>
      <c r="GQ220" s="152">
        <v>0</v>
      </c>
      <c r="GR220" s="152">
        <v>0</v>
      </c>
      <c r="GS220" s="152">
        <v>0</v>
      </c>
      <c r="GT220" s="152">
        <v>0</v>
      </c>
      <c r="GU220" s="152">
        <v>0</v>
      </c>
      <c r="GV220" s="152">
        <v>0</v>
      </c>
      <c r="GW220" s="152">
        <v>0</v>
      </c>
      <c r="GX220" s="152">
        <v>0</v>
      </c>
      <c r="GY220" s="152">
        <v>0</v>
      </c>
      <c r="GZ220" s="152">
        <v>0</v>
      </c>
      <c r="HA220" s="152">
        <v>0</v>
      </c>
      <c r="HB220" s="152">
        <v>0</v>
      </c>
      <c r="HC220" s="152">
        <v>0</v>
      </c>
      <c r="HD220" s="152">
        <v>0</v>
      </c>
      <c r="HE220" s="152">
        <v>0</v>
      </c>
      <c r="HF220" s="152">
        <v>0</v>
      </c>
      <c r="HG220" s="152">
        <v>0</v>
      </c>
      <c r="HH220" s="152">
        <v>0</v>
      </c>
      <c r="HI220" s="152">
        <v>0</v>
      </c>
      <c r="HJ220" s="152">
        <v>0</v>
      </c>
      <c r="HK220" s="152">
        <v>0</v>
      </c>
      <c r="HL220" s="152">
        <v>0</v>
      </c>
      <c r="HM220" s="152">
        <v>0</v>
      </c>
      <c r="HN220" s="152">
        <v>0</v>
      </c>
      <c r="HO220" s="152">
        <v>0</v>
      </c>
      <c r="HP220" s="152">
        <v>0</v>
      </c>
      <c r="HQ220" s="152">
        <v>0</v>
      </c>
      <c r="HR220" s="152">
        <v>0</v>
      </c>
      <c r="HS220" s="152">
        <v>0</v>
      </c>
      <c r="HT220" s="152">
        <v>0</v>
      </c>
      <c r="HU220" s="216"/>
      <c r="HV220" s="152">
        <v>0</v>
      </c>
      <c r="HW220" s="216"/>
      <c r="HX220" s="216"/>
      <c r="HY220" s="216"/>
      <c r="HZ220" s="216"/>
      <c r="IA220" s="216"/>
      <c r="IB220" s="216"/>
      <c r="IC220" s="216"/>
      <c r="ID220" s="216"/>
      <c r="IE220" s="216"/>
      <c r="IF220" s="216"/>
      <c r="IG220" s="216"/>
      <c r="IH220" s="216"/>
      <c r="II220" s="216"/>
      <c r="IJ220" s="216"/>
      <c r="IK220" s="216"/>
      <c r="IL220" s="216"/>
      <c r="IM220" s="216"/>
      <c r="IN220" s="216"/>
      <c r="IO220" s="216"/>
      <c r="IP220" s="216"/>
      <c r="IQ220" s="216"/>
      <c r="IR220" s="216"/>
      <c r="IS220" s="216"/>
      <c r="IT220" s="216"/>
      <c r="IU220" s="216"/>
      <c r="IV220" s="216"/>
      <c r="IW220" s="216"/>
      <c r="IX220" s="216"/>
      <c r="IY220" s="216"/>
      <c r="IZ220" s="216"/>
      <c r="JA220" s="216"/>
      <c r="JB220" s="216"/>
      <c r="JC220" s="216"/>
      <c r="JD220" s="216"/>
      <c r="JE220" s="216"/>
      <c r="JF220" s="216"/>
      <c r="JG220" s="216"/>
      <c r="JH220" s="216"/>
      <c r="JI220" s="216"/>
      <c r="JJ220" s="216"/>
      <c r="JK220" s="216"/>
      <c r="JL220" s="216"/>
      <c r="JM220" s="216"/>
      <c r="JN220" s="216"/>
      <c r="JO220" s="216"/>
      <c r="JP220" s="216"/>
      <c r="JQ220" s="216"/>
      <c r="JR220" s="216"/>
      <c r="JS220" s="216"/>
      <c r="JT220" s="216"/>
      <c r="JU220" s="216"/>
      <c r="JV220" s="216"/>
      <c r="JW220" s="216"/>
      <c r="JX220" s="216"/>
      <c r="JY220" s="216"/>
      <c r="JZ220" s="216"/>
      <c r="KA220" s="216"/>
      <c r="KB220" s="216"/>
      <c r="KC220" s="216"/>
      <c r="KD220" s="216"/>
      <c r="KE220" s="216"/>
      <c r="KF220" s="216"/>
      <c r="KG220" s="216"/>
      <c r="KH220" s="216"/>
      <c r="KI220" s="216"/>
      <c r="KJ220" s="216"/>
      <c r="KK220" s="216"/>
      <c r="KL220" s="216"/>
      <c r="KM220" s="216"/>
      <c r="KN220" s="216"/>
      <c r="KO220" s="216"/>
      <c r="KP220" s="216"/>
      <c r="KQ220" s="216"/>
      <c r="KR220" s="216"/>
      <c r="KS220" s="216"/>
      <c r="KT220" s="216"/>
      <c r="KU220" s="216"/>
      <c r="KV220" s="216"/>
      <c r="KW220" s="216"/>
      <c r="KX220" s="216"/>
      <c r="KY220" s="216"/>
      <c r="KZ220" s="216"/>
      <c r="LA220" s="216"/>
      <c r="LB220" s="216"/>
      <c r="LC220" s="216"/>
      <c r="LD220" s="216"/>
      <c r="LE220" s="216"/>
    </row>
    <row r="221" spans="1:317" x14ac:dyDescent="0.2">
      <c r="A221" s="179" t="s">
        <v>849</v>
      </c>
      <c r="B221" s="180" t="s">
        <v>1120</v>
      </c>
      <c r="C221" s="181"/>
      <c r="D221" s="182">
        <v>0</v>
      </c>
      <c r="E221" s="182">
        <v>0</v>
      </c>
      <c r="F221" s="183" t="s">
        <v>1316</v>
      </c>
      <c r="G221" s="183">
        <v>0</v>
      </c>
      <c r="H221" s="183">
        <v>0</v>
      </c>
      <c r="I221" s="183">
        <v>0</v>
      </c>
      <c r="J221" s="183">
        <v>0</v>
      </c>
      <c r="K221" s="183" t="s">
        <v>1368</v>
      </c>
      <c r="L221" s="183">
        <v>0</v>
      </c>
      <c r="M221" s="183">
        <v>0</v>
      </c>
      <c r="N221" s="183" t="s">
        <v>881</v>
      </c>
      <c r="O221" s="183">
        <v>0</v>
      </c>
      <c r="P221" s="183">
        <v>0</v>
      </c>
      <c r="Q221" s="183"/>
      <c r="R221" s="183"/>
      <c r="S221" s="183"/>
      <c r="T221" s="183"/>
      <c r="U221" s="183"/>
      <c r="V221" s="183">
        <v>0</v>
      </c>
      <c r="W221" s="183">
        <v>0</v>
      </c>
      <c r="X221" s="183">
        <v>0</v>
      </c>
      <c r="Y221" s="184">
        <v>0</v>
      </c>
      <c r="Z221" s="184">
        <v>0</v>
      </c>
      <c r="AA221" s="184">
        <v>0</v>
      </c>
      <c r="AB221" s="185" t="s">
        <v>615</v>
      </c>
      <c r="AC221" s="185" t="s">
        <v>615</v>
      </c>
      <c r="AD221" s="186" t="s">
        <v>881</v>
      </c>
      <c r="AE221" s="186" t="s">
        <v>858</v>
      </c>
      <c r="AF221" s="187">
        <v>7</v>
      </c>
      <c r="AG221" s="187">
        <v>3</v>
      </c>
      <c r="AH221" s="187">
        <v>4</v>
      </c>
      <c r="AI221" s="188">
        <v>1</v>
      </c>
      <c r="AJ221" s="188" t="s">
        <v>615</v>
      </c>
      <c r="AK221" s="187" t="s">
        <v>1738</v>
      </c>
      <c r="AL221" s="87" t="s">
        <v>615</v>
      </c>
      <c r="AM221" s="189"/>
      <c r="AN221" s="187" t="s">
        <v>615</v>
      </c>
      <c r="AO221" s="13" t="s">
        <v>615</v>
      </c>
      <c r="AP221" s="187">
        <v>0</v>
      </c>
      <c r="AQ221" s="187">
        <v>0</v>
      </c>
      <c r="AR221" s="190">
        <v>0</v>
      </c>
      <c r="AS221" s="190">
        <v>0</v>
      </c>
      <c r="AT221" s="190">
        <v>0</v>
      </c>
      <c r="AU221" s="187">
        <v>0</v>
      </c>
      <c r="AV221" s="187">
        <v>0</v>
      </c>
      <c r="AW221" s="191"/>
      <c r="AX221" s="192"/>
      <c r="AY221" s="193">
        <v>42666</v>
      </c>
      <c r="AZ221" s="193"/>
      <c r="BA221" s="193"/>
      <c r="BB221" s="194"/>
      <c r="BC221" s="194"/>
      <c r="BD221" s="195"/>
      <c r="BE221" s="195" t="s">
        <v>532</v>
      </c>
      <c r="BF221" s="195"/>
      <c r="BG221" s="195">
        <v>72</v>
      </c>
      <c r="BH221" s="196" t="s">
        <v>547</v>
      </c>
      <c r="BI221" s="197">
        <v>1</v>
      </c>
      <c r="BJ221" s="198"/>
      <c r="BK221" s="199">
        <v>0</v>
      </c>
      <c r="BL221" s="13">
        <v>0</v>
      </c>
      <c r="BM221" s="13">
        <v>0</v>
      </c>
      <c r="BN221" s="13" t="s">
        <v>616</v>
      </c>
      <c r="BO221" s="13" t="s">
        <v>616</v>
      </c>
      <c r="BP221" s="200">
        <v>0</v>
      </c>
      <c r="BQ221" s="201"/>
      <c r="BR221" s="202"/>
      <c r="BS221" s="187">
        <v>1000000000</v>
      </c>
      <c r="BT221" s="203">
        <v>0</v>
      </c>
      <c r="BU221" s="204">
        <v>0</v>
      </c>
      <c r="BV221" s="203">
        <v>0</v>
      </c>
      <c r="BW221" s="205">
        <v>0</v>
      </c>
      <c r="BX221" s="205">
        <v>0</v>
      </c>
      <c r="BY221" s="205">
        <v>0</v>
      </c>
      <c r="BZ221" s="203">
        <v>0</v>
      </c>
      <c r="CA221" s="203">
        <v>0</v>
      </c>
      <c r="CB221" s="203">
        <v>0</v>
      </c>
      <c r="CC221" s="204">
        <v>0</v>
      </c>
      <c r="CD221" s="203">
        <v>0</v>
      </c>
      <c r="CE221" s="203">
        <v>0</v>
      </c>
      <c r="CF221" s="13">
        <v>0</v>
      </c>
      <c r="CG221" s="206">
        <v>0</v>
      </c>
      <c r="CH221" s="207">
        <v>0</v>
      </c>
      <c r="CI221" s="201"/>
      <c r="CJ221" s="208"/>
      <c r="CK221" s="209" t="s">
        <v>615</v>
      </c>
      <c r="CL221" s="210" t="s">
        <v>615</v>
      </c>
      <c r="CM221" s="207">
        <v>0</v>
      </c>
      <c r="CN221" s="207">
        <v>0</v>
      </c>
      <c r="CO221" s="204">
        <v>0</v>
      </c>
      <c r="CP221" s="204">
        <v>0</v>
      </c>
      <c r="CQ221" s="211"/>
      <c r="CR221" s="204">
        <v>1</v>
      </c>
      <c r="CS221" s="212">
        <v>42558</v>
      </c>
      <c r="CT221" s="212">
        <v>42780</v>
      </c>
      <c r="CU221" s="213">
        <v>42780</v>
      </c>
      <c r="CV221" s="214">
        <v>42829</v>
      </c>
      <c r="CW221" s="214" t="s">
        <v>615</v>
      </c>
      <c r="CX221" s="214" t="s">
        <v>615</v>
      </c>
      <c r="CY221" s="204">
        <v>1</v>
      </c>
      <c r="CZ221" s="204">
        <v>0.97959183673469385</v>
      </c>
      <c r="DA221" s="203">
        <v>0</v>
      </c>
      <c r="DB221" s="204">
        <v>0.97959183673469385</v>
      </c>
      <c r="DC221" s="204">
        <v>0</v>
      </c>
      <c r="DD221" s="204">
        <v>0</v>
      </c>
      <c r="DE221" s="204">
        <v>0</v>
      </c>
      <c r="DF221" s="215">
        <v>0</v>
      </c>
      <c r="DG221" s="13" t="s">
        <v>615</v>
      </c>
      <c r="DH221" s="86">
        <v>219</v>
      </c>
      <c r="DI221" s="86"/>
      <c r="DJ221" s="86">
        <v>223</v>
      </c>
      <c r="DK221" s="86" t="s">
        <v>1682</v>
      </c>
      <c r="DL221" s="86" t="e">
        <v>#N/A</v>
      </c>
      <c r="DM221" s="86" t="e">
        <v>#N/A</v>
      </c>
      <c r="DN221" s="86" t="e">
        <v>#N/A</v>
      </c>
      <c r="DO221" s="86">
        <v>388</v>
      </c>
      <c r="DP221" s="86">
        <v>5</v>
      </c>
      <c r="DQ221" s="86">
        <v>49</v>
      </c>
      <c r="DR221" s="146">
        <v>0</v>
      </c>
      <c r="DS221" s="146">
        <v>0</v>
      </c>
      <c r="DT221" s="146">
        <v>0</v>
      </c>
      <c r="DU221" s="146">
        <v>0</v>
      </c>
      <c r="DV221" s="146">
        <v>0</v>
      </c>
      <c r="DW221" s="146">
        <v>0</v>
      </c>
      <c r="DX221" s="146">
        <v>0</v>
      </c>
      <c r="DY221" s="146">
        <v>0</v>
      </c>
      <c r="DZ221" s="146">
        <v>0</v>
      </c>
      <c r="EA221" s="146">
        <v>0</v>
      </c>
      <c r="EB221" s="146">
        <v>0</v>
      </c>
      <c r="EC221" s="146">
        <v>0</v>
      </c>
      <c r="ED221" s="146">
        <v>0</v>
      </c>
      <c r="EE221" s="146">
        <v>0</v>
      </c>
      <c r="EF221" s="146">
        <v>0</v>
      </c>
      <c r="EG221" s="146">
        <v>0</v>
      </c>
      <c r="EH221" s="146">
        <v>0</v>
      </c>
      <c r="EI221" s="146">
        <v>0</v>
      </c>
      <c r="EJ221" s="146">
        <v>0</v>
      </c>
      <c r="EK221" s="146">
        <v>0</v>
      </c>
      <c r="EL221" s="146">
        <v>0</v>
      </c>
      <c r="EM221" s="146">
        <v>0</v>
      </c>
      <c r="EN221" s="146">
        <v>0</v>
      </c>
      <c r="EO221" s="146">
        <v>0</v>
      </c>
      <c r="EP221" s="146">
        <v>0</v>
      </c>
      <c r="EQ221" s="146">
        <v>0</v>
      </c>
      <c r="ER221" s="146">
        <v>0</v>
      </c>
      <c r="ES221" s="146">
        <v>0</v>
      </c>
      <c r="ET221" s="146">
        <v>0</v>
      </c>
      <c r="EU221" s="146">
        <v>0</v>
      </c>
      <c r="EV221" s="146">
        <v>0</v>
      </c>
      <c r="EW221" s="146">
        <v>0</v>
      </c>
      <c r="EX221" s="146">
        <v>0</v>
      </c>
      <c r="EY221" s="146">
        <v>0</v>
      </c>
      <c r="EZ221" s="146">
        <v>0</v>
      </c>
      <c r="FA221" s="146">
        <v>0</v>
      </c>
      <c r="FB221" s="146">
        <v>0</v>
      </c>
      <c r="FC221" s="146">
        <v>0</v>
      </c>
      <c r="FD221" s="146">
        <v>0</v>
      </c>
      <c r="FE221" s="146">
        <v>0</v>
      </c>
      <c r="FF221" s="146">
        <v>0</v>
      </c>
      <c r="FG221" s="146">
        <v>0</v>
      </c>
      <c r="FH221" s="146">
        <v>0</v>
      </c>
      <c r="FI221" s="146">
        <v>0</v>
      </c>
      <c r="FJ221" s="146">
        <v>0</v>
      </c>
      <c r="FK221" s="146">
        <v>0</v>
      </c>
      <c r="FL221" s="146">
        <v>0</v>
      </c>
      <c r="FM221" s="146">
        <v>0</v>
      </c>
      <c r="FN221" s="146">
        <v>0</v>
      </c>
      <c r="FO221" s="146">
        <v>0</v>
      </c>
      <c r="FP221" s="146">
        <v>0</v>
      </c>
      <c r="FQ221" s="146">
        <v>0</v>
      </c>
      <c r="FR221" s="146">
        <v>0</v>
      </c>
      <c r="FS221" s="146">
        <v>0</v>
      </c>
      <c r="FT221" s="146">
        <v>0</v>
      </c>
      <c r="FU221" s="146">
        <v>0</v>
      </c>
      <c r="FV221" s="146">
        <v>0</v>
      </c>
      <c r="FW221" s="146">
        <v>0</v>
      </c>
      <c r="FX221" s="146">
        <v>0</v>
      </c>
      <c r="FY221" s="146">
        <v>0</v>
      </c>
      <c r="FZ221" s="146">
        <v>0</v>
      </c>
      <c r="GA221" s="146">
        <v>0</v>
      </c>
      <c r="GB221" s="146">
        <v>0</v>
      </c>
      <c r="GC221" s="146">
        <v>0</v>
      </c>
      <c r="GD221" s="146">
        <v>0</v>
      </c>
      <c r="GE221" s="146">
        <v>0</v>
      </c>
      <c r="GF221" s="146">
        <v>0</v>
      </c>
      <c r="GG221" s="146">
        <v>0</v>
      </c>
      <c r="GH221" s="146">
        <v>0</v>
      </c>
      <c r="GI221" s="146">
        <v>0</v>
      </c>
      <c r="GJ221" s="146">
        <v>0</v>
      </c>
      <c r="GK221" s="146">
        <v>0</v>
      </c>
      <c r="GL221" s="146">
        <v>0</v>
      </c>
      <c r="GM221" s="146">
        <v>0</v>
      </c>
      <c r="GN221" s="146">
        <v>0</v>
      </c>
      <c r="GO221" s="146">
        <v>0</v>
      </c>
      <c r="GP221" s="146">
        <v>0</v>
      </c>
      <c r="GQ221" s="146">
        <v>0</v>
      </c>
      <c r="GR221" s="146">
        <v>0</v>
      </c>
      <c r="GS221" s="146">
        <v>0</v>
      </c>
      <c r="GT221" s="146">
        <v>0</v>
      </c>
      <c r="GU221" s="146">
        <v>0</v>
      </c>
      <c r="GV221" s="146">
        <v>0</v>
      </c>
      <c r="GW221" s="146">
        <v>0</v>
      </c>
      <c r="GX221" s="146">
        <v>0</v>
      </c>
      <c r="GY221" s="146">
        <v>0</v>
      </c>
      <c r="GZ221" s="146">
        <v>0</v>
      </c>
      <c r="HA221" s="146">
        <v>0</v>
      </c>
      <c r="HB221" s="146">
        <v>0</v>
      </c>
      <c r="HC221" s="146">
        <v>0</v>
      </c>
      <c r="HD221" s="146">
        <v>0</v>
      </c>
      <c r="HE221" s="146">
        <v>0</v>
      </c>
      <c r="HF221" s="146">
        <v>0</v>
      </c>
      <c r="HG221" s="146">
        <v>0</v>
      </c>
      <c r="HH221" s="146">
        <v>0</v>
      </c>
      <c r="HI221" s="146">
        <v>0</v>
      </c>
      <c r="HJ221" s="146">
        <v>0</v>
      </c>
      <c r="HK221" s="146">
        <v>0</v>
      </c>
      <c r="HL221" s="146">
        <v>0</v>
      </c>
      <c r="HM221" s="146">
        <v>0</v>
      </c>
      <c r="HN221" s="146">
        <v>0</v>
      </c>
      <c r="HO221" s="146">
        <v>0</v>
      </c>
      <c r="HP221" s="146">
        <v>0</v>
      </c>
      <c r="HQ221" s="146">
        <v>0</v>
      </c>
      <c r="HR221" s="146">
        <v>0</v>
      </c>
      <c r="HS221" s="146">
        <v>0</v>
      </c>
      <c r="HT221" s="146">
        <v>0</v>
      </c>
      <c r="HU221" s="151"/>
      <c r="HV221" s="146">
        <v>0</v>
      </c>
      <c r="HW221" s="151"/>
      <c r="HX221" s="151"/>
      <c r="HY221" s="151"/>
      <c r="HZ221" s="151"/>
      <c r="IA221" s="151"/>
      <c r="IB221" s="151"/>
      <c r="IC221" s="151"/>
      <c r="ID221" s="151"/>
      <c r="IE221" s="151"/>
      <c r="IF221" s="151"/>
      <c r="IG221" s="151"/>
      <c r="IH221" s="151"/>
      <c r="II221" s="151"/>
      <c r="IJ221" s="151"/>
      <c r="IK221" s="151"/>
      <c r="IL221" s="151"/>
      <c r="IM221" s="151"/>
      <c r="IN221" s="151"/>
      <c r="IO221" s="151"/>
      <c r="IP221" s="151"/>
      <c r="IQ221" s="151"/>
      <c r="IR221" s="151"/>
      <c r="IS221" s="151"/>
      <c r="IT221" s="151"/>
      <c r="IU221" s="151"/>
      <c r="IV221" s="151"/>
      <c r="IW221" s="151"/>
      <c r="IX221" s="151"/>
      <c r="IY221" s="151"/>
      <c r="IZ221" s="151"/>
      <c r="JA221" s="151"/>
      <c r="JB221" s="151"/>
      <c r="JC221" s="151"/>
      <c r="JD221" s="151"/>
      <c r="JE221" s="151"/>
      <c r="JF221" s="151"/>
      <c r="JG221" s="151"/>
      <c r="JH221" s="151"/>
      <c r="JI221" s="151"/>
      <c r="JJ221" s="151"/>
      <c r="JK221" s="151"/>
      <c r="JL221" s="151"/>
      <c r="JM221" s="151"/>
      <c r="JN221" s="151"/>
      <c r="JO221" s="151"/>
      <c r="JP221" s="151"/>
      <c r="JQ221" s="151"/>
      <c r="JR221" s="151"/>
      <c r="JS221" s="151"/>
      <c r="JT221" s="151"/>
      <c r="JU221" s="151"/>
      <c r="JV221" s="151"/>
      <c r="JW221" s="151"/>
      <c r="JX221" s="151"/>
      <c r="JY221" s="151"/>
      <c r="JZ221" s="151"/>
      <c r="KA221" s="151"/>
      <c r="KB221" s="151"/>
      <c r="KC221" s="151"/>
      <c r="KD221" s="151"/>
      <c r="KE221" s="151"/>
      <c r="KF221" s="151"/>
      <c r="KG221" s="151"/>
      <c r="KH221" s="151"/>
      <c r="KI221" s="151"/>
      <c r="KJ221" s="151"/>
      <c r="KK221" s="151"/>
      <c r="KL221" s="151"/>
      <c r="KM221" s="151"/>
      <c r="KN221" s="151"/>
      <c r="KO221" s="151"/>
      <c r="KP221" s="151"/>
      <c r="KQ221" s="151"/>
      <c r="KR221" s="151"/>
      <c r="KS221" s="151"/>
      <c r="KT221" s="151"/>
      <c r="KU221" s="151"/>
      <c r="KV221" s="151"/>
      <c r="KW221" s="151"/>
      <c r="KX221" s="151"/>
      <c r="KY221" s="151"/>
      <c r="KZ221" s="151"/>
      <c r="LA221" s="151"/>
      <c r="LB221" s="151"/>
      <c r="LC221" s="151"/>
      <c r="LD221" s="151"/>
      <c r="LE221" s="151"/>
    </row>
    <row r="222" spans="1:317" x14ac:dyDescent="0.2">
      <c r="A222" s="179" t="s">
        <v>849</v>
      </c>
      <c r="B222" s="180" t="s">
        <v>1121</v>
      </c>
      <c r="C222" s="181"/>
      <c r="D222" s="182">
        <v>0</v>
      </c>
      <c r="E222" s="182">
        <v>0</v>
      </c>
      <c r="F222" s="183" t="s">
        <v>1316</v>
      </c>
      <c r="G222" s="183">
        <v>0</v>
      </c>
      <c r="H222" s="183">
        <v>0</v>
      </c>
      <c r="I222" s="183">
        <v>0</v>
      </c>
      <c r="J222" s="183">
        <v>0</v>
      </c>
      <c r="K222" s="183" t="s">
        <v>1368</v>
      </c>
      <c r="L222" s="183">
        <v>0</v>
      </c>
      <c r="M222" s="183">
        <v>0</v>
      </c>
      <c r="N222" s="183" t="s">
        <v>881</v>
      </c>
      <c r="O222" s="183">
        <v>0</v>
      </c>
      <c r="P222" s="183">
        <v>0</v>
      </c>
      <c r="Q222" s="183"/>
      <c r="R222" s="183"/>
      <c r="S222" s="183"/>
      <c r="T222" s="183"/>
      <c r="U222" s="183"/>
      <c r="V222" s="183">
        <v>0</v>
      </c>
      <c r="W222" s="183">
        <v>0</v>
      </c>
      <c r="X222" s="183">
        <v>0</v>
      </c>
      <c r="Y222" s="184">
        <v>0</v>
      </c>
      <c r="Z222" s="184">
        <v>0</v>
      </c>
      <c r="AA222" s="184">
        <v>0</v>
      </c>
      <c r="AB222" s="185" t="s">
        <v>615</v>
      </c>
      <c r="AC222" s="185" t="s">
        <v>615</v>
      </c>
      <c r="AD222" s="186" t="s">
        <v>881</v>
      </c>
      <c r="AE222" s="186" t="s">
        <v>858</v>
      </c>
      <c r="AF222" s="187">
        <v>7</v>
      </c>
      <c r="AG222" s="187">
        <v>3</v>
      </c>
      <c r="AH222" s="187">
        <v>4</v>
      </c>
      <c r="AI222" s="188">
        <v>1</v>
      </c>
      <c r="AJ222" s="188" t="s">
        <v>615</v>
      </c>
      <c r="AK222" s="187" t="s">
        <v>1738</v>
      </c>
      <c r="AL222" s="87" t="s">
        <v>615</v>
      </c>
      <c r="AM222" s="189"/>
      <c r="AN222" s="187" t="s">
        <v>615</v>
      </c>
      <c r="AO222" s="13" t="s">
        <v>615</v>
      </c>
      <c r="AP222" s="187">
        <v>0</v>
      </c>
      <c r="AQ222" s="187">
        <v>0</v>
      </c>
      <c r="AR222" s="190">
        <v>0</v>
      </c>
      <c r="AS222" s="190">
        <v>0</v>
      </c>
      <c r="AT222" s="190">
        <v>0</v>
      </c>
      <c r="AU222" s="187">
        <v>0</v>
      </c>
      <c r="AV222" s="187">
        <v>0</v>
      </c>
      <c r="AW222" s="191"/>
      <c r="AX222" s="192"/>
      <c r="AY222" s="193">
        <v>42666</v>
      </c>
      <c r="AZ222" s="193"/>
      <c r="BA222" s="193"/>
      <c r="BB222" s="194"/>
      <c r="BC222" s="194"/>
      <c r="BD222" s="195"/>
      <c r="BE222" s="195" t="s">
        <v>532</v>
      </c>
      <c r="BF222" s="195"/>
      <c r="BG222" s="195">
        <v>24</v>
      </c>
      <c r="BH222" s="196" t="s">
        <v>547</v>
      </c>
      <c r="BI222" s="197">
        <v>1</v>
      </c>
      <c r="BJ222" s="198"/>
      <c r="BK222" s="199">
        <v>0</v>
      </c>
      <c r="BL222" s="13">
        <v>0</v>
      </c>
      <c r="BM222" s="13">
        <v>0</v>
      </c>
      <c r="BN222" s="13" t="s">
        <v>616</v>
      </c>
      <c r="BO222" s="13" t="s">
        <v>616</v>
      </c>
      <c r="BP222" s="200">
        <v>0</v>
      </c>
      <c r="BQ222" s="201"/>
      <c r="BR222" s="202"/>
      <c r="BS222" s="187">
        <v>1000000000</v>
      </c>
      <c r="BT222" s="203">
        <v>0</v>
      </c>
      <c r="BU222" s="204">
        <v>0</v>
      </c>
      <c r="BV222" s="203">
        <v>0</v>
      </c>
      <c r="BW222" s="205">
        <v>0</v>
      </c>
      <c r="BX222" s="205">
        <v>0</v>
      </c>
      <c r="BY222" s="205">
        <v>0</v>
      </c>
      <c r="BZ222" s="203">
        <v>0</v>
      </c>
      <c r="CA222" s="203">
        <v>0</v>
      </c>
      <c r="CB222" s="203">
        <v>0</v>
      </c>
      <c r="CC222" s="204">
        <v>0</v>
      </c>
      <c r="CD222" s="203">
        <v>0</v>
      </c>
      <c r="CE222" s="203">
        <v>0</v>
      </c>
      <c r="CF222" s="13">
        <v>0</v>
      </c>
      <c r="CG222" s="206">
        <v>0</v>
      </c>
      <c r="CH222" s="207">
        <v>0</v>
      </c>
      <c r="CI222" s="201"/>
      <c r="CJ222" s="208"/>
      <c r="CK222" s="209" t="s">
        <v>615</v>
      </c>
      <c r="CL222" s="210" t="s">
        <v>615</v>
      </c>
      <c r="CM222" s="207">
        <v>0</v>
      </c>
      <c r="CN222" s="207">
        <v>0</v>
      </c>
      <c r="CO222" s="204">
        <v>0</v>
      </c>
      <c r="CP222" s="204">
        <v>0</v>
      </c>
      <c r="CQ222" s="211"/>
      <c r="CR222" s="204">
        <v>1</v>
      </c>
      <c r="CS222" s="212">
        <v>42558</v>
      </c>
      <c r="CT222" s="212">
        <v>42780</v>
      </c>
      <c r="CU222" s="213">
        <v>42780</v>
      </c>
      <c r="CV222" s="214">
        <v>42829</v>
      </c>
      <c r="CW222" s="214" t="s">
        <v>615</v>
      </c>
      <c r="CX222" s="214" t="s">
        <v>615</v>
      </c>
      <c r="CY222" s="204">
        <v>1</v>
      </c>
      <c r="CZ222" s="204">
        <v>0.97959183673469385</v>
      </c>
      <c r="DA222" s="203">
        <v>0</v>
      </c>
      <c r="DB222" s="204">
        <v>0.97959183673469385</v>
      </c>
      <c r="DC222" s="204">
        <v>0</v>
      </c>
      <c r="DD222" s="204">
        <v>0</v>
      </c>
      <c r="DE222" s="204">
        <v>0</v>
      </c>
      <c r="DF222" s="215">
        <v>0</v>
      </c>
      <c r="DG222" s="13" t="s">
        <v>615</v>
      </c>
      <c r="DH222" s="86">
        <v>220</v>
      </c>
      <c r="DI222" s="86"/>
      <c r="DJ222" s="86">
        <v>224</v>
      </c>
      <c r="DK222" s="86" t="s">
        <v>1683</v>
      </c>
      <c r="DL222" s="86" t="e">
        <v>#N/A</v>
      </c>
      <c r="DM222" s="86" t="e">
        <v>#N/A</v>
      </c>
      <c r="DN222" s="86" t="e">
        <v>#N/A</v>
      </c>
      <c r="DO222" s="86">
        <v>389</v>
      </c>
      <c r="DP222" s="86">
        <v>5</v>
      </c>
      <c r="DQ222" s="86">
        <v>49</v>
      </c>
      <c r="DR222" s="152">
        <v>0</v>
      </c>
      <c r="DS222" s="152">
        <v>0</v>
      </c>
      <c r="DT222" s="152">
        <v>0</v>
      </c>
      <c r="DU222" s="152">
        <v>0</v>
      </c>
      <c r="DV222" s="152">
        <v>0</v>
      </c>
      <c r="DW222" s="152">
        <v>0</v>
      </c>
      <c r="DX222" s="152">
        <v>0</v>
      </c>
      <c r="DY222" s="152">
        <v>0</v>
      </c>
      <c r="DZ222" s="152">
        <v>0</v>
      </c>
      <c r="EA222" s="152">
        <v>0</v>
      </c>
      <c r="EB222" s="152">
        <v>0</v>
      </c>
      <c r="EC222" s="152">
        <v>0</v>
      </c>
      <c r="ED222" s="152">
        <v>0</v>
      </c>
      <c r="EE222" s="152">
        <v>0</v>
      </c>
      <c r="EF222" s="152">
        <v>0</v>
      </c>
      <c r="EG222" s="152">
        <v>0</v>
      </c>
      <c r="EH222" s="152">
        <v>0</v>
      </c>
      <c r="EI222" s="152">
        <v>0</v>
      </c>
      <c r="EJ222" s="152">
        <v>0</v>
      </c>
      <c r="EK222" s="152">
        <v>0</v>
      </c>
      <c r="EL222" s="152">
        <v>0</v>
      </c>
      <c r="EM222" s="152">
        <v>0</v>
      </c>
      <c r="EN222" s="152">
        <v>0</v>
      </c>
      <c r="EO222" s="152">
        <v>0</v>
      </c>
      <c r="EP222" s="152">
        <v>0</v>
      </c>
      <c r="EQ222" s="152">
        <v>0</v>
      </c>
      <c r="ER222" s="152">
        <v>0</v>
      </c>
      <c r="ES222" s="152">
        <v>0</v>
      </c>
      <c r="ET222" s="152">
        <v>0</v>
      </c>
      <c r="EU222" s="152">
        <v>0</v>
      </c>
      <c r="EV222" s="152">
        <v>0</v>
      </c>
      <c r="EW222" s="152">
        <v>0</v>
      </c>
      <c r="EX222" s="152">
        <v>0</v>
      </c>
      <c r="EY222" s="152">
        <v>0</v>
      </c>
      <c r="EZ222" s="152">
        <v>0</v>
      </c>
      <c r="FA222" s="152">
        <v>0</v>
      </c>
      <c r="FB222" s="152">
        <v>0</v>
      </c>
      <c r="FC222" s="152">
        <v>0</v>
      </c>
      <c r="FD222" s="152">
        <v>0</v>
      </c>
      <c r="FE222" s="152">
        <v>0</v>
      </c>
      <c r="FF222" s="152">
        <v>0</v>
      </c>
      <c r="FG222" s="152">
        <v>0</v>
      </c>
      <c r="FH222" s="152">
        <v>0</v>
      </c>
      <c r="FI222" s="152">
        <v>0</v>
      </c>
      <c r="FJ222" s="152">
        <v>0</v>
      </c>
      <c r="FK222" s="152">
        <v>0</v>
      </c>
      <c r="FL222" s="152">
        <v>0</v>
      </c>
      <c r="FM222" s="152">
        <v>0</v>
      </c>
      <c r="FN222" s="152">
        <v>0</v>
      </c>
      <c r="FO222" s="152">
        <v>0</v>
      </c>
      <c r="FP222" s="152">
        <v>0</v>
      </c>
      <c r="FQ222" s="152">
        <v>0</v>
      </c>
      <c r="FR222" s="152">
        <v>0</v>
      </c>
      <c r="FS222" s="152">
        <v>0</v>
      </c>
      <c r="FT222" s="152">
        <v>0</v>
      </c>
      <c r="FU222" s="152">
        <v>0</v>
      </c>
      <c r="FV222" s="152">
        <v>0</v>
      </c>
      <c r="FW222" s="152">
        <v>0</v>
      </c>
      <c r="FX222" s="152">
        <v>0</v>
      </c>
      <c r="FY222" s="152">
        <v>0</v>
      </c>
      <c r="FZ222" s="152">
        <v>0</v>
      </c>
      <c r="GA222" s="152">
        <v>0</v>
      </c>
      <c r="GB222" s="152">
        <v>0</v>
      </c>
      <c r="GC222" s="152">
        <v>0</v>
      </c>
      <c r="GD222" s="152">
        <v>0</v>
      </c>
      <c r="GE222" s="152">
        <v>0</v>
      </c>
      <c r="GF222" s="152">
        <v>0</v>
      </c>
      <c r="GG222" s="152">
        <v>0</v>
      </c>
      <c r="GH222" s="152">
        <v>0</v>
      </c>
      <c r="GI222" s="152">
        <v>0</v>
      </c>
      <c r="GJ222" s="152">
        <v>0</v>
      </c>
      <c r="GK222" s="152">
        <v>0</v>
      </c>
      <c r="GL222" s="152">
        <v>0</v>
      </c>
      <c r="GM222" s="152">
        <v>0</v>
      </c>
      <c r="GN222" s="152">
        <v>0</v>
      </c>
      <c r="GO222" s="152">
        <v>0</v>
      </c>
      <c r="GP222" s="152">
        <v>0</v>
      </c>
      <c r="GQ222" s="152">
        <v>0</v>
      </c>
      <c r="GR222" s="152">
        <v>0</v>
      </c>
      <c r="GS222" s="152">
        <v>0</v>
      </c>
      <c r="GT222" s="152">
        <v>0</v>
      </c>
      <c r="GU222" s="152">
        <v>0</v>
      </c>
      <c r="GV222" s="152">
        <v>0</v>
      </c>
      <c r="GW222" s="152">
        <v>0</v>
      </c>
      <c r="GX222" s="152">
        <v>0</v>
      </c>
      <c r="GY222" s="152">
        <v>0</v>
      </c>
      <c r="GZ222" s="152">
        <v>0</v>
      </c>
      <c r="HA222" s="152">
        <v>0</v>
      </c>
      <c r="HB222" s="152">
        <v>0</v>
      </c>
      <c r="HC222" s="152">
        <v>0</v>
      </c>
      <c r="HD222" s="152">
        <v>0</v>
      </c>
      <c r="HE222" s="152">
        <v>0</v>
      </c>
      <c r="HF222" s="152">
        <v>0</v>
      </c>
      <c r="HG222" s="152">
        <v>0</v>
      </c>
      <c r="HH222" s="152">
        <v>0</v>
      </c>
      <c r="HI222" s="152">
        <v>0</v>
      </c>
      <c r="HJ222" s="152">
        <v>0</v>
      </c>
      <c r="HK222" s="152">
        <v>0</v>
      </c>
      <c r="HL222" s="152">
        <v>0</v>
      </c>
      <c r="HM222" s="152">
        <v>0</v>
      </c>
      <c r="HN222" s="152">
        <v>0</v>
      </c>
      <c r="HO222" s="152">
        <v>0</v>
      </c>
      <c r="HP222" s="152">
        <v>0</v>
      </c>
      <c r="HQ222" s="152">
        <v>0</v>
      </c>
      <c r="HR222" s="152">
        <v>0</v>
      </c>
      <c r="HS222" s="152">
        <v>0</v>
      </c>
      <c r="HT222" s="152">
        <v>0</v>
      </c>
      <c r="HU222" s="216"/>
      <c r="HV222" s="152">
        <v>0</v>
      </c>
      <c r="HW222" s="216"/>
      <c r="HX222" s="216"/>
      <c r="HY222" s="216"/>
      <c r="HZ222" s="216"/>
      <c r="IA222" s="216"/>
      <c r="IB222" s="216"/>
      <c r="IC222" s="216"/>
      <c r="ID222" s="216"/>
      <c r="IE222" s="216"/>
      <c r="IF222" s="216"/>
      <c r="IG222" s="216"/>
      <c r="IH222" s="216"/>
      <c r="II222" s="216"/>
      <c r="IJ222" s="216"/>
      <c r="IK222" s="216"/>
      <c r="IL222" s="216"/>
      <c r="IM222" s="216"/>
      <c r="IN222" s="216"/>
      <c r="IO222" s="216"/>
      <c r="IP222" s="216"/>
      <c r="IQ222" s="216"/>
      <c r="IR222" s="216"/>
      <c r="IS222" s="216"/>
      <c r="IT222" s="216"/>
      <c r="IU222" s="216"/>
      <c r="IV222" s="216"/>
      <c r="IW222" s="216"/>
      <c r="IX222" s="216"/>
      <c r="IY222" s="216"/>
      <c r="IZ222" s="216"/>
      <c r="JA222" s="216"/>
      <c r="JB222" s="216"/>
      <c r="JC222" s="216"/>
      <c r="JD222" s="216"/>
      <c r="JE222" s="216"/>
      <c r="JF222" s="216"/>
      <c r="JG222" s="216"/>
      <c r="JH222" s="216"/>
      <c r="JI222" s="216"/>
      <c r="JJ222" s="216"/>
      <c r="JK222" s="216"/>
      <c r="JL222" s="216"/>
      <c r="JM222" s="216"/>
      <c r="JN222" s="216"/>
      <c r="JO222" s="216"/>
      <c r="JP222" s="216"/>
      <c r="JQ222" s="216"/>
      <c r="JR222" s="216"/>
      <c r="JS222" s="216"/>
      <c r="JT222" s="216"/>
      <c r="JU222" s="216"/>
      <c r="JV222" s="216"/>
      <c r="JW222" s="216"/>
      <c r="JX222" s="216"/>
      <c r="JY222" s="216"/>
      <c r="JZ222" s="216"/>
      <c r="KA222" s="216"/>
      <c r="KB222" s="216"/>
      <c r="KC222" s="216"/>
      <c r="KD222" s="216"/>
      <c r="KE222" s="216"/>
      <c r="KF222" s="216"/>
      <c r="KG222" s="216"/>
      <c r="KH222" s="216"/>
      <c r="KI222" s="216"/>
      <c r="KJ222" s="216"/>
      <c r="KK222" s="216"/>
      <c r="KL222" s="216"/>
      <c r="KM222" s="216"/>
      <c r="KN222" s="216"/>
      <c r="KO222" s="216"/>
      <c r="KP222" s="216"/>
      <c r="KQ222" s="216"/>
      <c r="KR222" s="216"/>
      <c r="KS222" s="216"/>
      <c r="KT222" s="216"/>
      <c r="KU222" s="216"/>
      <c r="KV222" s="216"/>
      <c r="KW222" s="216"/>
      <c r="KX222" s="216"/>
      <c r="KY222" s="216"/>
      <c r="KZ222" s="216"/>
      <c r="LA222" s="216"/>
      <c r="LB222" s="216"/>
      <c r="LC222" s="216"/>
      <c r="LD222" s="216"/>
      <c r="LE222" s="216"/>
    </row>
    <row r="223" spans="1:317" x14ac:dyDescent="0.2">
      <c r="A223" s="179" t="s">
        <v>849</v>
      </c>
      <c r="B223" s="180" t="s">
        <v>1122</v>
      </c>
      <c r="C223" s="181"/>
      <c r="D223" s="182">
        <v>0</v>
      </c>
      <c r="E223" s="182">
        <v>0</v>
      </c>
      <c r="F223" s="183" t="s">
        <v>1316</v>
      </c>
      <c r="G223" s="183">
        <v>0</v>
      </c>
      <c r="H223" s="183">
        <v>0</v>
      </c>
      <c r="I223" s="183">
        <v>0</v>
      </c>
      <c r="J223" s="183">
        <v>0</v>
      </c>
      <c r="K223" s="183" t="s">
        <v>1368</v>
      </c>
      <c r="L223" s="183">
        <v>0</v>
      </c>
      <c r="M223" s="183">
        <v>0</v>
      </c>
      <c r="N223" s="183" t="s">
        <v>881</v>
      </c>
      <c r="O223" s="183">
        <v>0</v>
      </c>
      <c r="P223" s="183">
        <v>0</v>
      </c>
      <c r="Q223" s="183"/>
      <c r="R223" s="183"/>
      <c r="S223" s="183"/>
      <c r="T223" s="183"/>
      <c r="U223" s="183"/>
      <c r="V223" s="183">
        <v>0</v>
      </c>
      <c r="W223" s="183">
        <v>0</v>
      </c>
      <c r="X223" s="183">
        <v>0</v>
      </c>
      <c r="Y223" s="184">
        <v>0</v>
      </c>
      <c r="Z223" s="184">
        <v>0</v>
      </c>
      <c r="AA223" s="184">
        <v>0</v>
      </c>
      <c r="AB223" s="185" t="s">
        <v>615</v>
      </c>
      <c r="AC223" s="185" t="s">
        <v>615</v>
      </c>
      <c r="AD223" s="186" t="s">
        <v>881</v>
      </c>
      <c r="AE223" s="186" t="s">
        <v>858</v>
      </c>
      <c r="AF223" s="187">
        <v>7</v>
      </c>
      <c r="AG223" s="187">
        <v>3</v>
      </c>
      <c r="AH223" s="187">
        <v>4</v>
      </c>
      <c r="AI223" s="188">
        <v>1</v>
      </c>
      <c r="AJ223" s="188" t="s">
        <v>615</v>
      </c>
      <c r="AK223" s="187" t="s">
        <v>1738</v>
      </c>
      <c r="AL223" s="87" t="s">
        <v>615</v>
      </c>
      <c r="AM223" s="189"/>
      <c r="AN223" s="187" t="s">
        <v>615</v>
      </c>
      <c r="AO223" s="13" t="s">
        <v>615</v>
      </c>
      <c r="AP223" s="187">
        <v>0</v>
      </c>
      <c r="AQ223" s="187">
        <v>0</v>
      </c>
      <c r="AR223" s="190">
        <v>0</v>
      </c>
      <c r="AS223" s="190">
        <v>0</v>
      </c>
      <c r="AT223" s="190">
        <v>0</v>
      </c>
      <c r="AU223" s="187">
        <v>0</v>
      </c>
      <c r="AV223" s="187">
        <v>0</v>
      </c>
      <c r="AW223" s="191"/>
      <c r="AX223" s="192"/>
      <c r="AY223" s="193">
        <v>42666</v>
      </c>
      <c r="AZ223" s="193"/>
      <c r="BA223" s="193"/>
      <c r="BB223" s="194"/>
      <c r="BC223" s="194"/>
      <c r="BD223" s="195"/>
      <c r="BE223" s="195" t="s">
        <v>532</v>
      </c>
      <c r="BF223" s="195"/>
      <c r="BG223" s="195">
        <v>24</v>
      </c>
      <c r="BH223" s="196" t="s">
        <v>547</v>
      </c>
      <c r="BI223" s="197">
        <v>1</v>
      </c>
      <c r="BJ223" s="198"/>
      <c r="BK223" s="199">
        <v>0</v>
      </c>
      <c r="BL223" s="13">
        <v>0</v>
      </c>
      <c r="BM223" s="13">
        <v>0</v>
      </c>
      <c r="BN223" s="13" t="s">
        <v>616</v>
      </c>
      <c r="BO223" s="13" t="s">
        <v>616</v>
      </c>
      <c r="BP223" s="200">
        <v>0</v>
      </c>
      <c r="BQ223" s="201"/>
      <c r="BR223" s="202"/>
      <c r="BS223" s="187">
        <v>1000000000</v>
      </c>
      <c r="BT223" s="203">
        <v>0</v>
      </c>
      <c r="BU223" s="204">
        <v>0</v>
      </c>
      <c r="BV223" s="203">
        <v>0</v>
      </c>
      <c r="BW223" s="205">
        <v>0</v>
      </c>
      <c r="BX223" s="205">
        <v>0</v>
      </c>
      <c r="BY223" s="205">
        <v>0</v>
      </c>
      <c r="BZ223" s="203">
        <v>0</v>
      </c>
      <c r="CA223" s="203">
        <v>0</v>
      </c>
      <c r="CB223" s="203">
        <v>0</v>
      </c>
      <c r="CC223" s="204">
        <v>0</v>
      </c>
      <c r="CD223" s="203">
        <v>0</v>
      </c>
      <c r="CE223" s="203">
        <v>0</v>
      </c>
      <c r="CF223" s="13">
        <v>0</v>
      </c>
      <c r="CG223" s="206">
        <v>0</v>
      </c>
      <c r="CH223" s="207">
        <v>0</v>
      </c>
      <c r="CI223" s="201"/>
      <c r="CJ223" s="208"/>
      <c r="CK223" s="209" t="s">
        <v>615</v>
      </c>
      <c r="CL223" s="210" t="s">
        <v>615</v>
      </c>
      <c r="CM223" s="207">
        <v>0</v>
      </c>
      <c r="CN223" s="207">
        <v>0</v>
      </c>
      <c r="CO223" s="204">
        <v>0</v>
      </c>
      <c r="CP223" s="204">
        <v>0</v>
      </c>
      <c r="CQ223" s="211"/>
      <c r="CR223" s="204">
        <v>1</v>
      </c>
      <c r="CS223" s="212">
        <v>42558</v>
      </c>
      <c r="CT223" s="212">
        <v>42780</v>
      </c>
      <c r="CU223" s="213">
        <v>42780</v>
      </c>
      <c r="CV223" s="214">
        <v>42829</v>
      </c>
      <c r="CW223" s="214" t="s">
        <v>615</v>
      </c>
      <c r="CX223" s="214" t="s">
        <v>615</v>
      </c>
      <c r="CY223" s="204">
        <v>1</v>
      </c>
      <c r="CZ223" s="204">
        <v>0.97959183673469385</v>
      </c>
      <c r="DA223" s="203">
        <v>0</v>
      </c>
      <c r="DB223" s="204">
        <v>0.97959183673469385</v>
      </c>
      <c r="DC223" s="204">
        <v>0</v>
      </c>
      <c r="DD223" s="204">
        <v>0</v>
      </c>
      <c r="DE223" s="204">
        <v>0</v>
      </c>
      <c r="DF223" s="215">
        <v>0</v>
      </c>
      <c r="DG223" s="13" t="s">
        <v>615</v>
      </c>
      <c r="DH223" s="86">
        <v>221</v>
      </c>
      <c r="DI223" s="86"/>
      <c r="DJ223" s="86">
        <v>225</v>
      </c>
      <c r="DK223" s="86" t="s">
        <v>1684</v>
      </c>
      <c r="DL223" s="86" t="e">
        <v>#N/A</v>
      </c>
      <c r="DM223" s="86" t="e">
        <v>#N/A</v>
      </c>
      <c r="DN223" s="86" t="e">
        <v>#N/A</v>
      </c>
      <c r="DO223" s="86">
        <v>390</v>
      </c>
      <c r="DP223" s="86">
        <v>5</v>
      </c>
      <c r="DQ223" s="86">
        <v>49</v>
      </c>
      <c r="DR223" s="146">
        <v>0</v>
      </c>
      <c r="DS223" s="146">
        <v>0</v>
      </c>
      <c r="DT223" s="146">
        <v>0</v>
      </c>
      <c r="DU223" s="146">
        <v>0</v>
      </c>
      <c r="DV223" s="146">
        <v>0</v>
      </c>
      <c r="DW223" s="146">
        <v>0</v>
      </c>
      <c r="DX223" s="146">
        <v>0</v>
      </c>
      <c r="DY223" s="146">
        <v>0</v>
      </c>
      <c r="DZ223" s="146">
        <v>0</v>
      </c>
      <c r="EA223" s="146">
        <v>0</v>
      </c>
      <c r="EB223" s="146">
        <v>0</v>
      </c>
      <c r="EC223" s="146">
        <v>0</v>
      </c>
      <c r="ED223" s="146">
        <v>0</v>
      </c>
      <c r="EE223" s="146">
        <v>0</v>
      </c>
      <c r="EF223" s="146">
        <v>0</v>
      </c>
      <c r="EG223" s="146">
        <v>0</v>
      </c>
      <c r="EH223" s="146">
        <v>0</v>
      </c>
      <c r="EI223" s="146">
        <v>0</v>
      </c>
      <c r="EJ223" s="146">
        <v>0</v>
      </c>
      <c r="EK223" s="146">
        <v>0</v>
      </c>
      <c r="EL223" s="146">
        <v>0</v>
      </c>
      <c r="EM223" s="146">
        <v>0</v>
      </c>
      <c r="EN223" s="146">
        <v>0</v>
      </c>
      <c r="EO223" s="146">
        <v>0</v>
      </c>
      <c r="EP223" s="146">
        <v>0</v>
      </c>
      <c r="EQ223" s="146">
        <v>0</v>
      </c>
      <c r="ER223" s="146">
        <v>0</v>
      </c>
      <c r="ES223" s="146">
        <v>0</v>
      </c>
      <c r="ET223" s="146">
        <v>0</v>
      </c>
      <c r="EU223" s="146">
        <v>0</v>
      </c>
      <c r="EV223" s="146">
        <v>0</v>
      </c>
      <c r="EW223" s="146">
        <v>0</v>
      </c>
      <c r="EX223" s="146">
        <v>0</v>
      </c>
      <c r="EY223" s="146">
        <v>0</v>
      </c>
      <c r="EZ223" s="146">
        <v>0</v>
      </c>
      <c r="FA223" s="146">
        <v>0</v>
      </c>
      <c r="FB223" s="146">
        <v>0</v>
      </c>
      <c r="FC223" s="146">
        <v>0</v>
      </c>
      <c r="FD223" s="146">
        <v>0</v>
      </c>
      <c r="FE223" s="146">
        <v>0</v>
      </c>
      <c r="FF223" s="146">
        <v>0</v>
      </c>
      <c r="FG223" s="146">
        <v>0</v>
      </c>
      <c r="FH223" s="146">
        <v>0</v>
      </c>
      <c r="FI223" s="146">
        <v>0</v>
      </c>
      <c r="FJ223" s="146">
        <v>0</v>
      </c>
      <c r="FK223" s="146">
        <v>0</v>
      </c>
      <c r="FL223" s="146">
        <v>0</v>
      </c>
      <c r="FM223" s="146">
        <v>0</v>
      </c>
      <c r="FN223" s="146">
        <v>0</v>
      </c>
      <c r="FO223" s="146">
        <v>0</v>
      </c>
      <c r="FP223" s="146">
        <v>0</v>
      </c>
      <c r="FQ223" s="146">
        <v>0</v>
      </c>
      <c r="FR223" s="146">
        <v>0</v>
      </c>
      <c r="FS223" s="146">
        <v>0</v>
      </c>
      <c r="FT223" s="146">
        <v>0</v>
      </c>
      <c r="FU223" s="146">
        <v>0</v>
      </c>
      <c r="FV223" s="146">
        <v>0</v>
      </c>
      <c r="FW223" s="146">
        <v>0</v>
      </c>
      <c r="FX223" s="146">
        <v>0</v>
      </c>
      <c r="FY223" s="146">
        <v>0</v>
      </c>
      <c r="FZ223" s="146">
        <v>0</v>
      </c>
      <c r="GA223" s="146">
        <v>0</v>
      </c>
      <c r="GB223" s="146">
        <v>0</v>
      </c>
      <c r="GC223" s="146">
        <v>0</v>
      </c>
      <c r="GD223" s="146">
        <v>0</v>
      </c>
      <c r="GE223" s="146">
        <v>0</v>
      </c>
      <c r="GF223" s="146">
        <v>0</v>
      </c>
      <c r="GG223" s="146">
        <v>0</v>
      </c>
      <c r="GH223" s="146">
        <v>0</v>
      </c>
      <c r="GI223" s="146">
        <v>0</v>
      </c>
      <c r="GJ223" s="146">
        <v>0</v>
      </c>
      <c r="GK223" s="146">
        <v>0</v>
      </c>
      <c r="GL223" s="146">
        <v>0</v>
      </c>
      <c r="GM223" s="146">
        <v>0</v>
      </c>
      <c r="GN223" s="146">
        <v>0</v>
      </c>
      <c r="GO223" s="146">
        <v>0</v>
      </c>
      <c r="GP223" s="146">
        <v>0</v>
      </c>
      <c r="GQ223" s="146">
        <v>0</v>
      </c>
      <c r="GR223" s="146">
        <v>0</v>
      </c>
      <c r="GS223" s="146">
        <v>0</v>
      </c>
      <c r="GT223" s="146">
        <v>0</v>
      </c>
      <c r="GU223" s="146">
        <v>0</v>
      </c>
      <c r="GV223" s="146">
        <v>0</v>
      </c>
      <c r="GW223" s="146">
        <v>0</v>
      </c>
      <c r="GX223" s="146">
        <v>0</v>
      </c>
      <c r="GY223" s="146">
        <v>0</v>
      </c>
      <c r="GZ223" s="146">
        <v>0</v>
      </c>
      <c r="HA223" s="146">
        <v>0</v>
      </c>
      <c r="HB223" s="146">
        <v>0</v>
      </c>
      <c r="HC223" s="146">
        <v>0</v>
      </c>
      <c r="HD223" s="146">
        <v>0</v>
      </c>
      <c r="HE223" s="146">
        <v>0</v>
      </c>
      <c r="HF223" s="146">
        <v>0</v>
      </c>
      <c r="HG223" s="146">
        <v>0</v>
      </c>
      <c r="HH223" s="146">
        <v>0</v>
      </c>
      <c r="HI223" s="146">
        <v>0</v>
      </c>
      <c r="HJ223" s="146">
        <v>0</v>
      </c>
      <c r="HK223" s="146">
        <v>0</v>
      </c>
      <c r="HL223" s="146">
        <v>0</v>
      </c>
      <c r="HM223" s="146">
        <v>0</v>
      </c>
      <c r="HN223" s="146">
        <v>0</v>
      </c>
      <c r="HO223" s="146">
        <v>0</v>
      </c>
      <c r="HP223" s="146">
        <v>0</v>
      </c>
      <c r="HQ223" s="146">
        <v>0</v>
      </c>
      <c r="HR223" s="146">
        <v>0</v>
      </c>
      <c r="HS223" s="146">
        <v>0</v>
      </c>
      <c r="HT223" s="146">
        <v>0</v>
      </c>
      <c r="HU223" s="151"/>
      <c r="HV223" s="146">
        <v>0</v>
      </c>
      <c r="HW223" s="151"/>
      <c r="HX223" s="151"/>
      <c r="HY223" s="151"/>
      <c r="HZ223" s="151"/>
      <c r="IA223" s="151"/>
      <c r="IB223" s="151"/>
      <c r="IC223" s="151"/>
      <c r="ID223" s="151"/>
      <c r="IE223" s="151"/>
      <c r="IF223" s="151"/>
      <c r="IG223" s="151"/>
      <c r="IH223" s="151"/>
      <c r="II223" s="151"/>
      <c r="IJ223" s="151"/>
      <c r="IK223" s="151"/>
      <c r="IL223" s="151"/>
      <c r="IM223" s="151"/>
      <c r="IN223" s="151"/>
      <c r="IO223" s="151"/>
      <c r="IP223" s="151"/>
      <c r="IQ223" s="151"/>
      <c r="IR223" s="151"/>
      <c r="IS223" s="151"/>
      <c r="IT223" s="151"/>
      <c r="IU223" s="151"/>
      <c r="IV223" s="151"/>
      <c r="IW223" s="151"/>
      <c r="IX223" s="151"/>
      <c r="IY223" s="151"/>
      <c r="IZ223" s="151"/>
      <c r="JA223" s="151"/>
      <c r="JB223" s="151"/>
      <c r="JC223" s="151"/>
      <c r="JD223" s="151"/>
      <c r="JE223" s="151"/>
      <c r="JF223" s="151"/>
      <c r="JG223" s="151"/>
      <c r="JH223" s="151"/>
      <c r="JI223" s="151"/>
      <c r="JJ223" s="151"/>
      <c r="JK223" s="151"/>
      <c r="JL223" s="151"/>
      <c r="JM223" s="151"/>
      <c r="JN223" s="151"/>
      <c r="JO223" s="151"/>
      <c r="JP223" s="151"/>
      <c r="JQ223" s="151"/>
      <c r="JR223" s="151"/>
      <c r="JS223" s="151"/>
      <c r="JT223" s="151"/>
      <c r="JU223" s="151"/>
      <c r="JV223" s="151"/>
      <c r="JW223" s="151"/>
      <c r="JX223" s="151"/>
      <c r="JY223" s="151"/>
      <c r="JZ223" s="151"/>
      <c r="KA223" s="151"/>
      <c r="KB223" s="151"/>
      <c r="KC223" s="151"/>
      <c r="KD223" s="151"/>
      <c r="KE223" s="151"/>
      <c r="KF223" s="151"/>
      <c r="KG223" s="151"/>
      <c r="KH223" s="151"/>
      <c r="KI223" s="151"/>
      <c r="KJ223" s="151"/>
      <c r="KK223" s="151"/>
      <c r="KL223" s="151"/>
      <c r="KM223" s="151"/>
      <c r="KN223" s="151"/>
      <c r="KO223" s="151"/>
      <c r="KP223" s="151"/>
      <c r="KQ223" s="151"/>
      <c r="KR223" s="151"/>
      <c r="KS223" s="151"/>
      <c r="KT223" s="151"/>
      <c r="KU223" s="151"/>
      <c r="KV223" s="151"/>
      <c r="KW223" s="151"/>
      <c r="KX223" s="151"/>
      <c r="KY223" s="151"/>
      <c r="KZ223" s="151"/>
      <c r="LA223" s="151"/>
      <c r="LB223" s="151"/>
      <c r="LC223" s="151"/>
      <c r="LD223" s="151"/>
      <c r="LE223" s="151"/>
    </row>
    <row r="224" spans="1:317" x14ac:dyDescent="0.2">
      <c r="A224" s="179" t="s">
        <v>849</v>
      </c>
      <c r="B224" s="180" t="s">
        <v>1123</v>
      </c>
      <c r="C224" s="181"/>
      <c r="D224" s="182">
        <v>0</v>
      </c>
      <c r="E224" s="182">
        <v>0</v>
      </c>
      <c r="F224" s="183" t="s">
        <v>1316</v>
      </c>
      <c r="G224" s="183">
        <v>0</v>
      </c>
      <c r="H224" s="183">
        <v>0</v>
      </c>
      <c r="I224" s="183">
        <v>0</v>
      </c>
      <c r="J224" s="183">
        <v>0</v>
      </c>
      <c r="K224" s="183" t="s">
        <v>1368</v>
      </c>
      <c r="L224" s="183">
        <v>0</v>
      </c>
      <c r="M224" s="183">
        <v>0</v>
      </c>
      <c r="N224" s="183" t="s">
        <v>881</v>
      </c>
      <c r="O224" s="183">
        <v>0</v>
      </c>
      <c r="P224" s="183">
        <v>0</v>
      </c>
      <c r="Q224" s="183"/>
      <c r="R224" s="183"/>
      <c r="S224" s="183"/>
      <c r="T224" s="183"/>
      <c r="U224" s="183"/>
      <c r="V224" s="183">
        <v>0</v>
      </c>
      <c r="W224" s="183">
        <v>0</v>
      </c>
      <c r="X224" s="183">
        <v>0</v>
      </c>
      <c r="Y224" s="184">
        <v>0</v>
      </c>
      <c r="Z224" s="184">
        <v>0</v>
      </c>
      <c r="AA224" s="184">
        <v>0</v>
      </c>
      <c r="AB224" s="185" t="s">
        <v>615</v>
      </c>
      <c r="AC224" s="185" t="s">
        <v>615</v>
      </c>
      <c r="AD224" s="186" t="s">
        <v>881</v>
      </c>
      <c r="AE224" s="186" t="s">
        <v>858</v>
      </c>
      <c r="AF224" s="187">
        <v>7</v>
      </c>
      <c r="AG224" s="187">
        <v>3</v>
      </c>
      <c r="AH224" s="187">
        <v>4</v>
      </c>
      <c r="AI224" s="188">
        <v>1</v>
      </c>
      <c r="AJ224" s="188" t="s">
        <v>615</v>
      </c>
      <c r="AK224" s="187" t="s">
        <v>1738</v>
      </c>
      <c r="AL224" s="87" t="s">
        <v>615</v>
      </c>
      <c r="AM224" s="189"/>
      <c r="AN224" s="187" t="s">
        <v>615</v>
      </c>
      <c r="AO224" s="13" t="s">
        <v>615</v>
      </c>
      <c r="AP224" s="187">
        <v>0</v>
      </c>
      <c r="AQ224" s="187">
        <v>0</v>
      </c>
      <c r="AR224" s="190">
        <v>0</v>
      </c>
      <c r="AS224" s="190">
        <v>0</v>
      </c>
      <c r="AT224" s="190">
        <v>0</v>
      </c>
      <c r="AU224" s="187">
        <v>0</v>
      </c>
      <c r="AV224" s="187">
        <v>0</v>
      </c>
      <c r="AW224" s="191"/>
      <c r="AX224" s="192"/>
      <c r="AY224" s="193">
        <v>42666</v>
      </c>
      <c r="AZ224" s="193"/>
      <c r="BA224" s="193"/>
      <c r="BB224" s="194"/>
      <c r="BC224" s="194"/>
      <c r="BD224" s="195"/>
      <c r="BE224" s="195" t="s">
        <v>532</v>
      </c>
      <c r="BF224" s="195"/>
      <c r="BG224" s="195">
        <v>24</v>
      </c>
      <c r="BH224" s="196" t="s">
        <v>547</v>
      </c>
      <c r="BI224" s="197">
        <v>1</v>
      </c>
      <c r="BJ224" s="198"/>
      <c r="BK224" s="199">
        <v>0</v>
      </c>
      <c r="BL224" s="13">
        <v>0</v>
      </c>
      <c r="BM224" s="13">
        <v>0</v>
      </c>
      <c r="BN224" s="13" t="s">
        <v>616</v>
      </c>
      <c r="BO224" s="13" t="s">
        <v>616</v>
      </c>
      <c r="BP224" s="200">
        <v>0</v>
      </c>
      <c r="BQ224" s="201"/>
      <c r="BR224" s="202"/>
      <c r="BS224" s="187">
        <v>1000000000</v>
      </c>
      <c r="BT224" s="203">
        <v>0</v>
      </c>
      <c r="BU224" s="204">
        <v>0</v>
      </c>
      <c r="BV224" s="203">
        <v>0</v>
      </c>
      <c r="BW224" s="205">
        <v>0</v>
      </c>
      <c r="BX224" s="205">
        <v>0</v>
      </c>
      <c r="BY224" s="205">
        <v>0</v>
      </c>
      <c r="BZ224" s="203">
        <v>0</v>
      </c>
      <c r="CA224" s="203">
        <v>0</v>
      </c>
      <c r="CB224" s="203">
        <v>0</v>
      </c>
      <c r="CC224" s="204">
        <v>0</v>
      </c>
      <c r="CD224" s="203">
        <v>0</v>
      </c>
      <c r="CE224" s="203">
        <v>0</v>
      </c>
      <c r="CF224" s="13">
        <v>0</v>
      </c>
      <c r="CG224" s="206">
        <v>0</v>
      </c>
      <c r="CH224" s="207">
        <v>0</v>
      </c>
      <c r="CI224" s="201"/>
      <c r="CJ224" s="208"/>
      <c r="CK224" s="209" t="s">
        <v>615</v>
      </c>
      <c r="CL224" s="210" t="s">
        <v>615</v>
      </c>
      <c r="CM224" s="207">
        <v>0</v>
      </c>
      <c r="CN224" s="207">
        <v>0</v>
      </c>
      <c r="CO224" s="204">
        <v>0</v>
      </c>
      <c r="CP224" s="204">
        <v>0</v>
      </c>
      <c r="CQ224" s="211"/>
      <c r="CR224" s="204">
        <v>1</v>
      </c>
      <c r="CS224" s="212">
        <v>42558</v>
      </c>
      <c r="CT224" s="212">
        <v>42780</v>
      </c>
      <c r="CU224" s="213">
        <v>42780</v>
      </c>
      <c r="CV224" s="214">
        <v>42829</v>
      </c>
      <c r="CW224" s="214" t="s">
        <v>615</v>
      </c>
      <c r="CX224" s="214" t="s">
        <v>615</v>
      </c>
      <c r="CY224" s="204">
        <v>1</v>
      </c>
      <c r="CZ224" s="204">
        <v>0.97959183673469385</v>
      </c>
      <c r="DA224" s="203">
        <v>0</v>
      </c>
      <c r="DB224" s="204">
        <v>0.97959183673469385</v>
      </c>
      <c r="DC224" s="204">
        <v>0</v>
      </c>
      <c r="DD224" s="204">
        <v>0</v>
      </c>
      <c r="DE224" s="204">
        <v>0</v>
      </c>
      <c r="DF224" s="215">
        <v>0</v>
      </c>
      <c r="DG224" s="13" t="s">
        <v>615</v>
      </c>
      <c r="DH224" s="86">
        <v>222</v>
      </c>
      <c r="DI224" s="86"/>
      <c r="DJ224" s="86">
        <v>226</v>
      </c>
      <c r="DK224" s="86" t="s">
        <v>1685</v>
      </c>
      <c r="DL224" s="86" t="e">
        <v>#N/A</v>
      </c>
      <c r="DM224" s="86" t="e">
        <v>#N/A</v>
      </c>
      <c r="DN224" s="86" t="e">
        <v>#N/A</v>
      </c>
      <c r="DO224" s="86">
        <v>391</v>
      </c>
      <c r="DP224" s="86">
        <v>5</v>
      </c>
      <c r="DQ224" s="86">
        <v>49</v>
      </c>
      <c r="DR224" s="152">
        <v>0</v>
      </c>
      <c r="DS224" s="152">
        <v>0</v>
      </c>
      <c r="DT224" s="152">
        <v>0</v>
      </c>
      <c r="DU224" s="152">
        <v>0</v>
      </c>
      <c r="DV224" s="152">
        <v>0</v>
      </c>
      <c r="DW224" s="152">
        <v>0</v>
      </c>
      <c r="DX224" s="152">
        <v>0</v>
      </c>
      <c r="DY224" s="152">
        <v>0</v>
      </c>
      <c r="DZ224" s="152">
        <v>0</v>
      </c>
      <c r="EA224" s="152">
        <v>0</v>
      </c>
      <c r="EB224" s="152">
        <v>0</v>
      </c>
      <c r="EC224" s="152">
        <v>0</v>
      </c>
      <c r="ED224" s="152">
        <v>0</v>
      </c>
      <c r="EE224" s="152">
        <v>0</v>
      </c>
      <c r="EF224" s="152">
        <v>0</v>
      </c>
      <c r="EG224" s="152">
        <v>0</v>
      </c>
      <c r="EH224" s="152">
        <v>0</v>
      </c>
      <c r="EI224" s="152">
        <v>0</v>
      </c>
      <c r="EJ224" s="152">
        <v>0</v>
      </c>
      <c r="EK224" s="152">
        <v>0</v>
      </c>
      <c r="EL224" s="152">
        <v>0</v>
      </c>
      <c r="EM224" s="152">
        <v>0</v>
      </c>
      <c r="EN224" s="152">
        <v>0</v>
      </c>
      <c r="EO224" s="152">
        <v>0</v>
      </c>
      <c r="EP224" s="152">
        <v>0</v>
      </c>
      <c r="EQ224" s="152">
        <v>0</v>
      </c>
      <c r="ER224" s="152">
        <v>0</v>
      </c>
      <c r="ES224" s="152">
        <v>0</v>
      </c>
      <c r="ET224" s="152">
        <v>0</v>
      </c>
      <c r="EU224" s="152">
        <v>0</v>
      </c>
      <c r="EV224" s="152">
        <v>0</v>
      </c>
      <c r="EW224" s="152">
        <v>0</v>
      </c>
      <c r="EX224" s="152">
        <v>0</v>
      </c>
      <c r="EY224" s="152">
        <v>0</v>
      </c>
      <c r="EZ224" s="152">
        <v>0</v>
      </c>
      <c r="FA224" s="152">
        <v>0</v>
      </c>
      <c r="FB224" s="152">
        <v>0</v>
      </c>
      <c r="FC224" s="152">
        <v>0</v>
      </c>
      <c r="FD224" s="152">
        <v>0</v>
      </c>
      <c r="FE224" s="152">
        <v>0</v>
      </c>
      <c r="FF224" s="152">
        <v>0</v>
      </c>
      <c r="FG224" s="152">
        <v>0</v>
      </c>
      <c r="FH224" s="152">
        <v>0</v>
      </c>
      <c r="FI224" s="152">
        <v>0</v>
      </c>
      <c r="FJ224" s="152">
        <v>0</v>
      </c>
      <c r="FK224" s="152">
        <v>0</v>
      </c>
      <c r="FL224" s="152">
        <v>0</v>
      </c>
      <c r="FM224" s="152">
        <v>0</v>
      </c>
      <c r="FN224" s="152">
        <v>0</v>
      </c>
      <c r="FO224" s="152">
        <v>0</v>
      </c>
      <c r="FP224" s="152">
        <v>0</v>
      </c>
      <c r="FQ224" s="152">
        <v>0</v>
      </c>
      <c r="FR224" s="152">
        <v>0</v>
      </c>
      <c r="FS224" s="152">
        <v>0</v>
      </c>
      <c r="FT224" s="152">
        <v>0</v>
      </c>
      <c r="FU224" s="152">
        <v>0</v>
      </c>
      <c r="FV224" s="152">
        <v>0</v>
      </c>
      <c r="FW224" s="152">
        <v>0</v>
      </c>
      <c r="FX224" s="152">
        <v>0</v>
      </c>
      <c r="FY224" s="152">
        <v>0</v>
      </c>
      <c r="FZ224" s="152">
        <v>0</v>
      </c>
      <c r="GA224" s="152">
        <v>0</v>
      </c>
      <c r="GB224" s="152">
        <v>0</v>
      </c>
      <c r="GC224" s="152">
        <v>0</v>
      </c>
      <c r="GD224" s="152">
        <v>0</v>
      </c>
      <c r="GE224" s="152">
        <v>0</v>
      </c>
      <c r="GF224" s="152">
        <v>0</v>
      </c>
      <c r="GG224" s="152">
        <v>0</v>
      </c>
      <c r="GH224" s="152">
        <v>0</v>
      </c>
      <c r="GI224" s="152">
        <v>0</v>
      </c>
      <c r="GJ224" s="152">
        <v>0</v>
      </c>
      <c r="GK224" s="152">
        <v>0</v>
      </c>
      <c r="GL224" s="152">
        <v>0</v>
      </c>
      <c r="GM224" s="152">
        <v>0</v>
      </c>
      <c r="GN224" s="152">
        <v>0</v>
      </c>
      <c r="GO224" s="152">
        <v>0</v>
      </c>
      <c r="GP224" s="152">
        <v>0</v>
      </c>
      <c r="GQ224" s="152">
        <v>0</v>
      </c>
      <c r="GR224" s="152">
        <v>0</v>
      </c>
      <c r="GS224" s="152">
        <v>0</v>
      </c>
      <c r="GT224" s="152">
        <v>0</v>
      </c>
      <c r="GU224" s="152">
        <v>0</v>
      </c>
      <c r="GV224" s="152">
        <v>0</v>
      </c>
      <c r="GW224" s="152">
        <v>0</v>
      </c>
      <c r="GX224" s="152">
        <v>0</v>
      </c>
      <c r="GY224" s="152">
        <v>0</v>
      </c>
      <c r="GZ224" s="152">
        <v>0</v>
      </c>
      <c r="HA224" s="152">
        <v>0</v>
      </c>
      <c r="HB224" s="152">
        <v>0</v>
      </c>
      <c r="HC224" s="152">
        <v>0</v>
      </c>
      <c r="HD224" s="152">
        <v>0</v>
      </c>
      <c r="HE224" s="152">
        <v>0</v>
      </c>
      <c r="HF224" s="152">
        <v>0</v>
      </c>
      <c r="HG224" s="152">
        <v>0</v>
      </c>
      <c r="HH224" s="152">
        <v>0</v>
      </c>
      <c r="HI224" s="152">
        <v>0</v>
      </c>
      <c r="HJ224" s="152">
        <v>0</v>
      </c>
      <c r="HK224" s="152">
        <v>0</v>
      </c>
      <c r="HL224" s="152">
        <v>0</v>
      </c>
      <c r="HM224" s="152">
        <v>0</v>
      </c>
      <c r="HN224" s="152">
        <v>0</v>
      </c>
      <c r="HO224" s="152">
        <v>0</v>
      </c>
      <c r="HP224" s="152">
        <v>0</v>
      </c>
      <c r="HQ224" s="152">
        <v>0</v>
      </c>
      <c r="HR224" s="152">
        <v>0</v>
      </c>
      <c r="HS224" s="152">
        <v>0</v>
      </c>
      <c r="HT224" s="152">
        <v>0</v>
      </c>
      <c r="HU224" s="216"/>
      <c r="HV224" s="152">
        <v>0</v>
      </c>
      <c r="HW224" s="216"/>
      <c r="HX224" s="216"/>
      <c r="HY224" s="216"/>
      <c r="HZ224" s="216"/>
      <c r="IA224" s="216"/>
      <c r="IB224" s="216"/>
      <c r="IC224" s="216"/>
      <c r="ID224" s="216"/>
      <c r="IE224" s="216"/>
      <c r="IF224" s="216"/>
      <c r="IG224" s="216"/>
      <c r="IH224" s="216"/>
      <c r="II224" s="216"/>
      <c r="IJ224" s="216"/>
      <c r="IK224" s="216"/>
      <c r="IL224" s="216"/>
      <c r="IM224" s="216"/>
      <c r="IN224" s="216"/>
      <c r="IO224" s="216"/>
      <c r="IP224" s="216"/>
      <c r="IQ224" s="216"/>
      <c r="IR224" s="216"/>
      <c r="IS224" s="216"/>
      <c r="IT224" s="216"/>
      <c r="IU224" s="216"/>
      <c r="IV224" s="216"/>
      <c r="IW224" s="216"/>
      <c r="IX224" s="216"/>
      <c r="IY224" s="216"/>
      <c r="IZ224" s="216"/>
      <c r="JA224" s="216"/>
      <c r="JB224" s="216"/>
      <c r="JC224" s="216"/>
      <c r="JD224" s="216"/>
      <c r="JE224" s="216"/>
      <c r="JF224" s="216"/>
      <c r="JG224" s="216"/>
      <c r="JH224" s="216"/>
      <c r="JI224" s="216"/>
      <c r="JJ224" s="216"/>
      <c r="JK224" s="216"/>
      <c r="JL224" s="216"/>
      <c r="JM224" s="216"/>
      <c r="JN224" s="216"/>
      <c r="JO224" s="216"/>
      <c r="JP224" s="216"/>
      <c r="JQ224" s="216"/>
      <c r="JR224" s="216"/>
      <c r="JS224" s="216"/>
      <c r="JT224" s="216"/>
      <c r="JU224" s="216"/>
      <c r="JV224" s="216"/>
      <c r="JW224" s="216"/>
      <c r="JX224" s="216"/>
      <c r="JY224" s="216"/>
      <c r="JZ224" s="216"/>
      <c r="KA224" s="216"/>
      <c r="KB224" s="216"/>
      <c r="KC224" s="216"/>
      <c r="KD224" s="216"/>
      <c r="KE224" s="216"/>
      <c r="KF224" s="216"/>
      <c r="KG224" s="216"/>
      <c r="KH224" s="216"/>
      <c r="KI224" s="216"/>
      <c r="KJ224" s="216"/>
      <c r="KK224" s="216"/>
      <c r="KL224" s="216"/>
      <c r="KM224" s="216"/>
      <c r="KN224" s="216"/>
      <c r="KO224" s="216"/>
      <c r="KP224" s="216"/>
      <c r="KQ224" s="216"/>
      <c r="KR224" s="216"/>
      <c r="KS224" s="216"/>
      <c r="KT224" s="216"/>
      <c r="KU224" s="216"/>
      <c r="KV224" s="216"/>
      <c r="KW224" s="216"/>
      <c r="KX224" s="216"/>
      <c r="KY224" s="216"/>
      <c r="KZ224" s="216"/>
      <c r="LA224" s="216"/>
      <c r="LB224" s="216"/>
      <c r="LC224" s="216"/>
      <c r="LD224" s="216"/>
      <c r="LE224" s="216"/>
    </row>
    <row r="225" spans="1:317" x14ac:dyDescent="0.2">
      <c r="A225" s="179" t="s">
        <v>849</v>
      </c>
      <c r="B225" s="180" t="s">
        <v>1124</v>
      </c>
      <c r="C225" s="181"/>
      <c r="D225" s="182">
        <v>0</v>
      </c>
      <c r="E225" s="182">
        <v>0</v>
      </c>
      <c r="F225" s="183" t="s">
        <v>1316</v>
      </c>
      <c r="G225" s="183">
        <v>0</v>
      </c>
      <c r="H225" s="183">
        <v>0</v>
      </c>
      <c r="I225" s="183">
        <v>0</v>
      </c>
      <c r="J225" s="183">
        <v>0</v>
      </c>
      <c r="K225" s="183" t="s">
        <v>1368</v>
      </c>
      <c r="L225" s="183">
        <v>0</v>
      </c>
      <c r="M225" s="183">
        <v>0</v>
      </c>
      <c r="N225" s="183" t="s">
        <v>881</v>
      </c>
      <c r="O225" s="183">
        <v>0</v>
      </c>
      <c r="P225" s="183">
        <v>0</v>
      </c>
      <c r="Q225" s="183"/>
      <c r="R225" s="183"/>
      <c r="S225" s="183"/>
      <c r="T225" s="183"/>
      <c r="U225" s="183"/>
      <c r="V225" s="183">
        <v>0</v>
      </c>
      <c r="W225" s="183">
        <v>0</v>
      </c>
      <c r="X225" s="183">
        <v>0</v>
      </c>
      <c r="Y225" s="184">
        <v>0</v>
      </c>
      <c r="Z225" s="184">
        <v>0</v>
      </c>
      <c r="AA225" s="184">
        <v>0</v>
      </c>
      <c r="AB225" s="185" t="s">
        <v>615</v>
      </c>
      <c r="AC225" s="185" t="s">
        <v>615</v>
      </c>
      <c r="AD225" s="186" t="s">
        <v>881</v>
      </c>
      <c r="AE225" s="186" t="s">
        <v>858</v>
      </c>
      <c r="AF225" s="187">
        <v>7</v>
      </c>
      <c r="AG225" s="187">
        <v>3</v>
      </c>
      <c r="AH225" s="187">
        <v>4</v>
      </c>
      <c r="AI225" s="188">
        <v>1</v>
      </c>
      <c r="AJ225" s="188" t="s">
        <v>615</v>
      </c>
      <c r="AK225" s="187" t="s">
        <v>1738</v>
      </c>
      <c r="AL225" s="87" t="s">
        <v>615</v>
      </c>
      <c r="AM225" s="189"/>
      <c r="AN225" s="187" t="s">
        <v>615</v>
      </c>
      <c r="AO225" s="13" t="s">
        <v>615</v>
      </c>
      <c r="AP225" s="187">
        <v>0</v>
      </c>
      <c r="AQ225" s="187">
        <v>0</v>
      </c>
      <c r="AR225" s="190">
        <v>0</v>
      </c>
      <c r="AS225" s="190">
        <v>0</v>
      </c>
      <c r="AT225" s="190">
        <v>0</v>
      </c>
      <c r="AU225" s="187">
        <v>0</v>
      </c>
      <c r="AV225" s="187">
        <v>0</v>
      </c>
      <c r="AW225" s="191"/>
      <c r="AX225" s="192"/>
      <c r="AY225" s="193">
        <v>42666</v>
      </c>
      <c r="AZ225" s="193"/>
      <c r="BA225" s="193"/>
      <c r="BB225" s="194"/>
      <c r="BC225" s="194"/>
      <c r="BD225" s="195"/>
      <c r="BE225" s="195" t="s">
        <v>532</v>
      </c>
      <c r="BF225" s="195"/>
      <c r="BG225" s="195">
        <v>24</v>
      </c>
      <c r="BH225" s="196" t="s">
        <v>547</v>
      </c>
      <c r="BI225" s="197">
        <v>1</v>
      </c>
      <c r="BJ225" s="198"/>
      <c r="BK225" s="199">
        <v>0</v>
      </c>
      <c r="BL225" s="13">
        <v>0</v>
      </c>
      <c r="BM225" s="13">
        <v>0</v>
      </c>
      <c r="BN225" s="13" t="s">
        <v>616</v>
      </c>
      <c r="BO225" s="13" t="s">
        <v>616</v>
      </c>
      <c r="BP225" s="200">
        <v>0</v>
      </c>
      <c r="BQ225" s="201"/>
      <c r="BR225" s="202"/>
      <c r="BS225" s="187">
        <v>1000000000</v>
      </c>
      <c r="BT225" s="203">
        <v>0</v>
      </c>
      <c r="BU225" s="204">
        <v>0</v>
      </c>
      <c r="BV225" s="203">
        <v>0</v>
      </c>
      <c r="BW225" s="205">
        <v>0</v>
      </c>
      <c r="BX225" s="205">
        <v>0</v>
      </c>
      <c r="BY225" s="205">
        <v>0</v>
      </c>
      <c r="BZ225" s="203">
        <v>0</v>
      </c>
      <c r="CA225" s="203">
        <v>0</v>
      </c>
      <c r="CB225" s="203">
        <v>0</v>
      </c>
      <c r="CC225" s="204">
        <v>0</v>
      </c>
      <c r="CD225" s="203">
        <v>0</v>
      </c>
      <c r="CE225" s="203">
        <v>0</v>
      </c>
      <c r="CF225" s="13">
        <v>0</v>
      </c>
      <c r="CG225" s="206">
        <v>0</v>
      </c>
      <c r="CH225" s="207">
        <v>0</v>
      </c>
      <c r="CI225" s="201"/>
      <c r="CJ225" s="208"/>
      <c r="CK225" s="209" t="s">
        <v>615</v>
      </c>
      <c r="CL225" s="210" t="s">
        <v>615</v>
      </c>
      <c r="CM225" s="207">
        <v>0</v>
      </c>
      <c r="CN225" s="207">
        <v>0</v>
      </c>
      <c r="CO225" s="204">
        <v>0</v>
      </c>
      <c r="CP225" s="204">
        <v>0</v>
      </c>
      <c r="CQ225" s="211"/>
      <c r="CR225" s="204">
        <v>1</v>
      </c>
      <c r="CS225" s="212">
        <v>42558</v>
      </c>
      <c r="CT225" s="212">
        <v>42780</v>
      </c>
      <c r="CU225" s="213">
        <v>42780</v>
      </c>
      <c r="CV225" s="214">
        <v>42829</v>
      </c>
      <c r="CW225" s="214" t="s">
        <v>615</v>
      </c>
      <c r="CX225" s="214" t="s">
        <v>615</v>
      </c>
      <c r="CY225" s="204">
        <v>1</v>
      </c>
      <c r="CZ225" s="204">
        <v>0.97959183673469385</v>
      </c>
      <c r="DA225" s="203">
        <v>0</v>
      </c>
      <c r="DB225" s="204">
        <v>0.97959183673469385</v>
      </c>
      <c r="DC225" s="204">
        <v>0</v>
      </c>
      <c r="DD225" s="204">
        <v>0</v>
      </c>
      <c r="DE225" s="204">
        <v>0</v>
      </c>
      <c r="DF225" s="215">
        <v>0</v>
      </c>
      <c r="DG225" s="13" t="s">
        <v>615</v>
      </c>
      <c r="DH225" s="86">
        <v>223</v>
      </c>
      <c r="DI225" s="86"/>
      <c r="DJ225" s="86">
        <v>227</v>
      </c>
      <c r="DK225" s="86" t="s">
        <v>1686</v>
      </c>
      <c r="DL225" s="86" t="e">
        <v>#N/A</v>
      </c>
      <c r="DM225" s="86" t="e">
        <v>#N/A</v>
      </c>
      <c r="DN225" s="86" t="e">
        <v>#N/A</v>
      </c>
      <c r="DO225" s="86">
        <v>392</v>
      </c>
      <c r="DP225" s="86">
        <v>5</v>
      </c>
      <c r="DQ225" s="86">
        <v>49</v>
      </c>
      <c r="DR225" s="146">
        <v>0</v>
      </c>
      <c r="DS225" s="146">
        <v>0</v>
      </c>
      <c r="DT225" s="146">
        <v>0</v>
      </c>
      <c r="DU225" s="146">
        <v>0</v>
      </c>
      <c r="DV225" s="146">
        <v>0</v>
      </c>
      <c r="DW225" s="146">
        <v>0</v>
      </c>
      <c r="DX225" s="146">
        <v>0</v>
      </c>
      <c r="DY225" s="146">
        <v>0</v>
      </c>
      <c r="DZ225" s="146">
        <v>0</v>
      </c>
      <c r="EA225" s="146">
        <v>0</v>
      </c>
      <c r="EB225" s="146">
        <v>0</v>
      </c>
      <c r="EC225" s="146">
        <v>0</v>
      </c>
      <c r="ED225" s="146">
        <v>0</v>
      </c>
      <c r="EE225" s="146">
        <v>0</v>
      </c>
      <c r="EF225" s="146">
        <v>0</v>
      </c>
      <c r="EG225" s="146">
        <v>0</v>
      </c>
      <c r="EH225" s="146">
        <v>0</v>
      </c>
      <c r="EI225" s="146">
        <v>0</v>
      </c>
      <c r="EJ225" s="146">
        <v>0</v>
      </c>
      <c r="EK225" s="146">
        <v>0</v>
      </c>
      <c r="EL225" s="146">
        <v>0</v>
      </c>
      <c r="EM225" s="146">
        <v>0</v>
      </c>
      <c r="EN225" s="146">
        <v>0</v>
      </c>
      <c r="EO225" s="146">
        <v>0</v>
      </c>
      <c r="EP225" s="146">
        <v>0</v>
      </c>
      <c r="EQ225" s="146">
        <v>0</v>
      </c>
      <c r="ER225" s="146">
        <v>0</v>
      </c>
      <c r="ES225" s="146">
        <v>0</v>
      </c>
      <c r="ET225" s="146">
        <v>0</v>
      </c>
      <c r="EU225" s="146">
        <v>0</v>
      </c>
      <c r="EV225" s="146">
        <v>0</v>
      </c>
      <c r="EW225" s="146">
        <v>0</v>
      </c>
      <c r="EX225" s="146">
        <v>0</v>
      </c>
      <c r="EY225" s="146">
        <v>0</v>
      </c>
      <c r="EZ225" s="146">
        <v>0</v>
      </c>
      <c r="FA225" s="146">
        <v>0</v>
      </c>
      <c r="FB225" s="146">
        <v>0</v>
      </c>
      <c r="FC225" s="146">
        <v>0</v>
      </c>
      <c r="FD225" s="146">
        <v>0</v>
      </c>
      <c r="FE225" s="146">
        <v>0</v>
      </c>
      <c r="FF225" s="146">
        <v>0</v>
      </c>
      <c r="FG225" s="146">
        <v>0</v>
      </c>
      <c r="FH225" s="146">
        <v>0</v>
      </c>
      <c r="FI225" s="146">
        <v>0</v>
      </c>
      <c r="FJ225" s="146">
        <v>0</v>
      </c>
      <c r="FK225" s="146">
        <v>0</v>
      </c>
      <c r="FL225" s="146">
        <v>0</v>
      </c>
      <c r="FM225" s="146">
        <v>0</v>
      </c>
      <c r="FN225" s="146">
        <v>0</v>
      </c>
      <c r="FO225" s="146">
        <v>0</v>
      </c>
      <c r="FP225" s="146">
        <v>0</v>
      </c>
      <c r="FQ225" s="146">
        <v>0</v>
      </c>
      <c r="FR225" s="146">
        <v>0</v>
      </c>
      <c r="FS225" s="146">
        <v>0</v>
      </c>
      <c r="FT225" s="146">
        <v>0</v>
      </c>
      <c r="FU225" s="146">
        <v>0</v>
      </c>
      <c r="FV225" s="146">
        <v>0</v>
      </c>
      <c r="FW225" s="146">
        <v>0</v>
      </c>
      <c r="FX225" s="146">
        <v>0</v>
      </c>
      <c r="FY225" s="146">
        <v>0</v>
      </c>
      <c r="FZ225" s="146">
        <v>0</v>
      </c>
      <c r="GA225" s="146">
        <v>0</v>
      </c>
      <c r="GB225" s="146">
        <v>0</v>
      </c>
      <c r="GC225" s="146">
        <v>0</v>
      </c>
      <c r="GD225" s="146">
        <v>0</v>
      </c>
      <c r="GE225" s="146">
        <v>0</v>
      </c>
      <c r="GF225" s="146">
        <v>0</v>
      </c>
      <c r="GG225" s="146">
        <v>0</v>
      </c>
      <c r="GH225" s="146">
        <v>0</v>
      </c>
      <c r="GI225" s="146">
        <v>0</v>
      </c>
      <c r="GJ225" s="146">
        <v>0</v>
      </c>
      <c r="GK225" s="146">
        <v>0</v>
      </c>
      <c r="GL225" s="146">
        <v>0</v>
      </c>
      <c r="GM225" s="146">
        <v>0</v>
      </c>
      <c r="GN225" s="146">
        <v>0</v>
      </c>
      <c r="GO225" s="146">
        <v>0</v>
      </c>
      <c r="GP225" s="146">
        <v>0</v>
      </c>
      <c r="GQ225" s="146">
        <v>0</v>
      </c>
      <c r="GR225" s="146">
        <v>0</v>
      </c>
      <c r="GS225" s="146">
        <v>0</v>
      </c>
      <c r="GT225" s="146">
        <v>0</v>
      </c>
      <c r="GU225" s="146">
        <v>0</v>
      </c>
      <c r="GV225" s="146">
        <v>0</v>
      </c>
      <c r="GW225" s="146">
        <v>0</v>
      </c>
      <c r="GX225" s="146">
        <v>0</v>
      </c>
      <c r="GY225" s="146">
        <v>0</v>
      </c>
      <c r="GZ225" s="146">
        <v>0</v>
      </c>
      <c r="HA225" s="146">
        <v>0</v>
      </c>
      <c r="HB225" s="146">
        <v>0</v>
      </c>
      <c r="HC225" s="146">
        <v>0</v>
      </c>
      <c r="HD225" s="146">
        <v>0</v>
      </c>
      <c r="HE225" s="146">
        <v>0</v>
      </c>
      <c r="HF225" s="146">
        <v>0</v>
      </c>
      <c r="HG225" s="146">
        <v>0</v>
      </c>
      <c r="HH225" s="146">
        <v>0</v>
      </c>
      <c r="HI225" s="146">
        <v>0</v>
      </c>
      <c r="HJ225" s="146">
        <v>0</v>
      </c>
      <c r="HK225" s="146">
        <v>0</v>
      </c>
      <c r="HL225" s="146">
        <v>0</v>
      </c>
      <c r="HM225" s="146">
        <v>0</v>
      </c>
      <c r="HN225" s="146">
        <v>0</v>
      </c>
      <c r="HO225" s="146">
        <v>0</v>
      </c>
      <c r="HP225" s="146">
        <v>0</v>
      </c>
      <c r="HQ225" s="146">
        <v>0</v>
      </c>
      <c r="HR225" s="146">
        <v>0</v>
      </c>
      <c r="HS225" s="146">
        <v>0</v>
      </c>
      <c r="HT225" s="146">
        <v>0</v>
      </c>
      <c r="HU225" s="151"/>
      <c r="HV225" s="146">
        <v>0</v>
      </c>
      <c r="HW225" s="151"/>
      <c r="HX225" s="151"/>
      <c r="HY225" s="151"/>
      <c r="HZ225" s="151"/>
      <c r="IA225" s="151"/>
      <c r="IB225" s="151"/>
      <c r="IC225" s="151"/>
      <c r="ID225" s="151"/>
      <c r="IE225" s="151"/>
      <c r="IF225" s="151"/>
      <c r="IG225" s="151"/>
      <c r="IH225" s="151"/>
      <c r="II225" s="151"/>
      <c r="IJ225" s="151"/>
      <c r="IK225" s="151"/>
      <c r="IL225" s="151"/>
      <c r="IM225" s="151"/>
      <c r="IN225" s="151"/>
      <c r="IO225" s="151"/>
      <c r="IP225" s="151"/>
      <c r="IQ225" s="151"/>
      <c r="IR225" s="151"/>
      <c r="IS225" s="151"/>
      <c r="IT225" s="151"/>
      <c r="IU225" s="151"/>
      <c r="IV225" s="151"/>
      <c r="IW225" s="151"/>
      <c r="IX225" s="151"/>
      <c r="IY225" s="151"/>
      <c r="IZ225" s="151"/>
      <c r="JA225" s="151"/>
      <c r="JB225" s="151"/>
      <c r="JC225" s="151"/>
      <c r="JD225" s="151"/>
      <c r="JE225" s="151"/>
      <c r="JF225" s="151"/>
      <c r="JG225" s="151"/>
      <c r="JH225" s="151"/>
      <c r="JI225" s="151"/>
      <c r="JJ225" s="151"/>
      <c r="JK225" s="151"/>
      <c r="JL225" s="151"/>
      <c r="JM225" s="151"/>
      <c r="JN225" s="151"/>
      <c r="JO225" s="151"/>
      <c r="JP225" s="151"/>
      <c r="JQ225" s="151"/>
      <c r="JR225" s="151"/>
      <c r="JS225" s="151"/>
      <c r="JT225" s="151"/>
      <c r="JU225" s="151"/>
      <c r="JV225" s="151"/>
      <c r="JW225" s="151"/>
      <c r="JX225" s="151"/>
      <c r="JY225" s="151"/>
      <c r="JZ225" s="151"/>
      <c r="KA225" s="151"/>
      <c r="KB225" s="151"/>
      <c r="KC225" s="151"/>
      <c r="KD225" s="151"/>
      <c r="KE225" s="151"/>
      <c r="KF225" s="151"/>
      <c r="KG225" s="151"/>
      <c r="KH225" s="151"/>
      <c r="KI225" s="151"/>
      <c r="KJ225" s="151"/>
      <c r="KK225" s="151"/>
      <c r="KL225" s="151"/>
      <c r="KM225" s="151"/>
      <c r="KN225" s="151"/>
      <c r="KO225" s="151"/>
      <c r="KP225" s="151"/>
      <c r="KQ225" s="151"/>
      <c r="KR225" s="151"/>
      <c r="KS225" s="151"/>
      <c r="KT225" s="151"/>
      <c r="KU225" s="151"/>
      <c r="KV225" s="151"/>
      <c r="KW225" s="151"/>
      <c r="KX225" s="151"/>
      <c r="KY225" s="151"/>
      <c r="KZ225" s="151"/>
      <c r="LA225" s="151"/>
      <c r="LB225" s="151"/>
      <c r="LC225" s="151"/>
      <c r="LD225" s="151"/>
      <c r="LE225" s="151"/>
    </row>
    <row r="226" spans="1:317" x14ac:dyDescent="0.2">
      <c r="A226" s="179" t="s">
        <v>849</v>
      </c>
      <c r="B226" s="180" t="s">
        <v>1125</v>
      </c>
      <c r="C226" s="181"/>
      <c r="D226" s="182">
        <v>0</v>
      </c>
      <c r="E226" s="182">
        <v>0</v>
      </c>
      <c r="F226" s="183" t="s">
        <v>1316</v>
      </c>
      <c r="G226" s="183">
        <v>0</v>
      </c>
      <c r="H226" s="183">
        <v>0</v>
      </c>
      <c r="I226" s="183">
        <v>0</v>
      </c>
      <c r="J226" s="183">
        <v>0</v>
      </c>
      <c r="K226" s="183" t="s">
        <v>1368</v>
      </c>
      <c r="L226" s="183">
        <v>0</v>
      </c>
      <c r="M226" s="183">
        <v>0</v>
      </c>
      <c r="N226" s="183" t="s">
        <v>881</v>
      </c>
      <c r="O226" s="183">
        <v>0</v>
      </c>
      <c r="P226" s="183">
        <v>0</v>
      </c>
      <c r="Q226" s="183"/>
      <c r="R226" s="183"/>
      <c r="S226" s="183"/>
      <c r="T226" s="183"/>
      <c r="U226" s="183"/>
      <c r="V226" s="183">
        <v>0</v>
      </c>
      <c r="W226" s="183">
        <v>0</v>
      </c>
      <c r="X226" s="183">
        <v>0</v>
      </c>
      <c r="Y226" s="184">
        <v>0</v>
      </c>
      <c r="Z226" s="184">
        <v>0</v>
      </c>
      <c r="AA226" s="184">
        <v>0</v>
      </c>
      <c r="AB226" s="185" t="s">
        <v>615</v>
      </c>
      <c r="AC226" s="185" t="s">
        <v>615</v>
      </c>
      <c r="AD226" s="186" t="s">
        <v>881</v>
      </c>
      <c r="AE226" s="186" t="s">
        <v>858</v>
      </c>
      <c r="AF226" s="187">
        <v>7</v>
      </c>
      <c r="AG226" s="187">
        <v>3</v>
      </c>
      <c r="AH226" s="187">
        <v>4</v>
      </c>
      <c r="AI226" s="188">
        <v>1</v>
      </c>
      <c r="AJ226" s="188" t="s">
        <v>615</v>
      </c>
      <c r="AK226" s="187" t="s">
        <v>1738</v>
      </c>
      <c r="AL226" s="87" t="s">
        <v>615</v>
      </c>
      <c r="AM226" s="189"/>
      <c r="AN226" s="187" t="s">
        <v>615</v>
      </c>
      <c r="AO226" s="13" t="s">
        <v>615</v>
      </c>
      <c r="AP226" s="187">
        <v>0</v>
      </c>
      <c r="AQ226" s="187">
        <v>0</v>
      </c>
      <c r="AR226" s="190">
        <v>0</v>
      </c>
      <c r="AS226" s="190">
        <v>0</v>
      </c>
      <c r="AT226" s="190">
        <v>0</v>
      </c>
      <c r="AU226" s="187">
        <v>0</v>
      </c>
      <c r="AV226" s="187">
        <v>0</v>
      </c>
      <c r="AW226" s="191"/>
      <c r="AX226" s="192"/>
      <c r="AY226" s="193">
        <v>42666</v>
      </c>
      <c r="AZ226" s="193"/>
      <c r="BA226" s="193"/>
      <c r="BB226" s="194"/>
      <c r="BC226" s="194"/>
      <c r="BD226" s="195"/>
      <c r="BE226" s="195" t="s">
        <v>532</v>
      </c>
      <c r="BF226" s="195"/>
      <c r="BG226" s="195">
        <v>24</v>
      </c>
      <c r="BH226" s="196" t="s">
        <v>547</v>
      </c>
      <c r="BI226" s="197">
        <v>1</v>
      </c>
      <c r="BJ226" s="198"/>
      <c r="BK226" s="199">
        <v>0</v>
      </c>
      <c r="BL226" s="13">
        <v>0</v>
      </c>
      <c r="BM226" s="13">
        <v>0</v>
      </c>
      <c r="BN226" s="13" t="s">
        <v>616</v>
      </c>
      <c r="BO226" s="13" t="s">
        <v>616</v>
      </c>
      <c r="BP226" s="200">
        <v>0</v>
      </c>
      <c r="BQ226" s="201"/>
      <c r="BR226" s="202"/>
      <c r="BS226" s="187">
        <v>1000000000</v>
      </c>
      <c r="BT226" s="203">
        <v>0</v>
      </c>
      <c r="BU226" s="204">
        <v>0</v>
      </c>
      <c r="BV226" s="203">
        <v>0</v>
      </c>
      <c r="BW226" s="205">
        <v>0</v>
      </c>
      <c r="BX226" s="205">
        <v>0</v>
      </c>
      <c r="BY226" s="205">
        <v>0</v>
      </c>
      <c r="BZ226" s="203">
        <v>0</v>
      </c>
      <c r="CA226" s="203">
        <v>0</v>
      </c>
      <c r="CB226" s="203">
        <v>0</v>
      </c>
      <c r="CC226" s="204">
        <v>0</v>
      </c>
      <c r="CD226" s="203">
        <v>0</v>
      </c>
      <c r="CE226" s="203">
        <v>0</v>
      </c>
      <c r="CF226" s="13">
        <v>0</v>
      </c>
      <c r="CG226" s="206">
        <v>0</v>
      </c>
      <c r="CH226" s="207">
        <v>0</v>
      </c>
      <c r="CI226" s="201"/>
      <c r="CJ226" s="208"/>
      <c r="CK226" s="209" t="s">
        <v>615</v>
      </c>
      <c r="CL226" s="210" t="s">
        <v>615</v>
      </c>
      <c r="CM226" s="207">
        <v>0</v>
      </c>
      <c r="CN226" s="207">
        <v>0</v>
      </c>
      <c r="CO226" s="204">
        <v>0</v>
      </c>
      <c r="CP226" s="204">
        <v>0</v>
      </c>
      <c r="CQ226" s="211"/>
      <c r="CR226" s="204">
        <v>1</v>
      </c>
      <c r="CS226" s="212">
        <v>42558</v>
      </c>
      <c r="CT226" s="212">
        <v>42780</v>
      </c>
      <c r="CU226" s="213">
        <v>42780</v>
      </c>
      <c r="CV226" s="214">
        <v>42829</v>
      </c>
      <c r="CW226" s="214" t="s">
        <v>615</v>
      </c>
      <c r="CX226" s="214" t="s">
        <v>615</v>
      </c>
      <c r="CY226" s="204">
        <v>1</v>
      </c>
      <c r="CZ226" s="204">
        <v>0.97959183673469385</v>
      </c>
      <c r="DA226" s="203">
        <v>0</v>
      </c>
      <c r="DB226" s="204">
        <v>0.97959183673469385</v>
      </c>
      <c r="DC226" s="204">
        <v>0</v>
      </c>
      <c r="DD226" s="204">
        <v>0</v>
      </c>
      <c r="DE226" s="204">
        <v>0</v>
      </c>
      <c r="DF226" s="215">
        <v>0</v>
      </c>
      <c r="DG226" s="13" t="s">
        <v>615</v>
      </c>
      <c r="DH226" s="86">
        <v>224</v>
      </c>
      <c r="DI226" s="86"/>
      <c r="DJ226" s="86">
        <v>228</v>
      </c>
      <c r="DK226" s="86" t="s">
        <v>1687</v>
      </c>
      <c r="DL226" s="86" t="e">
        <v>#N/A</v>
      </c>
      <c r="DM226" s="86" t="e">
        <v>#N/A</v>
      </c>
      <c r="DN226" s="86" t="e">
        <v>#N/A</v>
      </c>
      <c r="DO226" s="86">
        <v>393</v>
      </c>
      <c r="DP226" s="86">
        <v>5</v>
      </c>
      <c r="DQ226" s="86">
        <v>49</v>
      </c>
      <c r="DR226" s="152">
        <v>0</v>
      </c>
      <c r="DS226" s="152">
        <v>0</v>
      </c>
      <c r="DT226" s="152">
        <v>0</v>
      </c>
      <c r="DU226" s="152">
        <v>0</v>
      </c>
      <c r="DV226" s="152">
        <v>0</v>
      </c>
      <c r="DW226" s="152">
        <v>0</v>
      </c>
      <c r="DX226" s="152">
        <v>0</v>
      </c>
      <c r="DY226" s="152">
        <v>0</v>
      </c>
      <c r="DZ226" s="152">
        <v>0</v>
      </c>
      <c r="EA226" s="152">
        <v>0</v>
      </c>
      <c r="EB226" s="152">
        <v>0</v>
      </c>
      <c r="EC226" s="152">
        <v>0</v>
      </c>
      <c r="ED226" s="152">
        <v>0</v>
      </c>
      <c r="EE226" s="152">
        <v>0</v>
      </c>
      <c r="EF226" s="152">
        <v>0</v>
      </c>
      <c r="EG226" s="152">
        <v>0</v>
      </c>
      <c r="EH226" s="152">
        <v>0</v>
      </c>
      <c r="EI226" s="152">
        <v>0</v>
      </c>
      <c r="EJ226" s="152">
        <v>0</v>
      </c>
      <c r="EK226" s="152">
        <v>0</v>
      </c>
      <c r="EL226" s="152">
        <v>0</v>
      </c>
      <c r="EM226" s="152">
        <v>0</v>
      </c>
      <c r="EN226" s="152">
        <v>0</v>
      </c>
      <c r="EO226" s="152">
        <v>0</v>
      </c>
      <c r="EP226" s="152">
        <v>0</v>
      </c>
      <c r="EQ226" s="152">
        <v>0</v>
      </c>
      <c r="ER226" s="152">
        <v>0</v>
      </c>
      <c r="ES226" s="152">
        <v>0</v>
      </c>
      <c r="ET226" s="152">
        <v>0</v>
      </c>
      <c r="EU226" s="152">
        <v>0</v>
      </c>
      <c r="EV226" s="152">
        <v>0</v>
      </c>
      <c r="EW226" s="152">
        <v>0</v>
      </c>
      <c r="EX226" s="152">
        <v>0</v>
      </c>
      <c r="EY226" s="152">
        <v>0</v>
      </c>
      <c r="EZ226" s="152">
        <v>0</v>
      </c>
      <c r="FA226" s="152">
        <v>0</v>
      </c>
      <c r="FB226" s="152">
        <v>0</v>
      </c>
      <c r="FC226" s="152">
        <v>0</v>
      </c>
      <c r="FD226" s="152">
        <v>0</v>
      </c>
      <c r="FE226" s="152">
        <v>0</v>
      </c>
      <c r="FF226" s="152">
        <v>0</v>
      </c>
      <c r="FG226" s="152">
        <v>0</v>
      </c>
      <c r="FH226" s="152">
        <v>0</v>
      </c>
      <c r="FI226" s="152">
        <v>0</v>
      </c>
      <c r="FJ226" s="152">
        <v>0</v>
      </c>
      <c r="FK226" s="152">
        <v>0</v>
      </c>
      <c r="FL226" s="152">
        <v>0</v>
      </c>
      <c r="FM226" s="152">
        <v>0</v>
      </c>
      <c r="FN226" s="152">
        <v>0</v>
      </c>
      <c r="FO226" s="152">
        <v>0</v>
      </c>
      <c r="FP226" s="152">
        <v>0</v>
      </c>
      <c r="FQ226" s="152">
        <v>0</v>
      </c>
      <c r="FR226" s="152">
        <v>0</v>
      </c>
      <c r="FS226" s="152">
        <v>0</v>
      </c>
      <c r="FT226" s="152">
        <v>0</v>
      </c>
      <c r="FU226" s="152">
        <v>0</v>
      </c>
      <c r="FV226" s="152">
        <v>0</v>
      </c>
      <c r="FW226" s="152">
        <v>0</v>
      </c>
      <c r="FX226" s="152">
        <v>0</v>
      </c>
      <c r="FY226" s="152">
        <v>0</v>
      </c>
      <c r="FZ226" s="152">
        <v>0</v>
      </c>
      <c r="GA226" s="152">
        <v>0</v>
      </c>
      <c r="GB226" s="152">
        <v>0</v>
      </c>
      <c r="GC226" s="152">
        <v>0</v>
      </c>
      <c r="GD226" s="152">
        <v>0</v>
      </c>
      <c r="GE226" s="152">
        <v>0</v>
      </c>
      <c r="GF226" s="152">
        <v>0</v>
      </c>
      <c r="GG226" s="152">
        <v>0</v>
      </c>
      <c r="GH226" s="152">
        <v>0</v>
      </c>
      <c r="GI226" s="152">
        <v>0</v>
      </c>
      <c r="GJ226" s="152">
        <v>0</v>
      </c>
      <c r="GK226" s="152">
        <v>0</v>
      </c>
      <c r="GL226" s="152">
        <v>0</v>
      </c>
      <c r="GM226" s="152">
        <v>0</v>
      </c>
      <c r="GN226" s="152">
        <v>0</v>
      </c>
      <c r="GO226" s="152">
        <v>0</v>
      </c>
      <c r="GP226" s="152">
        <v>0</v>
      </c>
      <c r="GQ226" s="152">
        <v>0</v>
      </c>
      <c r="GR226" s="152">
        <v>0</v>
      </c>
      <c r="GS226" s="152">
        <v>0</v>
      </c>
      <c r="GT226" s="152">
        <v>0</v>
      </c>
      <c r="GU226" s="152">
        <v>0</v>
      </c>
      <c r="GV226" s="152">
        <v>0</v>
      </c>
      <c r="GW226" s="152">
        <v>0</v>
      </c>
      <c r="GX226" s="152">
        <v>0</v>
      </c>
      <c r="GY226" s="152">
        <v>0</v>
      </c>
      <c r="GZ226" s="152">
        <v>0</v>
      </c>
      <c r="HA226" s="152">
        <v>0</v>
      </c>
      <c r="HB226" s="152">
        <v>0</v>
      </c>
      <c r="HC226" s="152">
        <v>0</v>
      </c>
      <c r="HD226" s="152">
        <v>0</v>
      </c>
      <c r="HE226" s="152">
        <v>0</v>
      </c>
      <c r="HF226" s="152">
        <v>0</v>
      </c>
      <c r="HG226" s="152">
        <v>0</v>
      </c>
      <c r="HH226" s="152">
        <v>0</v>
      </c>
      <c r="HI226" s="152">
        <v>0</v>
      </c>
      <c r="HJ226" s="152">
        <v>0</v>
      </c>
      <c r="HK226" s="152">
        <v>0</v>
      </c>
      <c r="HL226" s="152">
        <v>0</v>
      </c>
      <c r="HM226" s="152">
        <v>0</v>
      </c>
      <c r="HN226" s="152">
        <v>0</v>
      </c>
      <c r="HO226" s="152">
        <v>0</v>
      </c>
      <c r="HP226" s="152">
        <v>0</v>
      </c>
      <c r="HQ226" s="152">
        <v>0</v>
      </c>
      <c r="HR226" s="152">
        <v>0</v>
      </c>
      <c r="HS226" s="152">
        <v>0</v>
      </c>
      <c r="HT226" s="152">
        <v>0</v>
      </c>
      <c r="HU226" s="216"/>
      <c r="HV226" s="152">
        <v>0</v>
      </c>
      <c r="HW226" s="216"/>
      <c r="HX226" s="216"/>
      <c r="HY226" s="216"/>
      <c r="HZ226" s="216"/>
      <c r="IA226" s="216"/>
      <c r="IB226" s="216"/>
      <c r="IC226" s="216"/>
      <c r="ID226" s="216"/>
      <c r="IE226" s="216"/>
      <c r="IF226" s="216"/>
      <c r="IG226" s="216"/>
      <c r="IH226" s="216"/>
      <c r="II226" s="216"/>
      <c r="IJ226" s="216"/>
      <c r="IK226" s="216"/>
      <c r="IL226" s="216"/>
      <c r="IM226" s="216"/>
      <c r="IN226" s="216"/>
      <c r="IO226" s="216"/>
      <c r="IP226" s="216"/>
      <c r="IQ226" s="216"/>
      <c r="IR226" s="216"/>
      <c r="IS226" s="216"/>
      <c r="IT226" s="216"/>
      <c r="IU226" s="216"/>
      <c r="IV226" s="216"/>
      <c r="IW226" s="216"/>
      <c r="IX226" s="216"/>
      <c r="IY226" s="216"/>
      <c r="IZ226" s="216"/>
      <c r="JA226" s="216"/>
      <c r="JB226" s="216"/>
      <c r="JC226" s="216"/>
      <c r="JD226" s="216"/>
      <c r="JE226" s="216"/>
      <c r="JF226" s="216"/>
      <c r="JG226" s="216"/>
      <c r="JH226" s="216"/>
      <c r="JI226" s="216"/>
      <c r="JJ226" s="216"/>
      <c r="JK226" s="216"/>
      <c r="JL226" s="216"/>
      <c r="JM226" s="216"/>
      <c r="JN226" s="216"/>
      <c r="JO226" s="216"/>
      <c r="JP226" s="216"/>
      <c r="JQ226" s="216"/>
      <c r="JR226" s="216"/>
      <c r="JS226" s="216"/>
      <c r="JT226" s="216"/>
      <c r="JU226" s="216"/>
      <c r="JV226" s="216"/>
      <c r="JW226" s="216"/>
      <c r="JX226" s="216"/>
      <c r="JY226" s="216"/>
      <c r="JZ226" s="216"/>
      <c r="KA226" s="216"/>
      <c r="KB226" s="216"/>
      <c r="KC226" s="216"/>
      <c r="KD226" s="216"/>
      <c r="KE226" s="216"/>
      <c r="KF226" s="216"/>
      <c r="KG226" s="216"/>
      <c r="KH226" s="216"/>
      <c r="KI226" s="216"/>
      <c r="KJ226" s="216"/>
      <c r="KK226" s="216"/>
      <c r="KL226" s="216"/>
      <c r="KM226" s="216"/>
      <c r="KN226" s="216"/>
      <c r="KO226" s="216"/>
      <c r="KP226" s="216"/>
      <c r="KQ226" s="216"/>
      <c r="KR226" s="216"/>
      <c r="KS226" s="216"/>
      <c r="KT226" s="216"/>
      <c r="KU226" s="216"/>
      <c r="KV226" s="216"/>
      <c r="KW226" s="216"/>
      <c r="KX226" s="216"/>
      <c r="KY226" s="216"/>
      <c r="KZ226" s="216"/>
      <c r="LA226" s="216"/>
      <c r="LB226" s="216"/>
      <c r="LC226" s="216"/>
      <c r="LD226" s="216"/>
      <c r="LE226" s="216"/>
    </row>
    <row r="227" spans="1:317" x14ac:dyDescent="0.2">
      <c r="A227" s="179" t="s">
        <v>849</v>
      </c>
      <c r="B227" s="180" t="s">
        <v>1126</v>
      </c>
      <c r="C227" s="181"/>
      <c r="D227" s="182">
        <v>0</v>
      </c>
      <c r="E227" s="182">
        <v>0</v>
      </c>
      <c r="F227" s="183" t="s">
        <v>1317</v>
      </c>
      <c r="G227" s="183">
        <v>0</v>
      </c>
      <c r="H227" s="183">
        <v>0</v>
      </c>
      <c r="I227" s="183">
        <v>0</v>
      </c>
      <c r="J227" s="183">
        <v>0</v>
      </c>
      <c r="K227" s="183" t="s">
        <v>1368</v>
      </c>
      <c r="L227" s="183">
        <v>0</v>
      </c>
      <c r="M227" s="183">
        <v>0</v>
      </c>
      <c r="N227" s="183" t="s">
        <v>881</v>
      </c>
      <c r="O227" s="183">
        <v>0</v>
      </c>
      <c r="P227" s="183">
        <v>0</v>
      </c>
      <c r="Q227" s="183"/>
      <c r="R227" s="183"/>
      <c r="S227" s="183"/>
      <c r="T227" s="183"/>
      <c r="U227" s="183"/>
      <c r="V227" s="183">
        <v>0</v>
      </c>
      <c r="W227" s="183">
        <v>0</v>
      </c>
      <c r="X227" s="183">
        <v>0</v>
      </c>
      <c r="Y227" s="184">
        <v>0</v>
      </c>
      <c r="Z227" s="184">
        <v>3.59</v>
      </c>
      <c r="AA227" s="184">
        <v>0</v>
      </c>
      <c r="AB227" s="185" t="s">
        <v>615</v>
      </c>
      <c r="AC227" s="185" t="s">
        <v>615</v>
      </c>
      <c r="AD227" s="186" t="s">
        <v>881</v>
      </c>
      <c r="AE227" s="186" t="s">
        <v>858</v>
      </c>
      <c r="AF227" s="187">
        <v>7</v>
      </c>
      <c r="AG227" s="187">
        <v>3</v>
      </c>
      <c r="AH227" s="187">
        <v>4</v>
      </c>
      <c r="AI227" s="188">
        <v>1</v>
      </c>
      <c r="AJ227" s="188" t="s">
        <v>615</v>
      </c>
      <c r="AK227" s="187" t="s">
        <v>1738</v>
      </c>
      <c r="AL227" s="87" t="s">
        <v>615</v>
      </c>
      <c r="AM227" s="189"/>
      <c r="AN227" s="187" t="s">
        <v>615</v>
      </c>
      <c r="AO227" s="13" t="s">
        <v>615</v>
      </c>
      <c r="AP227" s="187">
        <v>0</v>
      </c>
      <c r="AQ227" s="187">
        <v>0</v>
      </c>
      <c r="AR227" s="190">
        <v>0</v>
      </c>
      <c r="AS227" s="190">
        <v>0</v>
      </c>
      <c r="AT227" s="190">
        <v>0</v>
      </c>
      <c r="AU227" s="187">
        <v>0</v>
      </c>
      <c r="AV227" s="187">
        <v>0</v>
      </c>
      <c r="AW227" s="191"/>
      <c r="AX227" s="192"/>
      <c r="AY227" s="193">
        <v>42666</v>
      </c>
      <c r="AZ227" s="193"/>
      <c r="BA227" s="193"/>
      <c r="BB227" s="194"/>
      <c r="BC227" s="194"/>
      <c r="BD227" s="195"/>
      <c r="BE227" s="195" t="s">
        <v>532</v>
      </c>
      <c r="BF227" s="195"/>
      <c r="BG227" s="195">
        <v>100</v>
      </c>
      <c r="BH227" s="196" t="s">
        <v>547</v>
      </c>
      <c r="BI227" s="197">
        <v>1</v>
      </c>
      <c r="BJ227" s="198"/>
      <c r="BK227" s="199">
        <v>0</v>
      </c>
      <c r="BL227" s="13">
        <v>0</v>
      </c>
      <c r="BM227" s="13">
        <v>0</v>
      </c>
      <c r="BN227" s="13" t="s">
        <v>616</v>
      </c>
      <c r="BO227" s="13" t="s">
        <v>616</v>
      </c>
      <c r="BP227" s="200">
        <v>0</v>
      </c>
      <c r="BQ227" s="201"/>
      <c r="BR227" s="202"/>
      <c r="BS227" s="187">
        <v>1000000000</v>
      </c>
      <c r="BT227" s="203">
        <v>0</v>
      </c>
      <c r="BU227" s="204">
        <v>0</v>
      </c>
      <c r="BV227" s="203">
        <v>0</v>
      </c>
      <c r="BW227" s="205">
        <v>0</v>
      </c>
      <c r="BX227" s="205">
        <v>0</v>
      </c>
      <c r="BY227" s="205">
        <v>0</v>
      </c>
      <c r="BZ227" s="203">
        <v>0</v>
      </c>
      <c r="CA227" s="203">
        <v>0</v>
      </c>
      <c r="CB227" s="203">
        <v>0</v>
      </c>
      <c r="CC227" s="204">
        <v>0</v>
      </c>
      <c r="CD227" s="203">
        <v>0</v>
      </c>
      <c r="CE227" s="203">
        <v>0</v>
      </c>
      <c r="CF227" s="13">
        <v>0</v>
      </c>
      <c r="CG227" s="206">
        <v>0</v>
      </c>
      <c r="CH227" s="207">
        <v>0</v>
      </c>
      <c r="CI227" s="201"/>
      <c r="CJ227" s="208"/>
      <c r="CK227" s="209" t="s">
        <v>615</v>
      </c>
      <c r="CL227" s="210" t="s">
        <v>615</v>
      </c>
      <c r="CM227" s="207">
        <v>0</v>
      </c>
      <c r="CN227" s="207">
        <v>0</v>
      </c>
      <c r="CO227" s="204">
        <v>0</v>
      </c>
      <c r="CP227" s="204">
        <v>0</v>
      </c>
      <c r="CQ227" s="211"/>
      <c r="CR227" s="204">
        <v>1</v>
      </c>
      <c r="CS227" s="212">
        <v>42558</v>
      </c>
      <c r="CT227" s="212">
        <v>42780</v>
      </c>
      <c r="CU227" s="213">
        <v>42780</v>
      </c>
      <c r="CV227" s="214">
        <v>42829</v>
      </c>
      <c r="CW227" s="214" t="s">
        <v>615</v>
      </c>
      <c r="CX227" s="214" t="s">
        <v>615</v>
      </c>
      <c r="CY227" s="204">
        <v>1</v>
      </c>
      <c r="CZ227" s="204">
        <v>0.97959183673469385</v>
      </c>
      <c r="DA227" s="203">
        <v>0</v>
      </c>
      <c r="DB227" s="204">
        <v>0.97959183673469385</v>
      </c>
      <c r="DC227" s="204">
        <v>0</v>
      </c>
      <c r="DD227" s="204">
        <v>0</v>
      </c>
      <c r="DE227" s="204">
        <v>0</v>
      </c>
      <c r="DF227" s="215">
        <v>0</v>
      </c>
      <c r="DG227" s="13" t="s">
        <v>615</v>
      </c>
      <c r="DH227" s="86">
        <v>225</v>
      </c>
      <c r="DI227" s="86"/>
      <c r="DJ227" s="86">
        <v>233</v>
      </c>
      <c r="DK227" s="86" t="s">
        <v>1692</v>
      </c>
      <c r="DL227" s="86" t="e">
        <v>#N/A</v>
      </c>
      <c r="DM227" s="86" t="e">
        <v>#N/A</v>
      </c>
      <c r="DN227" s="86" t="e">
        <v>#N/A</v>
      </c>
      <c r="DO227" s="86">
        <v>403</v>
      </c>
      <c r="DP227" s="86">
        <v>5</v>
      </c>
      <c r="DQ227" s="86">
        <v>49</v>
      </c>
      <c r="DR227" s="146">
        <v>0</v>
      </c>
      <c r="DS227" s="146">
        <v>0</v>
      </c>
      <c r="DT227" s="146">
        <v>0</v>
      </c>
      <c r="DU227" s="146">
        <v>0</v>
      </c>
      <c r="DV227" s="146">
        <v>0</v>
      </c>
      <c r="DW227" s="146">
        <v>0</v>
      </c>
      <c r="DX227" s="146">
        <v>0</v>
      </c>
      <c r="DY227" s="146">
        <v>0</v>
      </c>
      <c r="DZ227" s="146">
        <v>0</v>
      </c>
      <c r="EA227" s="146">
        <v>0</v>
      </c>
      <c r="EB227" s="146">
        <v>0</v>
      </c>
      <c r="EC227" s="146">
        <v>0</v>
      </c>
      <c r="ED227" s="146">
        <v>0</v>
      </c>
      <c r="EE227" s="146">
        <v>0</v>
      </c>
      <c r="EF227" s="146">
        <v>0</v>
      </c>
      <c r="EG227" s="146">
        <v>0</v>
      </c>
      <c r="EH227" s="146">
        <v>0</v>
      </c>
      <c r="EI227" s="146">
        <v>0</v>
      </c>
      <c r="EJ227" s="146">
        <v>0</v>
      </c>
      <c r="EK227" s="146">
        <v>0</v>
      </c>
      <c r="EL227" s="146">
        <v>0</v>
      </c>
      <c r="EM227" s="146">
        <v>0</v>
      </c>
      <c r="EN227" s="146">
        <v>0</v>
      </c>
      <c r="EO227" s="146">
        <v>0</v>
      </c>
      <c r="EP227" s="146">
        <v>0</v>
      </c>
      <c r="EQ227" s="146">
        <v>0</v>
      </c>
      <c r="ER227" s="146">
        <v>0</v>
      </c>
      <c r="ES227" s="146">
        <v>0</v>
      </c>
      <c r="ET227" s="146">
        <v>0</v>
      </c>
      <c r="EU227" s="146">
        <v>0</v>
      </c>
      <c r="EV227" s="146">
        <v>0</v>
      </c>
      <c r="EW227" s="146">
        <v>0</v>
      </c>
      <c r="EX227" s="146">
        <v>0</v>
      </c>
      <c r="EY227" s="146">
        <v>0</v>
      </c>
      <c r="EZ227" s="146">
        <v>0</v>
      </c>
      <c r="FA227" s="146">
        <v>0</v>
      </c>
      <c r="FB227" s="146">
        <v>0</v>
      </c>
      <c r="FC227" s="146">
        <v>0</v>
      </c>
      <c r="FD227" s="146">
        <v>0</v>
      </c>
      <c r="FE227" s="146">
        <v>0</v>
      </c>
      <c r="FF227" s="146">
        <v>0</v>
      </c>
      <c r="FG227" s="146">
        <v>0</v>
      </c>
      <c r="FH227" s="146">
        <v>0</v>
      </c>
      <c r="FI227" s="146">
        <v>0</v>
      </c>
      <c r="FJ227" s="146">
        <v>0</v>
      </c>
      <c r="FK227" s="146">
        <v>0</v>
      </c>
      <c r="FL227" s="146">
        <v>0</v>
      </c>
      <c r="FM227" s="146">
        <v>0</v>
      </c>
      <c r="FN227" s="146">
        <v>0</v>
      </c>
      <c r="FO227" s="146">
        <v>0</v>
      </c>
      <c r="FP227" s="146">
        <v>0</v>
      </c>
      <c r="FQ227" s="146">
        <v>0</v>
      </c>
      <c r="FR227" s="146">
        <v>0</v>
      </c>
      <c r="FS227" s="146">
        <v>0</v>
      </c>
      <c r="FT227" s="146">
        <v>0</v>
      </c>
      <c r="FU227" s="146">
        <v>0</v>
      </c>
      <c r="FV227" s="146">
        <v>0</v>
      </c>
      <c r="FW227" s="146">
        <v>0</v>
      </c>
      <c r="FX227" s="146">
        <v>0</v>
      </c>
      <c r="FY227" s="146">
        <v>0</v>
      </c>
      <c r="FZ227" s="146">
        <v>0</v>
      </c>
      <c r="GA227" s="146">
        <v>0</v>
      </c>
      <c r="GB227" s="146">
        <v>0</v>
      </c>
      <c r="GC227" s="146">
        <v>0</v>
      </c>
      <c r="GD227" s="146">
        <v>0</v>
      </c>
      <c r="GE227" s="146">
        <v>0</v>
      </c>
      <c r="GF227" s="146">
        <v>0</v>
      </c>
      <c r="GG227" s="146">
        <v>0</v>
      </c>
      <c r="GH227" s="146">
        <v>0</v>
      </c>
      <c r="GI227" s="146">
        <v>0</v>
      </c>
      <c r="GJ227" s="146">
        <v>0</v>
      </c>
      <c r="GK227" s="146">
        <v>0</v>
      </c>
      <c r="GL227" s="146">
        <v>0</v>
      </c>
      <c r="GM227" s="146">
        <v>0</v>
      </c>
      <c r="GN227" s="146">
        <v>0</v>
      </c>
      <c r="GO227" s="146">
        <v>0</v>
      </c>
      <c r="GP227" s="146">
        <v>0</v>
      </c>
      <c r="GQ227" s="146">
        <v>0</v>
      </c>
      <c r="GR227" s="146">
        <v>0</v>
      </c>
      <c r="GS227" s="146">
        <v>0</v>
      </c>
      <c r="GT227" s="146">
        <v>0</v>
      </c>
      <c r="GU227" s="146">
        <v>0</v>
      </c>
      <c r="GV227" s="146">
        <v>0</v>
      </c>
      <c r="GW227" s="146">
        <v>0</v>
      </c>
      <c r="GX227" s="146">
        <v>0</v>
      </c>
      <c r="GY227" s="146">
        <v>0</v>
      </c>
      <c r="GZ227" s="146">
        <v>0</v>
      </c>
      <c r="HA227" s="146">
        <v>0</v>
      </c>
      <c r="HB227" s="146">
        <v>0</v>
      </c>
      <c r="HC227" s="146">
        <v>0</v>
      </c>
      <c r="HD227" s="146">
        <v>0</v>
      </c>
      <c r="HE227" s="146">
        <v>0</v>
      </c>
      <c r="HF227" s="146">
        <v>0</v>
      </c>
      <c r="HG227" s="146">
        <v>0</v>
      </c>
      <c r="HH227" s="146">
        <v>0</v>
      </c>
      <c r="HI227" s="146">
        <v>0</v>
      </c>
      <c r="HJ227" s="146">
        <v>0</v>
      </c>
      <c r="HK227" s="146">
        <v>0</v>
      </c>
      <c r="HL227" s="146">
        <v>0</v>
      </c>
      <c r="HM227" s="146">
        <v>0</v>
      </c>
      <c r="HN227" s="146">
        <v>0</v>
      </c>
      <c r="HO227" s="146">
        <v>0</v>
      </c>
      <c r="HP227" s="146">
        <v>0</v>
      </c>
      <c r="HQ227" s="146">
        <v>0</v>
      </c>
      <c r="HR227" s="146">
        <v>0</v>
      </c>
      <c r="HS227" s="146">
        <v>0</v>
      </c>
      <c r="HT227" s="146">
        <v>0</v>
      </c>
      <c r="HU227" s="151"/>
      <c r="HV227" s="146">
        <v>0</v>
      </c>
      <c r="HW227" s="151"/>
      <c r="HX227" s="151"/>
      <c r="HY227" s="151"/>
      <c r="HZ227" s="151"/>
      <c r="IA227" s="151"/>
      <c r="IB227" s="151"/>
      <c r="IC227" s="151"/>
      <c r="ID227" s="151"/>
      <c r="IE227" s="151"/>
      <c r="IF227" s="151"/>
      <c r="IG227" s="151"/>
      <c r="IH227" s="151"/>
      <c r="II227" s="151"/>
      <c r="IJ227" s="151"/>
      <c r="IK227" s="151"/>
      <c r="IL227" s="151"/>
      <c r="IM227" s="151"/>
      <c r="IN227" s="151"/>
      <c r="IO227" s="151"/>
      <c r="IP227" s="151"/>
      <c r="IQ227" s="151"/>
      <c r="IR227" s="151"/>
      <c r="IS227" s="151"/>
      <c r="IT227" s="151"/>
      <c r="IU227" s="151"/>
      <c r="IV227" s="151"/>
      <c r="IW227" s="151"/>
      <c r="IX227" s="151"/>
      <c r="IY227" s="151"/>
      <c r="IZ227" s="151"/>
      <c r="JA227" s="151"/>
      <c r="JB227" s="151"/>
      <c r="JC227" s="151"/>
      <c r="JD227" s="151"/>
      <c r="JE227" s="151"/>
      <c r="JF227" s="151"/>
      <c r="JG227" s="151"/>
      <c r="JH227" s="151"/>
      <c r="JI227" s="151"/>
      <c r="JJ227" s="151"/>
      <c r="JK227" s="151"/>
      <c r="JL227" s="151"/>
      <c r="JM227" s="151"/>
      <c r="JN227" s="151"/>
      <c r="JO227" s="151"/>
      <c r="JP227" s="151"/>
      <c r="JQ227" s="151"/>
      <c r="JR227" s="151"/>
      <c r="JS227" s="151"/>
      <c r="JT227" s="151"/>
      <c r="JU227" s="151"/>
      <c r="JV227" s="151"/>
      <c r="JW227" s="151"/>
      <c r="JX227" s="151"/>
      <c r="JY227" s="151"/>
      <c r="JZ227" s="151"/>
      <c r="KA227" s="151"/>
      <c r="KB227" s="151"/>
      <c r="KC227" s="151"/>
      <c r="KD227" s="151"/>
      <c r="KE227" s="151"/>
      <c r="KF227" s="151"/>
      <c r="KG227" s="151"/>
      <c r="KH227" s="151"/>
      <c r="KI227" s="151"/>
      <c r="KJ227" s="151"/>
      <c r="KK227" s="151"/>
      <c r="KL227" s="151"/>
      <c r="KM227" s="151"/>
      <c r="KN227" s="151"/>
      <c r="KO227" s="151"/>
      <c r="KP227" s="151"/>
      <c r="KQ227" s="151"/>
      <c r="KR227" s="151"/>
      <c r="KS227" s="151"/>
      <c r="KT227" s="151"/>
      <c r="KU227" s="151"/>
      <c r="KV227" s="151"/>
      <c r="KW227" s="151"/>
      <c r="KX227" s="151"/>
      <c r="KY227" s="151"/>
      <c r="KZ227" s="151"/>
      <c r="LA227" s="151"/>
      <c r="LB227" s="151"/>
      <c r="LC227" s="151"/>
      <c r="LD227" s="151"/>
      <c r="LE227" s="151"/>
    </row>
    <row r="228" spans="1:317" x14ac:dyDescent="0.2">
      <c r="A228" s="179" t="s">
        <v>849</v>
      </c>
      <c r="B228" s="180" t="s">
        <v>1127</v>
      </c>
      <c r="C228" s="181"/>
      <c r="D228" s="182">
        <v>0</v>
      </c>
      <c r="E228" s="182">
        <v>0</v>
      </c>
      <c r="F228" s="183" t="s">
        <v>1318</v>
      </c>
      <c r="G228" s="183">
        <v>0</v>
      </c>
      <c r="H228" s="183">
        <v>0</v>
      </c>
      <c r="I228" s="183">
        <v>0</v>
      </c>
      <c r="J228" s="183">
        <v>0</v>
      </c>
      <c r="K228" s="183" t="s">
        <v>1368</v>
      </c>
      <c r="L228" s="183">
        <v>0</v>
      </c>
      <c r="M228" s="183">
        <v>0</v>
      </c>
      <c r="N228" s="183" t="s">
        <v>881</v>
      </c>
      <c r="O228" s="183">
        <v>0</v>
      </c>
      <c r="P228" s="183">
        <v>0</v>
      </c>
      <c r="Q228" s="183"/>
      <c r="R228" s="183"/>
      <c r="S228" s="183"/>
      <c r="T228" s="183"/>
      <c r="U228" s="183"/>
      <c r="V228" s="183">
        <v>0</v>
      </c>
      <c r="W228" s="183">
        <v>0</v>
      </c>
      <c r="X228" s="183">
        <v>0</v>
      </c>
      <c r="Y228" s="184">
        <v>0</v>
      </c>
      <c r="Z228" s="184">
        <v>0.94</v>
      </c>
      <c r="AA228" s="184">
        <v>0</v>
      </c>
      <c r="AB228" s="185" t="s">
        <v>615</v>
      </c>
      <c r="AC228" s="185" t="s">
        <v>615</v>
      </c>
      <c r="AD228" s="186" t="s">
        <v>881</v>
      </c>
      <c r="AE228" s="186" t="s">
        <v>858</v>
      </c>
      <c r="AF228" s="187">
        <v>7</v>
      </c>
      <c r="AG228" s="187">
        <v>3</v>
      </c>
      <c r="AH228" s="187">
        <v>4</v>
      </c>
      <c r="AI228" s="188">
        <v>1</v>
      </c>
      <c r="AJ228" s="188" t="s">
        <v>615</v>
      </c>
      <c r="AK228" s="187" t="s">
        <v>1738</v>
      </c>
      <c r="AL228" s="87" t="s">
        <v>615</v>
      </c>
      <c r="AM228" s="189"/>
      <c r="AN228" s="187" t="s">
        <v>615</v>
      </c>
      <c r="AO228" s="13" t="s">
        <v>615</v>
      </c>
      <c r="AP228" s="187">
        <v>0</v>
      </c>
      <c r="AQ228" s="187">
        <v>0</v>
      </c>
      <c r="AR228" s="190">
        <v>0</v>
      </c>
      <c r="AS228" s="190">
        <v>0</v>
      </c>
      <c r="AT228" s="190">
        <v>0</v>
      </c>
      <c r="AU228" s="187">
        <v>0</v>
      </c>
      <c r="AV228" s="187">
        <v>0</v>
      </c>
      <c r="AW228" s="191"/>
      <c r="AX228" s="192"/>
      <c r="AY228" s="193">
        <v>42666</v>
      </c>
      <c r="AZ228" s="193"/>
      <c r="BA228" s="193"/>
      <c r="BB228" s="194"/>
      <c r="BC228" s="194"/>
      <c r="BD228" s="195"/>
      <c r="BE228" s="195" t="s">
        <v>532</v>
      </c>
      <c r="BF228" s="195"/>
      <c r="BG228" s="195">
        <v>600</v>
      </c>
      <c r="BH228" s="196" t="s">
        <v>547</v>
      </c>
      <c r="BI228" s="197">
        <v>1</v>
      </c>
      <c r="BJ228" s="198"/>
      <c r="BK228" s="199">
        <v>0</v>
      </c>
      <c r="BL228" s="13">
        <v>0</v>
      </c>
      <c r="BM228" s="13">
        <v>0</v>
      </c>
      <c r="BN228" s="13" t="s">
        <v>616</v>
      </c>
      <c r="BO228" s="13" t="s">
        <v>616</v>
      </c>
      <c r="BP228" s="200">
        <v>0</v>
      </c>
      <c r="BQ228" s="201"/>
      <c r="BR228" s="202"/>
      <c r="BS228" s="187">
        <v>1000000000</v>
      </c>
      <c r="BT228" s="203">
        <v>0</v>
      </c>
      <c r="BU228" s="204">
        <v>0</v>
      </c>
      <c r="BV228" s="203">
        <v>0</v>
      </c>
      <c r="BW228" s="205">
        <v>0</v>
      </c>
      <c r="BX228" s="205">
        <v>0</v>
      </c>
      <c r="BY228" s="205">
        <v>0</v>
      </c>
      <c r="BZ228" s="203">
        <v>0</v>
      </c>
      <c r="CA228" s="203">
        <v>0</v>
      </c>
      <c r="CB228" s="203">
        <v>0</v>
      </c>
      <c r="CC228" s="204">
        <v>0</v>
      </c>
      <c r="CD228" s="203">
        <v>0</v>
      </c>
      <c r="CE228" s="203">
        <v>0</v>
      </c>
      <c r="CF228" s="13">
        <v>0</v>
      </c>
      <c r="CG228" s="206">
        <v>0</v>
      </c>
      <c r="CH228" s="207">
        <v>0</v>
      </c>
      <c r="CI228" s="201"/>
      <c r="CJ228" s="208"/>
      <c r="CK228" s="209" t="s">
        <v>615</v>
      </c>
      <c r="CL228" s="210" t="s">
        <v>615</v>
      </c>
      <c r="CM228" s="207">
        <v>0</v>
      </c>
      <c r="CN228" s="207">
        <v>0</v>
      </c>
      <c r="CO228" s="204">
        <v>0</v>
      </c>
      <c r="CP228" s="204">
        <v>0</v>
      </c>
      <c r="CQ228" s="211"/>
      <c r="CR228" s="204">
        <v>1</v>
      </c>
      <c r="CS228" s="212">
        <v>42558</v>
      </c>
      <c r="CT228" s="212">
        <v>42780</v>
      </c>
      <c r="CU228" s="213">
        <v>42780</v>
      </c>
      <c r="CV228" s="214">
        <v>42829</v>
      </c>
      <c r="CW228" s="214" t="s">
        <v>615</v>
      </c>
      <c r="CX228" s="214" t="s">
        <v>615</v>
      </c>
      <c r="CY228" s="204">
        <v>1</v>
      </c>
      <c r="CZ228" s="204">
        <v>0.97959183673469385</v>
      </c>
      <c r="DA228" s="203">
        <v>0</v>
      </c>
      <c r="DB228" s="204">
        <v>0.97959183673469385</v>
      </c>
      <c r="DC228" s="204">
        <v>0</v>
      </c>
      <c r="DD228" s="204">
        <v>0</v>
      </c>
      <c r="DE228" s="204">
        <v>0</v>
      </c>
      <c r="DF228" s="215">
        <v>0</v>
      </c>
      <c r="DG228" s="13" t="s">
        <v>615</v>
      </c>
      <c r="DH228" s="86">
        <v>226</v>
      </c>
      <c r="DI228" s="86"/>
      <c r="DJ228" s="86">
        <v>234</v>
      </c>
      <c r="DK228" s="86" t="s">
        <v>1693</v>
      </c>
      <c r="DL228" s="86" t="e">
        <v>#N/A</v>
      </c>
      <c r="DM228" s="86" t="e">
        <v>#N/A</v>
      </c>
      <c r="DN228" s="86" t="e">
        <v>#N/A</v>
      </c>
      <c r="DO228" s="86">
        <v>404</v>
      </c>
      <c r="DP228" s="86">
        <v>5</v>
      </c>
      <c r="DQ228" s="86">
        <v>49</v>
      </c>
      <c r="DR228" s="152">
        <v>0</v>
      </c>
      <c r="DS228" s="152">
        <v>0</v>
      </c>
      <c r="DT228" s="152">
        <v>0</v>
      </c>
      <c r="DU228" s="152">
        <v>0</v>
      </c>
      <c r="DV228" s="152">
        <v>0</v>
      </c>
      <c r="DW228" s="152">
        <v>0</v>
      </c>
      <c r="DX228" s="152">
        <v>0</v>
      </c>
      <c r="DY228" s="152">
        <v>0</v>
      </c>
      <c r="DZ228" s="152">
        <v>0</v>
      </c>
      <c r="EA228" s="152">
        <v>0</v>
      </c>
      <c r="EB228" s="152">
        <v>0</v>
      </c>
      <c r="EC228" s="152">
        <v>0</v>
      </c>
      <c r="ED228" s="152">
        <v>0</v>
      </c>
      <c r="EE228" s="152">
        <v>0</v>
      </c>
      <c r="EF228" s="152">
        <v>0</v>
      </c>
      <c r="EG228" s="152">
        <v>0</v>
      </c>
      <c r="EH228" s="152">
        <v>0</v>
      </c>
      <c r="EI228" s="152">
        <v>0</v>
      </c>
      <c r="EJ228" s="152">
        <v>0</v>
      </c>
      <c r="EK228" s="152">
        <v>0</v>
      </c>
      <c r="EL228" s="152">
        <v>0</v>
      </c>
      <c r="EM228" s="152">
        <v>0</v>
      </c>
      <c r="EN228" s="152">
        <v>0</v>
      </c>
      <c r="EO228" s="152">
        <v>0</v>
      </c>
      <c r="EP228" s="152">
        <v>0</v>
      </c>
      <c r="EQ228" s="152">
        <v>0</v>
      </c>
      <c r="ER228" s="152">
        <v>0</v>
      </c>
      <c r="ES228" s="152">
        <v>0</v>
      </c>
      <c r="ET228" s="152">
        <v>0</v>
      </c>
      <c r="EU228" s="152">
        <v>0</v>
      </c>
      <c r="EV228" s="152">
        <v>0</v>
      </c>
      <c r="EW228" s="152">
        <v>0</v>
      </c>
      <c r="EX228" s="152">
        <v>0</v>
      </c>
      <c r="EY228" s="152">
        <v>0</v>
      </c>
      <c r="EZ228" s="152">
        <v>0</v>
      </c>
      <c r="FA228" s="152">
        <v>0</v>
      </c>
      <c r="FB228" s="152">
        <v>0</v>
      </c>
      <c r="FC228" s="152">
        <v>0</v>
      </c>
      <c r="FD228" s="152">
        <v>0</v>
      </c>
      <c r="FE228" s="152">
        <v>0</v>
      </c>
      <c r="FF228" s="152">
        <v>0</v>
      </c>
      <c r="FG228" s="152">
        <v>0</v>
      </c>
      <c r="FH228" s="152">
        <v>0</v>
      </c>
      <c r="FI228" s="152">
        <v>0</v>
      </c>
      <c r="FJ228" s="152">
        <v>0</v>
      </c>
      <c r="FK228" s="152">
        <v>0</v>
      </c>
      <c r="FL228" s="152">
        <v>0</v>
      </c>
      <c r="FM228" s="152">
        <v>0</v>
      </c>
      <c r="FN228" s="152">
        <v>0</v>
      </c>
      <c r="FO228" s="152">
        <v>0</v>
      </c>
      <c r="FP228" s="152">
        <v>0</v>
      </c>
      <c r="FQ228" s="152">
        <v>0</v>
      </c>
      <c r="FR228" s="152">
        <v>0</v>
      </c>
      <c r="FS228" s="152">
        <v>0</v>
      </c>
      <c r="FT228" s="152">
        <v>0</v>
      </c>
      <c r="FU228" s="152">
        <v>0</v>
      </c>
      <c r="FV228" s="152">
        <v>0</v>
      </c>
      <c r="FW228" s="152">
        <v>0</v>
      </c>
      <c r="FX228" s="152">
        <v>0</v>
      </c>
      <c r="FY228" s="152">
        <v>0</v>
      </c>
      <c r="FZ228" s="152">
        <v>0</v>
      </c>
      <c r="GA228" s="152">
        <v>0</v>
      </c>
      <c r="GB228" s="152">
        <v>0</v>
      </c>
      <c r="GC228" s="152">
        <v>0</v>
      </c>
      <c r="GD228" s="152">
        <v>0</v>
      </c>
      <c r="GE228" s="152">
        <v>0</v>
      </c>
      <c r="GF228" s="152">
        <v>0</v>
      </c>
      <c r="GG228" s="152">
        <v>0</v>
      </c>
      <c r="GH228" s="152">
        <v>0</v>
      </c>
      <c r="GI228" s="152">
        <v>0</v>
      </c>
      <c r="GJ228" s="152">
        <v>0</v>
      </c>
      <c r="GK228" s="152">
        <v>0</v>
      </c>
      <c r="GL228" s="152">
        <v>0</v>
      </c>
      <c r="GM228" s="152">
        <v>0</v>
      </c>
      <c r="GN228" s="152">
        <v>0</v>
      </c>
      <c r="GO228" s="152">
        <v>0</v>
      </c>
      <c r="GP228" s="152">
        <v>0</v>
      </c>
      <c r="GQ228" s="152">
        <v>0</v>
      </c>
      <c r="GR228" s="152">
        <v>0</v>
      </c>
      <c r="GS228" s="152">
        <v>0</v>
      </c>
      <c r="GT228" s="152">
        <v>0</v>
      </c>
      <c r="GU228" s="152">
        <v>0</v>
      </c>
      <c r="GV228" s="152">
        <v>0</v>
      </c>
      <c r="GW228" s="152">
        <v>0</v>
      </c>
      <c r="GX228" s="152">
        <v>0</v>
      </c>
      <c r="GY228" s="152">
        <v>0</v>
      </c>
      <c r="GZ228" s="152">
        <v>0</v>
      </c>
      <c r="HA228" s="152">
        <v>0</v>
      </c>
      <c r="HB228" s="152">
        <v>0</v>
      </c>
      <c r="HC228" s="152">
        <v>0</v>
      </c>
      <c r="HD228" s="152">
        <v>0</v>
      </c>
      <c r="HE228" s="152">
        <v>0</v>
      </c>
      <c r="HF228" s="152">
        <v>0</v>
      </c>
      <c r="HG228" s="152">
        <v>0</v>
      </c>
      <c r="HH228" s="152">
        <v>0</v>
      </c>
      <c r="HI228" s="152">
        <v>0</v>
      </c>
      <c r="HJ228" s="152">
        <v>0</v>
      </c>
      <c r="HK228" s="152">
        <v>0</v>
      </c>
      <c r="HL228" s="152">
        <v>0</v>
      </c>
      <c r="HM228" s="152">
        <v>0</v>
      </c>
      <c r="HN228" s="152">
        <v>0</v>
      </c>
      <c r="HO228" s="152">
        <v>0</v>
      </c>
      <c r="HP228" s="152">
        <v>0</v>
      </c>
      <c r="HQ228" s="152">
        <v>0</v>
      </c>
      <c r="HR228" s="152">
        <v>0</v>
      </c>
      <c r="HS228" s="152">
        <v>0</v>
      </c>
      <c r="HT228" s="152">
        <v>0</v>
      </c>
      <c r="HU228" s="216"/>
      <c r="HV228" s="152">
        <v>0</v>
      </c>
      <c r="HW228" s="216"/>
      <c r="HX228" s="216"/>
      <c r="HY228" s="216"/>
      <c r="HZ228" s="216"/>
      <c r="IA228" s="216"/>
      <c r="IB228" s="216"/>
      <c r="IC228" s="216"/>
      <c r="ID228" s="216"/>
      <c r="IE228" s="216"/>
      <c r="IF228" s="216"/>
      <c r="IG228" s="216"/>
      <c r="IH228" s="216"/>
      <c r="II228" s="216"/>
      <c r="IJ228" s="216"/>
      <c r="IK228" s="216"/>
      <c r="IL228" s="216"/>
      <c r="IM228" s="216"/>
      <c r="IN228" s="216"/>
      <c r="IO228" s="216"/>
      <c r="IP228" s="216"/>
      <c r="IQ228" s="216"/>
      <c r="IR228" s="216"/>
      <c r="IS228" s="216"/>
      <c r="IT228" s="216"/>
      <c r="IU228" s="216"/>
      <c r="IV228" s="216"/>
      <c r="IW228" s="216"/>
      <c r="IX228" s="216"/>
      <c r="IY228" s="216"/>
      <c r="IZ228" s="216"/>
      <c r="JA228" s="216"/>
      <c r="JB228" s="216"/>
      <c r="JC228" s="216"/>
      <c r="JD228" s="216"/>
      <c r="JE228" s="216"/>
      <c r="JF228" s="216"/>
      <c r="JG228" s="216"/>
      <c r="JH228" s="216"/>
      <c r="JI228" s="216"/>
      <c r="JJ228" s="216"/>
      <c r="JK228" s="216"/>
      <c r="JL228" s="216"/>
      <c r="JM228" s="216"/>
      <c r="JN228" s="216"/>
      <c r="JO228" s="216"/>
      <c r="JP228" s="216"/>
      <c r="JQ228" s="216"/>
      <c r="JR228" s="216"/>
      <c r="JS228" s="216"/>
      <c r="JT228" s="216"/>
      <c r="JU228" s="216"/>
      <c r="JV228" s="216"/>
      <c r="JW228" s="216"/>
      <c r="JX228" s="216"/>
      <c r="JY228" s="216"/>
      <c r="JZ228" s="216"/>
      <c r="KA228" s="216"/>
      <c r="KB228" s="216"/>
      <c r="KC228" s="216"/>
      <c r="KD228" s="216"/>
      <c r="KE228" s="216"/>
      <c r="KF228" s="216"/>
      <c r="KG228" s="216"/>
      <c r="KH228" s="216"/>
      <c r="KI228" s="216"/>
      <c r="KJ228" s="216"/>
      <c r="KK228" s="216"/>
      <c r="KL228" s="216"/>
      <c r="KM228" s="216"/>
      <c r="KN228" s="216"/>
      <c r="KO228" s="216"/>
      <c r="KP228" s="216"/>
      <c r="KQ228" s="216"/>
      <c r="KR228" s="216"/>
      <c r="KS228" s="216"/>
      <c r="KT228" s="216"/>
      <c r="KU228" s="216"/>
      <c r="KV228" s="216"/>
      <c r="KW228" s="216"/>
      <c r="KX228" s="216"/>
      <c r="KY228" s="216"/>
      <c r="KZ228" s="216"/>
      <c r="LA228" s="216"/>
      <c r="LB228" s="216"/>
      <c r="LC228" s="216"/>
      <c r="LD228" s="216"/>
      <c r="LE228" s="216"/>
    </row>
    <row r="229" spans="1:317" x14ac:dyDescent="0.2">
      <c r="A229" s="179" t="s">
        <v>849</v>
      </c>
      <c r="B229" s="180" t="s">
        <v>1128</v>
      </c>
      <c r="C229" s="181"/>
      <c r="D229" s="182">
        <v>0</v>
      </c>
      <c r="E229" s="182">
        <v>0</v>
      </c>
      <c r="F229" s="183" t="s">
        <v>1319</v>
      </c>
      <c r="G229" s="183">
        <v>0</v>
      </c>
      <c r="H229" s="183">
        <v>0</v>
      </c>
      <c r="I229" s="183">
        <v>0</v>
      </c>
      <c r="J229" s="183">
        <v>0</v>
      </c>
      <c r="K229" s="183" t="s">
        <v>1368</v>
      </c>
      <c r="L229" s="183">
        <v>0</v>
      </c>
      <c r="M229" s="183">
        <v>0</v>
      </c>
      <c r="N229" s="183" t="s">
        <v>881</v>
      </c>
      <c r="O229" s="183">
        <v>0</v>
      </c>
      <c r="P229" s="183">
        <v>0</v>
      </c>
      <c r="Q229" s="183"/>
      <c r="R229" s="183"/>
      <c r="S229" s="183"/>
      <c r="T229" s="183"/>
      <c r="U229" s="183"/>
      <c r="V229" s="183">
        <v>0</v>
      </c>
      <c r="W229" s="183">
        <v>0</v>
      </c>
      <c r="X229" s="183">
        <v>0</v>
      </c>
      <c r="Y229" s="184">
        <v>0</v>
      </c>
      <c r="Z229" s="184">
        <v>1.64</v>
      </c>
      <c r="AA229" s="184">
        <v>0</v>
      </c>
      <c r="AB229" s="185" t="s">
        <v>615</v>
      </c>
      <c r="AC229" s="185" t="s">
        <v>615</v>
      </c>
      <c r="AD229" s="186" t="s">
        <v>881</v>
      </c>
      <c r="AE229" s="186" t="s">
        <v>858</v>
      </c>
      <c r="AF229" s="187">
        <v>7</v>
      </c>
      <c r="AG229" s="187">
        <v>3</v>
      </c>
      <c r="AH229" s="187">
        <v>4</v>
      </c>
      <c r="AI229" s="188">
        <v>1</v>
      </c>
      <c r="AJ229" s="188" t="s">
        <v>615</v>
      </c>
      <c r="AK229" s="187" t="s">
        <v>1738</v>
      </c>
      <c r="AL229" s="87" t="s">
        <v>615</v>
      </c>
      <c r="AM229" s="189"/>
      <c r="AN229" s="187" t="s">
        <v>615</v>
      </c>
      <c r="AO229" s="13" t="s">
        <v>615</v>
      </c>
      <c r="AP229" s="187">
        <v>0</v>
      </c>
      <c r="AQ229" s="187">
        <v>0</v>
      </c>
      <c r="AR229" s="190">
        <v>0</v>
      </c>
      <c r="AS229" s="190">
        <v>0</v>
      </c>
      <c r="AT229" s="190">
        <v>0</v>
      </c>
      <c r="AU229" s="187">
        <v>0</v>
      </c>
      <c r="AV229" s="187">
        <v>0</v>
      </c>
      <c r="AW229" s="191"/>
      <c r="AX229" s="192"/>
      <c r="AY229" s="193">
        <v>42666</v>
      </c>
      <c r="AZ229" s="193"/>
      <c r="BA229" s="193"/>
      <c r="BB229" s="194"/>
      <c r="BC229" s="194"/>
      <c r="BD229" s="195"/>
      <c r="BE229" s="195" t="s">
        <v>532</v>
      </c>
      <c r="BF229" s="195"/>
      <c r="BG229" s="195">
        <v>250</v>
      </c>
      <c r="BH229" s="196" t="s">
        <v>547</v>
      </c>
      <c r="BI229" s="197">
        <v>1</v>
      </c>
      <c r="BJ229" s="198"/>
      <c r="BK229" s="199">
        <v>0</v>
      </c>
      <c r="BL229" s="13">
        <v>0</v>
      </c>
      <c r="BM229" s="13">
        <v>0</v>
      </c>
      <c r="BN229" s="13" t="s">
        <v>616</v>
      </c>
      <c r="BO229" s="13" t="s">
        <v>616</v>
      </c>
      <c r="BP229" s="200">
        <v>0</v>
      </c>
      <c r="BQ229" s="201"/>
      <c r="BR229" s="202"/>
      <c r="BS229" s="187">
        <v>1000000000</v>
      </c>
      <c r="BT229" s="203">
        <v>0</v>
      </c>
      <c r="BU229" s="204">
        <v>0</v>
      </c>
      <c r="BV229" s="203">
        <v>0</v>
      </c>
      <c r="BW229" s="205">
        <v>0</v>
      </c>
      <c r="BX229" s="205">
        <v>0</v>
      </c>
      <c r="BY229" s="205">
        <v>0</v>
      </c>
      <c r="BZ229" s="203">
        <v>0</v>
      </c>
      <c r="CA229" s="203">
        <v>0</v>
      </c>
      <c r="CB229" s="203">
        <v>0</v>
      </c>
      <c r="CC229" s="204">
        <v>0</v>
      </c>
      <c r="CD229" s="203">
        <v>0</v>
      </c>
      <c r="CE229" s="203">
        <v>0</v>
      </c>
      <c r="CF229" s="13">
        <v>0</v>
      </c>
      <c r="CG229" s="206">
        <v>0</v>
      </c>
      <c r="CH229" s="207">
        <v>0</v>
      </c>
      <c r="CI229" s="201"/>
      <c r="CJ229" s="208"/>
      <c r="CK229" s="209" t="s">
        <v>615</v>
      </c>
      <c r="CL229" s="210" t="s">
        <v>615</v>
      </c>
      <c r="CM229" s="207">
        <v>0</v>
      </c>
      <c r="CN229" s="207">
        <v>0</v>
      </c>
      <c r="CO229" s="204">
        <v>0</v>
      </c>
      <c r="CP229" s="204">
        <v>0</v>
      </c>
      <c r="CQ229" s="211"/>
      <c r="CR229" s="204">
        <v>1</v>
      </c>
      <c r="CS229" s="212">
        <v>42558</v>
      </c>
      <c r="CT229" s="212">
        <v>42780</v>
      </c>
      <c r="CU229" s="213">
        <v>42780</v>
      </c>
      <c r="CV229" s="214">
        <v>42829</v>
      </c>
      <c r="CW229" s="214" t="s">
        <v>615</v>
      </c>
      <c r="CX229" s="214" t="s">
        <v>615</v>
      </c>
      <c r="CY229" s="204">
        <v>1</v>
      </c>
      <c r="CZ229" s="204">
        <v>0.97959183673469385</v>
      </c>
      <c r="DA229" s="203">
        <v>0</v>
      </c>
      <c r="DB229" s="204">
        <v>0.97959183673469385</v>
      </c>
      <c r="DC229" s="204">
        <v>0</v>
      </c>
      <c r="DD229" s="204">
        <v>0</v>
      </c>
      <c r="DE229" s="204">
        <v>0</v>
      </c>
      <c r="DF229" s="215">
        <v>0</v>
      </c>
      <c r="DG229" s="13" t="s">
        <v>615</v>
      </c>
      <c r="DH229" s="86">
        <v>227</v>
      </c>
      <c r="DI229" s="86"/>
      <c r="DJ229" s="86">
        <v>235</v>
      </c>
      <c r="DK229" s="86" t="s">
        <v>1694</v>
      </c>
      <c r="DL229" s="86" t="e">
        <v>#N/A</v>
      </c>
      <c r="DM229" s="86" t="e">
        <v>#N/A</v>
      </c>
      <c r="DN229" s="86" t="e">
        <v>#N/A</v>
      </c>
      <c r="DO229" s="86">
        <v>405</v>
      </c>
      <c r="DP229" s="86">
        <v>5</v>
      </c>
      <c r="DQ229" s="86">
        <v>49</v>
      </c>
      <c r="DR229" s="146">
        <v>0</v>
      </c>
      <c r="DS229" s="146">
        <v>0</v>
      </c>
      <c r="DT229" s="146">
        <v>0</v>
      </c>
      <c r="DU229" s="146">
        <v>0</v>
      </c>
      <c r="DV229" s="146">
        <v>0</v>
      </c>
      <c r="DW229" s="146">
        <v>0</v>
      </c>
      <c r="DX229" s="146">
        <v>0</v>
      </c>
      <c r="DY229" s="146">
        <v>0</v>
      </c>
      <c r="DZ229" s="146">
        <v>0</v>
      </c>
      <c r="EA229" s="146">
        <v>0</v>
      </c>
      <c r="EB229" s="146">
        <v>0</v>
      </c>
      <c r="EC229" s="146">
        <v>0</v>
      </c>
      <c r="ED229" s="146">
        <v>0</v>
      </c>
      <c r="EE229" s="146">
        <v>0</v>
      </c>
      <c r="EF229" s="146">
        <v>0</v>
      </c>
      <c r="EG229" s="146">
        <v>0</v>
      </c>
      <c r="EH229" s="146">
        <v>0</v>
      </c>
      <c r="EI229" s="146">
        <v>0</v>
      </c>
      <c r="EJ229" s="146">
        <v>0</v>
      </c>
      <c r="EK229" s="146">
        <v>0</v>
      </c>
      <c r="EL229" s="146">
        <v>0</v>
      </c>
      <c r="EM229" s="146">
        <v>0</v>
      </c>
      <c r="EN229" s="146">
        <v>0</v>
      </c>
      <c r="EO229" s="146">
        <v>0</v>
      </c>
      <c r="EP229" s="146">
        <v>0</v>
      </c>
      <c r="EQ229" s="146">
        <v>0</v>
      </c>
      <c r="ER229" s="146">
        <v>0</v>
      </c>
      <c r="ES229" s="146">
        <v>0</v>
      </c>
      <c r="ET229" s="146">
        <v>0</v>
      </c>
      <c r="EU229" s="146">
        <v>0</v>
      </c>
      <c r="EV229" s="146">
        <v>0</v>
      </c>
      <c r="EW229" s="146">
        <v>0</v>
      </c>
      <c r="EX229" s="146">
        <v>0</v>
      </c>
      <c r="EY229" s="146">
        <v>0</v>
      </c>
      <c r="EZ229" s="146">
        <v>0</v>
      </c>
      <c r="FA229" s="146">
        <v>0</v>
      </c>
      <c r="FB229" s="146">
        <v>0</v>
      </c>
      <c r="FC229" s="146">
        <v>0</v>
      </c>
      <c r="FD229" s="146">
        <v>0</v>
      </c>
      <c r="FE229" s="146">
        <v>0</v>
      </c>
      <c r="FF229" s="146">
        <v>0</v>
      </c>
      <c r="FG229" s="146">
        <v>0</v>
      </c>
      <c r="FH229" s="146">
        <v>0</v>
      </c>
      <c r="FI229" s="146">
        <v>0</v>
      </c>
      <c r="FJ229" s="146">
        <v>0</v>
      </c>
      <c r="FK229" s="146">
        <v>0</v>
      </c>
      <c r="FL229" s="146">
        <v>0</v>
      </c>
      <c r="FM229" s="146">
        <v>0</v>
      </c>
      <c r="FN229" s="146">
        <v>0</v>
      </c>
      <c r="FO229" s="146">
        <v>0</v>
      </c>
      <c r="FP229" s="146">
        <v>0</v>
      </c>
      <c r="FQ229" s="146">
        <v>0</v>
      </c>
      <c r="FR229" s="146">
        <v>0</v>
      </c>
      <c r="FS229" s="146">
        <v>0</v>
      </c>
      <c r="FT229" s="146">
        <v>0</v>
      </c>
      <c r="FU229" s="146">
        <v>0</v>
      </c>
      <c r="FV229" s="146">
        <v>0</v>
      </c>
      <c r="FW229" s="146">
        <v>0</v>
      </c>
      <c r="FX229" s="146">
        <v>0</v>
      </c>
      <c r="FY229" s="146">
        <v>0</v>
      </c>
      <c r="FZ229" s="146">
        <v>0</v>
      </c>
      <c r="GA229" s="146">
        <v>0</v>
      </c>
      <c r="GB229" s="146">
        <v>0</v>
      </c>
      <c r="GC229" s="146">
        <v>0</v>
      </c>
      <c r="GD229" s="146">
        <v>0</v>
      </c>
      <c r="GE229" s="146">
        <v>0</v>
      </c>
      <c r="GF229" s="146">
        <v>0</v>
      </c>
      <c r="GG229" s="146">
        <v>0</v>
      </c>
      <c r="GH229" s="146">
        <v>0</v>
      </c>
      <c r="GI229" s="146">
        <v>0</v>
      </c>
      <c r="GJ229" s="146">
        <v>0</v>
      </c>
      <c r="GK229" s="146">
        <v>0</v>
      </c>
      <c r="GL229" s="146">
        <v>0</v>
      </c>
      <c r="GM229" s="146">
        <v>0</v>
      </c>
      <c r="GN229" s="146">
        <v>0</v>
      </c>
      <c r="GO229" s="146">
        <v>0</v>
      </c>
      <c r="GP229" s="146">
        <v>0</v>
      </c>
      <c r="GQ229" s="146">
        <v>0</v>
      </c>
      <c r="GR229" s="146">
        <v>0</v>
      </c>
      <c r="GS229" s="146">
        <v>0</v>
      </c>
      <c r="GT229" s="146">
        <v>0</v>
      </c>
      <c r="GU229" s="146">
        <v>0</v>
      </c>
      <c r="GV229" s="146">
        <v>0</v>
      </c>
      <c r="GW229" s="146">
        <v>0</v>
      </c>
      <c r="GX229" s="146">
        <v>0</v>
      </c>
      <c r="GY229" s="146">
        <v>0</v>
      </c>
      <c r="GZ229" s="146">
        <v>0</v>
      </c>
      <c r="HA229" s="146">
        <v>0</v>
      </c>
      <c r="HB229" s="146">
        <v>0</v>
      </c>
      <c r="HC229" s="146">
        <v>0</v>
      </c>
      <c r="HD229" s="146">
        <v>0</v>
      </c>
      <c r="HE229" s="146">
        <v>0</v>
      </c>
      <c r="HF229" s="146">
        <v>0</v>
      </c>
      <c r="HG229" s="146">
        <v>0</v>
      </c>
      <c r="HH229" s="146">
        <v>0</v>
      </c>
      <c r="HI229" s="146">
        <v>0</v>
      </c>
      <c r="HJ229" s="146">
        <v>0</v>
      </c>
      <c r="HK229" s="146">
        <v>0</v>
      </c>
      <c r="HL229" s="146">
        <v>0</v>
      </c>
      <c r="HM229" s="146">
        <v>0</v>
      </c>
      <c r="HN229" s="146">
        <v>0</v>
      </c>
      <c r="HO229" s="146">
        <v>0</v>
      </c>
      <c r="HP229" s="146">
        <v>0</v>
      </c>
      <c r="HQ229" s="146">
        <v>0</v>
      </c>
      <c r="HR229" s="146">
        <v>0</v>
      </c>
      <c r="HS229" s="146">
        <v>0</v>
      </c>
      <c r="HT229" s="146">
        <v>0</v>
      </c>
      <c r="HU229" s="151"/>
      <c r="HV229" s="146">
        <v>0</v>
      </c>
      <c r="HW229" s="151"/>
      <c r="HX229" s="151"/>
      <c r="HY229" s="151"/>
      <c r="HZ229" s="151"/>
      <c r="IA229" s="151"/>
      <c r="IB229" s="151"/>
      <c r="IC229" s="151"/>
      <c r="ID229" s="151"/>
      <c r="IE229" s="151"/>
      <c r="IF229" s="151"/>
      <c r="IG229" s="151"/>
      <c r="IH229" s="151"/>
      <c r="II229" s="151"/>
      <c r="IJ229" s="151"/>
      <c r="IK229" s="151"/>
      <c r="IL229" s="151"/>
      <c r="IM229" s="151"/>
      <c r="IN229" s="151"/>
      <c r="IO229" s="151"/>
      <c r="IP229" s="151"/>
      <c r="IQ229" s="151"/>
      <c r="IR229" s="151"/>
      <c r="IS229" s="151"/>
      <c r="IT229" s="151"/>
      <c r="IU229" s="151"/>
      <c r="IV229" s="151"/>
      <c r="IW229" s="151"/>
      <c r="IX229" s="151"/>
      <c r="IY229" s="151"/>
      <c r="IZ229" s="151"/>
      <c r="JA229" s="151"/>
      <c r="JB229" s="151"/>
      <c r="JC229" s="151"/>
      <c r="JD229" s="151"/>
      <c r="JE229" s="151"/>
      <c r="JF229" s="151"/>
      <c r="JG229" s="151"/>
      <c r="JH229" s="151"/>
      <c r="JI229" s="151"/>
      <c r="JJ229" s="151"/>
      <c r="JK229" s="151"/>
      <c r="JL229" s="151"/>
      <c r="JM229" s="151"/>
      <c r="JN229" s="151"/>
      <c r="JO229" s="151"/>
      <c r="JP229" s="151"/>
      <c r="JQ229" s="151"/>
      <c r="JR229" s="151"/>
      <c r="JS229" s="151"/>
      <c r="JT229" s="151"/>
      <c r="JU229" s="151"/>
      <c r="JV229" s="151"/>
      <c r="JW229" s="151"/>
      <c r="JX229" s="151"/>
      <c r="JY229" s="151"/>
      <c r="JZ229" s="151"/>
      <c r="KA229" s="151"/>
      <c r="KB229" s="151"/>
      <c r="KC229" s="151"/>
      <c r="KD229" s="151"/>
      <c r="KE229" s="151"/>
      <c r="KF229" s="151"/>
      <c r="KG229" s="151"/>
      <c r="KH229" s="151"/>
      <c r="KI229" s="151"/>
      <c r="KJ229" s="151"/>
      <c r="KK229" s="151"/>
      <c r="KL229" s="151"/>
      <c r="KM229" s="151"/>
      <c r="KN229" s="151"/>
      <c r="KO229" s="151"/>
      <c r="KP229" s="151"/>
      <c r="KQ229" s="151"/>
      <c r="KR229" s="151"/>
      <c r="KS229" s="151"/>
      <c r="KT229" s="151"/>
      <c r="KU229" s="151"/>
      <c r="KV229" s="151"/>
      <c r="KW229" s="151"/>
      <c r="KX229" s="151"/>
      <c r="KY229" s="151"/>
      <c r="KZ229" s="151"/>
      <c r="LA229" s="151"/>
      <c r="LB229" s="151"/>
      <c r="LC229" s="151"/>
      <c r="LD229" s="151"/>
      <c r="LE229" s="151"/>
    </row>
    <row r="230" spans="1:317" x14ac:dyDescent="0.2">
      <c r="A230" s="179" t="s">
        <v>849</v>
      </c>
      <c r="B230" s="180" t="s">
        <v>1129</v>
      </c>
      <c r="C230" s="181"/>
      <c r="D230" s="182">
        <v>0</v>
      </c>
      <c r="E230" s="182">
        <v>0</v>
      </c>
      <c r="F230" s="183" t="s">
        <v>1320</v>
      </c>
      <c r="G230" s="183">
        <v>0</v>
      </c>
      <c r="H230" s="183">
        <v>0</v>
      </c>
      <c r="I230" s="183">
        <v>0</v>
      </c>
      <c r="J230" s="183">
        <v>0</v>
      </c>
      <c r="K230" s="183" t="s">
        <v>1368</v>
      </c>
      <c r="L230" s="183">
        <v>0</v>
      </c>
      <c r="M230" s="183">
        <v>0</v>
      </c>
      <c r="N230" s="183" t="s">
        <v>881</v>
      </c>
      <c r="O230" s="183">
        <v>0</v>
      </c>
      <c r="P230" s="183">
        <v>0</v>
      </c>
      <c r="Q230" s="183"/>
      <c r="R230" s="183"/>
      <c r="S230" s="183"/>
      <c r="T230" s="183"/>
      <c r="U230" s="183"/>
      <c r="V230" s="183">
        <v>0</v>
      </c>
      <c r="W230" s="183">
        <v>0</v>
      </c>
      <c r="X230" s="183">
        <v>0</v>
      </c>
      <c r="Y230" s="184">
        <v>0</v>
      </c>
      <c r="Z230" s="184">
        <v>2.4900000000000002</v>
      </c>
      <c r="AA230" s="184">
        <v>0</v>
      </c>
      <c r="AB230" s="185" t="s">
        <v>615</v>
      </c>
      <c r="AC230" s="185" t="s">
        <v>615</v>
      </c>
      <c r="AD230" s="186" t="s">
        <v>881</v>
      </c>
      <c r="AE230" s="186" t="s">
        <v>858</v>
      </c>
      <c r="AF230" s="187">
        <v>7</v>
      </c>
      <c r="AG230" s="187">
        <v>3</v>
      </c>
      <c r="AH230" s="187">
        <v>4</v>
      </c>
      <c r="AI230" s="188">
        <v>1</v>
      </c>
      <c r="AJ230" s="188" t="s">
        <v>615</v>
      </c>
      <c r="AK230" s="187" t="s">
        <v>1738</v>
      </c>
      <c r="AL230" s="87" t="s">
        <v>615</v>
      </c>
      <c r="AM230" s="189"/>
      <c r="AN230" s="187" t="s">
        <v>615</v>
      </c>
      <c r="AO230" s="13" t="s">
        <v>615</v>
      </c>
      <c r="AP230" s="187">
        <v>0</v>
      </c>
      <c r="AQ230" s="187">
        <v>0</v>
      </c>
      <c r="AR230" s="190">
        <v>0</v>
      </c>
      <c r="AS230" s="190">
        <v>0</v>
      </c>
      <c r="AT230" s="190">
        <v>0</v>
      </c>
      <c r="AU230" s="187">
        <v>0</v>
      </c>
      <c r="AV230" s="187">
        <v>0</v>
      </c>
      <c r="AW230" s="191"/>
      <c r="AX230" s="192"/>
      <c r="AY230" s="193">
        <v>42666</v>
      </c>
      <c r="AZ230" s="193"/>
      <c r="BA230" s="193"/>
      <c r="BB230" s="194"/>
      <c r="BC230" s="194"/>
      <c r="BD230" s="195"/>
      <c r="BE230" s="195" t="s">
        <v>532</v>
      </c>
      <c r="BF230" s="195"/>
      <c r="BG230" s="195">
        <v>250</v>
      </c>
      <c r="BH230" s="196" t="s">
        <v>547</v>
      </c>
      <c r="BI230" s="197">
        <v>1</v>
      </c>
      <c r="BJ230" s="198"/>
      <c r="BK230" s="199">
        <v>0</v>
      </c>
      <c r="BL230" s="13">
        <v>0</v>
      </c>
      <c r="BM230" s="13">
        <v>0</v>
      </c>
      <c r="BN230" s="13" t="s">
        <v>616</v>
      </c>
      <c r="BO230" s="13" t="s">
        <v>616</v>
      </c>
      <c r="BP230" s="200">
        <v>0</v>
      </c>
      <c r="BQ230" s="201"/>
      <c r="BR230" s="202"/>
      <c r="BS230" s="187">
        <v>1000000000</v>
      </c>
      <c r="BT230" s="203">
        <v>0</v>
      </c>
      <c r="BU230" s="204">
        <v>0</v>
      </c>
      <c r="BV230" s="203">
        <v>0</v>
      </c>
      <c r="BW230" s="205">
        <v>0</v>
      </c>
      <c r="BX230" s="205">
        <v>0</v>
      </c>
      <c r="BY230" s="205">
        <v>0</v>
      </c>
      <c r="BZ230" s="203">
        <v>0</v>
      </c>
      <c r="CA230" s="203">
        <v>0</v>
      </c>
      <c r="CB230" s="203">
        <v>0</v>
      </c>
      <c r="CC230" s="204">
        <v>0</v>
      </c>
      <c r="CD230" s="203">
        <v>0</v>
      </c>
      <c r="CE230" s="203">
        <v>0</v>
      </c>
      <c r="CF230" s="13">
        <v>0</v>
      </c>
      <c r="CG230" s="206">
        <v>0</v>
      </c>
      <c r="CH230" s="207">
        <v>0</v>
      </c>
      <c r="CI230" s="201"/>
      <c r="CJ230" s="208"/>
      <c r="CK230" s="209" t="s">
        <v>615</v>
      </c>
      <c r="CL230" s="210" t="s">
        <v>615</v>
      </c>
      <c r="CM230" s="207">
        <v>0</v>
      </c>
      <c r="CN230" s="207">
        <v>0</v>
      </c>
      <c r="CO230" s="204">
        <v>0</v>
      </c>
      <c r="CP230" s="204">
        <v>0</v>
      </c>
      <c r="CQ230" s="211"/>
      <c r="CR230" s="204">
        <v>1</v>
      </c>
      <c r="CS230" s="212">
        <v>42558</v>
      </c>
      <c r="CT230" s="212">
        <v>42780</v>
      </c>
      <c r="CU230" s="213">
        <v>42780</v>
      </c>
      <c r="CV230" s="214">
        <v>42829</v>
      </c>
      <c r="CW230" s="214" t="s">
        <v>615</v>
      </c>
      <c r="CX230" s="214" t="s">
        <v>615</v>
      </c>
      <c r="CY230" s="204">
        <v>1</v>
      </c>
      <c r="CZ230" s="204">
        <v>0.97959183673469385</v>
      </c>
      <c r="DA230" s="203">
        <v>0</v>
      </c>
      <c r="DB230" s="204">
        <v>0.97959183673469385</v>
      </c>
      <c r="DC230" s="204">
        <v>0</v>
      </c>
      <c r="DD230" s="204">
        <v>0</v>
      </c>
      <c r="DE230" s="204">
        <v>0</v>
      </c>
      <c r="DF230" s="215">
        <v>0</v>
      </c>
      <c r="DG230" s="13" t="s">
        <v>615</v>
      </c>
      <c r="DH230" s="86">
        <v>228</v>
      </c>
      <c r="DI230" s="86"/>
      <c r="DJ230" s="86">
        <v>236</v>
      </c>
      <c r="DK230" s="86" t="s">
        <v>1695</v>
      </c>
      <c r="DL230" s="86" t="e">
        <v>#N/A</v>
      </c>
      <c r="DM230" s="86" t="e">
        <v>#N/A</v>
      </c>
      <c r="DN230" s="86" t="e">
        <v>#N/A</v>
      </c>
      <c r="DO230" s="86">
        <v>406</v>
      </c>
      <c r="DP230" s="86">
        <v>5</v>
      </c>
      <c r="DQ230" s="86">
        <v>49</v>
      </c>
      <c r="DR230" s="152">
        <v>0</v>
      </c>
      <c r="DS230" s="152">
        <v>0</v>
      </c>
      <c r="DT230" s="152">
        <v>0</v>
      </c>
      <c r="DU230" s="152">
        <v>0</v>
      </c>
      <c r="DV230" s="152">
        <v>0</v>
      </c>
      <c r="DW230" s="152">
        <v>0</v>
      </c>
      <c r="DX230" s="152">
        <v>0</v>
      </c>
      <c r="DY230" s="152">
        <v>0</v>
      </c>
      <c r="DZ230" s="152">
        <v>0</v>
      </c>
      <c r="EA230" s="152">
        <v>0</v>
      </c>
      <c r="EB230" s="152">
        <v>0</v>
      </c>
      <c r="EC230" s="152">
        <v>0</v>
      </c>
      <c r="ED230" s="152">
        <v>0</v>
      </c>
      <c r="EE230" s="152">
        <v>0</v>
      </c>
      <c r="EF230" s="152">
        <v>0</v>
      </c>
      <c r="EG230" s="152">
        <v>0</v>
      </c>
      <c r="EH230" s="152">
        <v>0</v>
      </c>
      <c r="EI230" s="152">
        <v>0</v>
      </c>
      <c r="EJ230" s="152">
        <v>0</v>
      </c>
      <c r="EK230" s="152">
        <v>0</v>
      </c>
      <c r="EL230" s="152">
        <v>0</v>
      </c>
      <c r="EM230" s="152">
        <v>0</v>
      </c>
      <c r="EN230" s="152">
        <v>0</v>
      </c>
      <c r="EO230" s="152">
        <v>0</v>
      </c>
      <c r="EP230" s="152">
        <v>0</v>
      </c>
      <c r="EQ230" s="152">
        <v>0</v>
      </c>
      <c r="ER230" s="152">
        <v>0</v>
      </c>
      <c r="ES230" s="152">
        <v>0</v>
      </c>
      <c r="ET230" s="152">
        <v>0</v>
      </c>
      <c r="EU230" s="152">
        <v>0</v>
      </c>
      <c r="EV230" s="152">
        <v>0</v>
      </c>
      <c r="EW230" s="152">
        <v>0</v>
      </c>
      <c r="EX230" s="152">
        <v>0</v>
      </c>
      <c r="EY230" s="152">
        <v>0</v>
      </c>
      <c r="EZ230" s="152">
        <v>0</v>
      </c>
      <c r="FA230" s="152">
        <v>0</v>
      </c>
      <c r="FB230" s="152">
        <v>0</v>
      </c>
      <c r="FC230" s="152">
        <v>0</v>
      </c>
      <c r="FD230" s="152">
        <v>0</v>
      </c>
      <c r="FE230" s="152">
        <v>0</v>
      </c>
      <c r="FF230" s="152">
        <v>0</v>
      </c>
      <c r="FG230" s="152">
        <v>0</v>
      </c>
      <c r="FH230" s="152">
        <v>0</v>
      </c>
      <c r="FI230" s="152">
        <v>0</v>
      </c>
      <c r="FJ230" s="152">
        <v>0</v>
      </c>
      <c r="FK230" s="152">
        <v>0</v>
      </c>
      <c r="FL230" s="152">
        <v>0</v>
      </c>
      <c r="FM230" s="152">
        <v>0</v>
      </c>
      <c r="FN230" s="152">
        <v>0</v>
      </c>
      <c r="FO230" s="152">
        <v>0</v>
      </c>
      <c r="FP230" s="152">
        <v>0</v>
      </c>
      <c r="FQ230" s="152">
        <v>0</v>
      </c>
      <c r="FR230" s="152">
        <v>0</v>
      </c>
      <c r="FS230" s="152">
        <v>0</v>
      </c>
      <c r="FT230" s="152">
        <v>0</v>
      </c>
      <c r="FU230" s="152">
        <v>0</v>
      </c>
      <c r="FV230" s="152">
        <v>0</v>
      </c>
      <c r="FW230" s="152">
        <v>0</v>
      </c>
      <c r="FX230" s="152">
        <v>0</v>
      </c>
      <c r="FY230" s="152">
        <v>0</v>
      </c>
      <c r="FZ230" s="152">
        <v>0</v>
      </c>
      <c r="GA230" s="152">
        <v>0</v>
      </c>
      <c r="GB230" s="152">
        <v>0</v>
      </c>
      <c r="GC230" s="152">
        <v>0</v>
      </c>
      <c r="GD230" s="152">
        <v>0</v>
      </c>
      <c r="GE230" s="152">
        <v>0</v>
      </c>
      <c r="GF230" s="152">
        <v>0</v>
      </c>
      <c r="GG230" s="152">
        <v>0</v>
      </c>
      <c r="GH230" s="152">
        <v>0</v>
      </c>
      <c r="GI230" s="152">
        <v>0</v>
      </c>
      <c r="GJ230" s="152">
        <v>0</v>
      </c>
      <c r="GK230" s="152">
        <v>0</v>
      </c>
      <c r="GL230" s="152">
        <v>0</v>
      </c>
      <c r="GM230" s="152">
        <v>0</v>
      </c>
      <c r="GN230" s="152">
        <v>0</v>
      </c>
      <c r="GO230" s="152">
        <v>0</v>
      </c>
      <c r="GP230" s="152">
        <v>0</v>
      </c>
      <c r="GQ230" s="152">
        <v>0</v>
      </c>
      <c r="GR230" s="152">
        <v>0</v>
      </c>
      <c r="GS230" s="152">
        <v>0</v>
      </c>
      <c r="GT230" s="152">
        <v>0</v>
      </c>
      <c r="GU230" s="152">
        <v>0</v>
      </c>
      <c r="GV230" s="152">
        <v>0</v>
      </c>
      <c r="GW230" s="152">
        <v>0</v>
      </c>
      <c r="GX230" s="152">
        <v>0</v>
      </c>
      <c r="GY230" s="152">
        <v>0</v>
      </c>
      <c r="GZ230" s="152">
        <v>0</v>
      </c>
      <c r="HA230" s="152">
        <v>0</v>
      </c>
      <c r="HB230" s="152">
        <v>0</v>
      </c>
      <c r="HC230" s="152">
        <v>0</v>
      </c>
      <c r="HD230" s="152">
        <v>0</v>
      </c>
      <c r="HE230" s="152">
        <v>0</v>
      </c>
      <c r="HF230" s="152">
        <v>0</v>
      </c>
      <c r="HG230" s="152">
        <v>0</v>
      </c>
      <c r="HH230" s="152">
        <v>0</v>
      </c>
      <c r="HI230" s="152">
        <v>0</v>
      </c>
      <c r="HJ230" s="152">
        <v>0</v>
      </c>
      <c r="HK230" s="152">
        <v>0</v>
      </c>
      <c r="HL230" s="152">
        <v>0</v>
      </c>
      <c r="HM230" s="152">
        <v>0</v>
      </c>
      <c r="HN230" s="152">
        <v>0</v>
      </c>
      <c r="HO230" s="152">
        <v>0</v>
      </c>
      <c r="HP230" s="152">
        <v>0</v>
      </c>
      <c r="HQ230" s="152">
        <v>0</v>
      </c>
      <c r="HR230" s="152">
        <v>0</v>
      </c>
      <c r="HS230" s="152">
        <v>0</v>
      </c>
      <c r="HT230" s="152">
        <v>0</v>
      </c>
      <c r="HU230" s="216"/>
      <c r="HV230" s="152">
        <v>0</v>
      </c>
      <c r="HW230" s="216"/>
      <c r="HX230" s="216"/>
      <c r="HY230" s="216"/>
      <c r="HZ230" s="216"/>
      <c r="IA230" s="216"/>
      <c r="IB230" s="216"/>
      <c r="IC230" s="216"/>
      <c r="ID230" s="216"/>
      <c r="IE230" s="216"/>
      <c r="IF230" s="216"/>
      <c r="IG230" s="216"/>
      <c r="IH230" s="216"/>
      <c r="II230" s="216"/>
      <c r="IJ230" s="216"/>
      <c r="IK230" s="216"/>
      <c r="IL230" s="216"/>
      <c r="IM230" s="216"/>
      <c r="IN230" s="216"/>
      <c r="IO230" s="216"/>
      <c r="IP230" s="216"/>
      <c r="IQ230" s="216"/>
      <c r="IR230" s="216"/>
      <c r="IS230" s="216"/>
      <c r="IT230" s="216"/>
      <c r="IU230" s="216"/>
      <c r="IV230" s="216"/>
      <c r="IW230" s="216"/>
      <c r="IX230" s="216"/>
      <c r="IY230" s="216"/>
      <c r="IZ230" s="216"/>
      <c r="JA230" s="216"/>
      <c r="JB230" s="216"/>
      <c r="JC230" s="216"/>
      <c r="JD230" s="216"/>
      <c r="JE230" s="216"/>
      <c r="JF230" s="216"/>
      <c r="JG230" s="216"/>
      <c r="JH230" s="216"/>
      <c r="JI230" s="216"/>
      <c r="JJ230" s="216"/>
      <c r="JK230" s="216"/>
      <c r="JL230" s="216"/>
      <c r="JM230" s="216"/>
      <c r="JN230" s="216"/>
      <c r="JO230" s="216"/>
      <c r="JP230" s="216"/>
      <c r="JQ230" s="216"/>
      <c r="JR230" s="216"/>
      <c r="JS230" s="216"/>
      <c r="JT230" s="216"/>
      <c r="JU230" s="216"/>
      <c r="JV230" s="216"/>
      <c r="JW230" s="216"/>
      <c r="JX230" s="216"/>
      <c r="JY230" s="216"/>
      <c r="JZ230" s="216"/>
      <c r="KA230" s="216"/>
      <c r="KB230" s="216"/>
      <c r="KC230" s="216"/>
      <c r="KD230" s="216"/>
      <c r="KE230" s="216"/>
      <c r="KF230" s="216"/>
      <c r="KG230" s="216"/>
      <c r="KH230" s="216"/>
      <c r="KI230" s="216"/>
      <c r="KJ230" s="216"/>
      <c r="KK230" s="216"/>
      <c r="KL230" s="216"/>
      <c r="KM230" s="216"/>
      <c r="KN230" s="216"/>
      <c r="KO230" s="216"/>
      <c r="KP230" s="216"/>
      <c r="KQ230" s="216"/>
      <c r="KR230" s="216"/>
      <c r="KS230" s="216"/>
      <c r="KT230" s="216"/>
      <c r="KU230" s="216"/>
      <c r="KV230" s="216"/>
      <c r="KW230" s="216"/>
      <c r="KX230" s="216"/>
      <c r="KY230" s="216"/>
      <c r="KZ230" s="216"/>
      <c r="LA230" s="216"/>
      <c r="LB230" s="216"/>
      <c r="LC230" s="216"/>
      <c r="LD230" s="216"/>
      <c r="LE230" s="216"/>
    </row>
    <row r="231" spans="1:317" x14ac:dyDescent="0.2">
      <c r="A231" s="179" t="s">
        <v>849</v>
      </c>
      <c r="B231" s="180" t="s">
        <v>1130</v>
      </c>
      <c r="C231" s="181"/>
      <c r="D231" s="182">
        <v>0</v>
      </c>
      <c r="E231" s="182">
        <v>0</v>
      </c>
      <c r="F231" s="183" t="s">
        <v>1321</v>
      </c>
      <c r="G231" s="183">
        <v>0</v>
      </c>
      <c r="H231" s="183">
        <v>0</v>
      </c>
      <c r="I231" s="183">
        <v>0</v>
      </c>
      <c r="J231" s="183">
        <v>0</v>
      </c>
      <c r="K231" s="183" t="s">
        <v>1368</v>
      </c>
      <c r="L231" s="183">
        <v>0</v>
      </c>
      <c r="M231" s="183">
        <v>0</v>
      </c>
      <c r="N231" s="183" t="s">
        <v>881</v>
      </c>
      <c r="O231" s="183">
        <v>0</v>
      </c>
      <c r="P231" s="183">
        <v>0</v>
      </c>
      <c r="Q231" s="183"/>
      <c r="R231" s="183"/>
      <c r="S231" s="183"/>
      <c r="T231" s="183"/>
      <c r="U231" s="183"/>
      <c r="V231" s="183">
        <v>0</v>
      </c>
      <c r="W231" s="183">
        <v>0</v>
      </c>
      <c r="X231" s="183">
        <v>0</v>
      </c>
      <c r="Y231" s="184">
        <v>0</v>
      </c>
      <c r="Z231" s="184">
        <v>3.75</v>
      </c>
      <c r="AA231" s="184">
        <v>0</v>
      </c>
      <c r="AB231" s="185" t="s">
        <v>615</v>
      </c>
      <c r="AC231" s="185" t="s">
        <v>615</v>
      </c>
      <c r="AD231" s="186" t="s">
        <v>881</v>
      </c>
      <c r="AE231" s="186" t="s">
        <v>858</v>
      </c>
      <c r="AF231" s="187">
        <v>7</v>
      </c>
      <c r="AG231" s="187">
        <v>3</v>
      </c>
      <c r="AH231" s="187">
        <v>4</v>
      </c>
      <c r="AI231" s="188">
        <v>1</v>
      </c>
      <c r="AJ231" s="188" t="s">
        <v>615</v>
      </c>
      <c r="AK231" s="187" t="s">
        <v>1738</v>
      </c>
      <c r="AL231" s="87" t="s">
        <v>615</v>
      </c>
      <c r="AM231" s="189"/>
      <c r="AN231" s="187" t="s">
        <v>615</v>
      </c>
      <c r="AO231" s="13" t="s">
        <v>615</v>
      </c>
      <c r="AP231" s="187">
        <v>0</v>
      </c>
      <c r="AQ231" s="187">
        <v>0</v>
      </c>
      <c r="AR231" s="190">
        <v>0</v>
      </c>
      <c r="AS231" s="190">
        <v>0</v>
      </c>
      <c r="AT231" s="190">
        <v>0</v>
      </c>
      <c r="AU231" s="187">
        <v>0</v>
      </c>
      <c r="AV231" s="187">
        <v>0</v>
      </c>
      <c r="AW231" s="191"/>
      <c r="AX231" s="192"/>
      <c r="AY231" s="193">
        <v>42666</v>
      </c>
      <c r="AZ231" s="193"/>
      <c r="BA231" s="193"/>
      <c r="BB231" s="194"/>
      <c r="BC231" s="194"/>
      <c r="BD231" s="195"/>
      <c r="BE231" s="195" t="s">
        <v>532</v>
      </c>
      <c r="BF231" s="195"/>
      <c r="BG231" s="195">
        <v>150</v>
      </c>
      <c r="BH231" s="196" t="s">
        <v>547</v>
      </c>
      <c r="BI231" s="197">
        <v>1</v>
      </c>
      <c r="BJ231" s="198"/>
      <c r="BK231" s="199">
        <v>0</v>
      </c>
      <c r="BL231" s="13">
        <v>0</v>
      </c>
      <c r="BM231" s="13">
        <v>0</v>
      </c>
      <c r="BN231" s="13" t="s">
        <v>616</v>
      </c>
      <c r="BO231" s="13" t="s">
        <v>616</v>
      </c>
      <c r="BP231" s="200">
        <v>0</v>
      </c>
      <c r="BQ231" s="201"/>
      <c r="BR231" s="202"/>
      <c r="BS231" s="187">
        <v>1000000000</v>
      </c>
      <c r="BT231" s="203">
        <v>0</v>
      </c>
      <c r="BU231" s="204">
        <v>0</v>
      </c>
      <c r="BV231" s="203">
        <v>0</v>
      </c>
      <c r="BW231" s="205">
        <v>0</v>
      </c>
      <c r="BX231" s="205">
        <v>0</v>
      </c>
      <c r="BY231" s="205">
        <v>0</v>
      </c>
      <c r="BZ231" s="203">
        <v>0</v>
      </c>
      <c r="CA231" s="203">
        <v>0</v>
      </c>
      <c r="CB231" s="203">
        <v>0</v>
      </c>
      <c r="CC231" s="204">
        <v>0</v>
      </c>
      <c r="CD231" s="203">
        <v>0</v>
      </c>
      <c r="CE231" s="203">
        <v>0</v>
      </c>
      <c r="CF231" s="13">
        <v>0</v>
      </c>
      <c r="CG231" s="206">
        <v>0</v>
      </c>
      <c r="CH231" s="207">
        <v>0</v>
      </c>
      <c r="CI231" s="201"/>
      <c r="CJ231" s="208"/>
      <c r="CK231" s="209" t="s">
        <v>615</v>
      </c>
      <c r="CL231" s="210" t="s">
        <v>615</v>
      </c>
      <c r="CM231" s="207">
        <v>0</v>
      </c>
      <c r="CN231" s="207">
        <v>0</v>
      </c>
      <c r="CO231" s="204">
        <v>0</v>
      </c>
      <c r="CP231" s="204">
        <v>0</v>
      </c>
      <c r="CQ231" s="211"/>
      <c r="CR231" s="204">
        <v>1</v>
      </c>
      <c r="CS231" s="212">
        <v>42558</v>
      </c>
      <c r="CT231" s="212">
        <v>42780</v>
      </c>
      <c r="CU231" s="213">
        <v>42780</v>
      </c>
      <c r="CV231" s="214">
        <v>42829</v>
      </c>
      <c r="CW231" s="214" t="s">
        <v>615</v>
      </c>
      <c r="CX231" s="214" t="s">
        <v>615</v>
      </c>
      <c r="CY231" s="204">
        <v>1</v>
      </c>
      <c r="CZ231" s="204">
        <v>0.97959183673469385</v>
      </c>
      <c r="DA231" s="203">
        <v>0</v>
      </c>
      <c r="DB231" s="204">
        <v>0.97959183673469385</v>
      </c>
      <c r="DC231" s="204">
        <v>0</v>
      </c>
      <c r="DD231" s="204">
        <v>0</v>
      </c>
      <c r="DE231" s="204">
        <v>0</v>
      </c>
      <c r="DF231" s="215">
        <v>0</v>
      </c>
      <c r="DG231" s="13" t="s">
        <v>615</v>
      </c>
      <c r="DH231" s="86">
        <v>229</v>
      </c>
      <c r="DI231" s="86"/>
      <c r="DJ231" s="86">
        <v>237</v>
      </c>
      <c r="DK231" s="86" t="s">
        <v>1696</v>
      </c>
      <c r="DL231" s="86" t="e">
        <v>#N/A</v>
      </c>
      <c r="DM231" s="86" t="e">
        <v>#N/A</v>
      </c>
      <c r="DN231" s="86" t="e">
        <v>#N/A</v>
      </c>
      <c r="DO231" s="86">
        <v>407</v>
      </c>
      <c r="DP231" s="86">
        <v>5</v>
      </c>
      <c r="DQ231" s="86">
        <v>49</v>
      </c>
      <c r="DR231" s="146">
        <v>0</v>
      </c>
      <c r="DS231" s="146">
        <v>0</v>
      </c>
      <c r="DT231" s="146">
        <v>0</v>
      </c>
      <c r="DU231" s="146">
        <v>0</v>
      </c>
      <c r="DV231" s="146">
        <v>0</v>
      </c>
      <c r="DW231" s="146">
        <v>0</v>
      </c>
      <c r="DX231" s="146">
        <v>0</v>
      </c>
      <c r="DY231" s="146">
        <v>0</v>
      </c>
      <c r="DZ231" s="146">
        <v>0</v>
      </c>
      <c r="EA231" s="146">
        <v>0</v>
      </c>
      <c r="EB231" s="146">
        <v>0</v>
      </c>
      <c r="EC231" s="146">
        <v>0</v>
      </c>
      <c r="ED231" s="146">
        <v>0</v>
      </c>
      <c r="EE231" s="146">
        <v>0</v>
      </c>
      <c r="EF231" s="146">
        <v>0</v>
      </c>
      <c r="EG231" s="146">
        <v>0</v>
      </c>
      <c r="EH231" s="146">
        <v>0</v>
      </c>
      <c r="EI231" s="146">
        <v>0</v>
      </c>
      <c r="EJ231" s="146">
        <v>0</v>
      </c>
      <c r="EK231" s="146">
        <v>0</v>
      </c>
      <c r="EL231" s="146">
        <v>0</v>
      </c>
      <c r="EM231" s="146">
        <v>0</v>
      </c>
      <c r="EN231" s="146">
        <v>0</v>
      </c>
      <c r="EO231" s="146">
        <v>0</v>
      </c>
      <c r="EP231" s="146">
        <v>0</v>
      </c>
      <c r="EQ231" s="146">
        <v>0</v>
      </c>
      <c r="ER231" s="146">
        <v>0</v>
      </c>
      <c r="ES231" s="146">
        <v>0</v>
      </c>
      <c r="ET231" s="146">
        <v>0</v>
      </c>
      <c r="EU231" s="146">
        <v>0</v>
      </c>
      <c r="EV231" s="146">
        <v>0</v>
      </c>
      <c r="EW231" s="146">
        <v>0</v>
      </c>
      <c r="EX231" s="146">
        <v>0</v>
      </c>
      <c r="EY231" s="146">
        <v>0</v>
      </c>
      <c r="EZ231" s="146">
        <v>0</v>
      </c>
      <c r="FA231" s="146">
        <v>0</v>
      </c>
      <c r="FB231" s="146">
        <v>0</v>
      </c>
      <c r="FC231" s="146">
        <v>0</v>
      </c>
      <c r="FD231" s="146">
        <v>0</v>
      </c>
      <c r="FE231" s="146">
        <v>0</v>
      </c>
      <c r="FF231" s="146">
        <v>0</v>
      </c>
      <c r="FG231" s="146">
        <v>0</v>
      </c>
      <c r="FH231" s="146">
        <v>0</v>
      </c>
      <c r="FI231" s="146">
        <v>0</v>
      </c>
      <c r="FJ231" s="146">
        <v>0</v>
      </c>
      <c r="FK231" s="146">
        <v>0</v>
      </c>
      <c r="FL231" s="146">
        <v>0</v>
      </c>
      <c r="FM231" s="146">
        <v>0</v>
      </c>
      <c r="FN231" s="146">
        <v>0</v>
      </c>
      <c r="FO231" s="146">
        <v>0</v>
      </c>
      <c r="FP231" s="146">
        <v>0</v>
      </c>
      <c r="FQ231" s="146">
        <v>0</v>
      </c>
      <c r="FR231" s="146">
        <v>0</v>
      </c>
      <c r="FS231" s="146">
        <v>0</v>
      </c>
      <c r="FT231" s="146">
        <v>0</v>
      </c>
      <c r="FU231" s="146">
        <v>0</v>
      </c>
      <c r="FV231" s="146">
        <v>0</v>
      </c>
      <c r="FW231" s="146">
        <v>0</v>
      </c>
      <c r="FX231" s="146">
        <v>0</v>
      </c>
      <c r="FY231" s="146">
        <v>0</v>
      </c>
      <c r="FZ231" s="146">
        <v>0</v>
      </c>
      <c r="GA231" s="146">
        <v>0</v>
      </c>
      <c r="GB231" s="146">
        <v>0</v>
      </c>
      <c r="GC231" s="146">
        <v>0</v>
      </c>
      <c r="GD231" s="146">
        <v>0</v>
      </c>
      <c r="GE231" s="146">
        <v>0</v>
      </c>
      <c r="GF231" s="146">
        <v>0</v>
      </c>
      <c r="GG231" s="146">
        <v>0</v>
      </c>
      <c r="GH231" s="146">
        <v>0</v>
      </c>
      <c r="GI231" s="146">
        <v>0</v>
      </c>
      <c r="GJ231" s="146">
        <v>0</v>
      </c>
      <c r="GK231" s="146">
        <v>0</v>
      </c>
      <c r="GL231" s="146">
        <v>0</v>
      </c>
      <c r="GM231" s="146">
        <v>0</v>
      </c>
      <c r="GN231" s="146">
        <v>0</v>
      </c>
      <c r="GO231" s="146">
        <v>0</v>
      </c>
      <c r="GP231" s="146">
        <v>0</v>
      </c>
      <c r="GQ231" s="146">
        <v>0</v>
      </c>
      <c r="GR231" s="146">
        <v>0</v>
      </c>
      <c r="GS231" s="146">
        <v>0</v>
      </c>
      <c r="GT231" s="146">
        <v>0</v>
      </c>
      <c r="GU231" s="146">
        <v>0</v>
      </c>
      <c r="GV231" s="146">
        <v>0</v>
      </c>
      <c r="GW231" s="146">
        <v>0</v>
      </c>
      <c r="GX231" s="146">
        <v>0</v>
      </c>
      <c r="GY231" s="146">
        <v>0</v>
      </c>
      <c r="GZ231" s="146">
        <v>0</v>
      </c>
      <c r="HA231" s="146">
        <v>0</v>
      </c>
      <c r="HB231" s="146">
        <v>0</v>
      </c>
      <c r="HC231" s="146">
        <v>0</v>
      </c>
      <c r="HD231" s="146">
        <v>0</v>
      </c>
      <c r="HE231" s="146">
        <v>0</v>
      </c>
      <c r="HF231" s="146">
        <v>0</v>
      </c>
      <c r="HG231" s="146">
        <v>0</v>
      </c>
      <c r="HH231" s="146">
        <v>0</v>
      </c>
      <c r="HI231" s="146">
        <v>0</v>
      </c>
      <c r="HJ231" s="146">
        <v>0</v>
      </c>
      <c r="HK231" s="146">
        <v>0</v>
      </c>
      <c r="HL231" s="146">
        <v>0</v>
      </c>
      <c r="HM231" s="146">
        <v>0</v>
      </c>
      <c r="HN231" s="146">
        <v>0</v>
      </c>
      <c r="HO231" s="146">
        <v>0</v>
      </c>
      <c r="HP231" s="146">
        <v>0</v>
      </c>
      <c r="HQ231" s="146">
        <v>0</v>
      </c>
      <c r="HR231" s="146">
        <v>0</v>
      </c>
      <c r="HS231" s="146">
        <v>0</v>
      </c>
      <c r="HT231" s="146">
        <v>0</v>
      </c>
      <c r="HU231" s="151"/>
      <c r="HV231" s="146">
        <v>0</v>
      </c>
      <c r="HW231" s="151"/>
      <c r="HX231" s="151"/>
      <c r="HY231" s="151"/>
      <c r="HZ231" s="151"/>
      <c r="IA231" s="151"/>
      <c r="IB231" s="151"/>
      <c r="IC231" s="151"/>
      <c r="ID231" s="151"/>
      <c r="IE231" s="151"/>
      <c r="IF231" s="151"/>
      <c r="IG231" s="151"/>
      <c r="IH231" s="151"/>
      <c r="II231" s="151"/>
      <c r="IJ231" s="151"/>
      <c r="IK231" s="151"/>
      <c r="IL231" s="151"/>
      <c r="IM231" s="151"/>
      <c r="IN231" s="151"/>
      <c r="IO231" s="151"/>
      <c r="IP231" s="151"/>
      <c r="IQ231" s="151"/>
      <c r="IR231" s="151"/>
      <c r="IS231" s="151"/>
      <c r="IT231" s="151"/>
      <c r="IU231" s="151"/>
      <c r="IV231" s="151"/>
      <c r="IW231" s="151"/>
      <c r="IX231" s="151"/>
      <c r="IY231" s="151"/>
      <c r="IZ231" s="151"/>
      <c r="JA231" s="151"/>
      <c r="JB231" s="151"/>
      <c r="JC231" s="151"/>
      <c r="JD231" s="151"/>
      <c r="JE231" s="151"/>
      <c r="JF231" s="151"/>
      <c r="JG231" s="151"/>
      <c r="JH231" s="151"/>
      <c r="JI231" s="151"/>
      <c r="JJ231" s="151"/>
      <c r="JK231" s="151"/>
      <c r="JL231" s="151"/>
      <c r="JM231" s="151"/>
      <c r="JN231" s="151"/>
      <c r="JO231" s="151"/>
      <c r="JP231" s="151"/>
      <c r="JQ231" s="151"/>
      <c r="JR231" s="151"/>
      <c r="JS231" s="151"/>
      <c r="JT231" s="151"/>
      <c r="JU231" s="151"/>
      <c r="JV231" s="151"/>
      <c r="JW231" s="151"/>
      <c r="JX231" s="151"/>
      <c r="JY231" s="151"/>
      <c r="JZ231" s="151"/>
      <c r="KA231" s="151"/>
      <c r="KB231" s="151"/>
      <c r="KC231" s="151"/>
      <c r="KD231" s="151"/>
      <c r="KE231" s="151"/>
      <c r="KF231" s="151"/>
      <c r="KG231" s="151"/>
      <c r="KH231" s="151"/>
      <c r="KI231" s="151"/>
      <c r="KJ231" s="151"/>
      <c r="KK231" s="151"/>
      <c r="KL231" s="151"/>
      <c r="KM231" s="151"/>
      <c r="KN231" s="151"/>
      <c r="KO231" s="151"/>
      <c r="KP231" s="151"/>
      <c r="KQ231" s="151"/>
      <c r="KR231" s="151"/>
      <c r="KS231" s="151"/>
      <c r="KT231" s="151"/>
      <c r="KU231" s="151"/>
      <c r="KV231" s="151"/>
      <c r="KW231" s="151"/>
      <c r="KX231" s="151"/>
      <c r="KY231" s="151"/>
      <c r="KZ231" s="151"/>
      <c r="LA231" s="151"/>
      <c r="LB231" s="151"/>
      <c r="LC231" s="151"/>
      <c r="LD231" s="151"/>
      <c r="LE231" s="151"/>
    </row>
    <row r="232" spans="1:317" x14ac:dyDescent="0.2">
      <c r="A232" s="179" t="s">
        <v>849</v>
      </c>
      <c r="B232" s="180" t="s">
        <v>1131</v>
      </c>
      <c r="C232" s="181"/>
      <c r="D232" s="182">
        <v>0</v>
      </c>
      <c r="E232" s="182">
        <v>0</v>
      </c>
      <c r="F232" s="183" t="s">
        <v>1322</v>
      </c>
      <c r="G232" s="183">
        <v>0</v>
      </c>
      <c r="H232" s="183">
        <v>0</v>
      </c>
      <c r="I232" s="183">
        <v>0</v>
      </c>
      <c r="J232" s="183">
        <v>0</v>
      </c>
      <c r="K232" s="183" t="s">
        <v>1368</v>
      </c>
      <c r="L232" s="183">
        <v>0</v>
      </c>
      <c r="M232" s="183">
        <v>0</v>
      </c>
      <c r="N232" s="183" t="s">
        <v>881</v>
      </c>
      <c r="O232" s="183">
        <v>0</v>
      </c>
      <c r="P232" s="183">
        <v>0</v>
      </c>
      <c r="Q232" s="183"/>
      <c r="R232" s="183"/>
      <c r="S232" s="183"/>
      <c r="T232" s="183"/>
      <c r="U232" s="183"/>
      <c r="V232" s="183">
        <v>0</v>
      </c>
      <c r="W232" s="183">
        <v>0</v>
      </c>
      <c r="X232" s="183">
        <v>0</v>
      </c>
      <c r="Y232" s="184">
        <v>0</v>
      </c>
      <c r="Z232" s="184">
        <v>6.32</v>
      </c>
      <c r="AA232" s="184">
        <v>0</v>
      </c>
      <c r="AB232" s="185" t="s">
        <v>615</v>
      </c>
      <c r="AC232" s="185" t="s">
        <v>615</v>
      </c>
      <c r="AD232" s="186" t="s">
        <v>881</v>
      </c>
      <c r="AE232" s="186" t="s">
        <v>858</v>
      </c>
      <c r="AF232" s="187">
        <v>7</v>
      </c>
      <c r="AG232" s="187">
        <v>3</v>
      </c>
      <c r="AH232" s="187">
        <v>4</v>
      </c>
      <c r="AI232" s="188">
        <v>1</v>
      </c>
      <c r="AJ232" s="188" t="s">
        <v>615</v>
      </c>
      <c r="AK232" s="187" t="s">
        <v>1738</v>
      </c>
      <c r="AL232" s="87" t="s">
        <v>615</v>
      </c>
      <c r="AM232" s="189"/>
      <c r="AN232" s="187" t="s">
        <v>615</v>
      </c>
      <c r="AO232" s="13" t="s">
        <v>615</v>
      </c>
      <c r="AP232" s="187">
        <v>0</v>
      </c>
      <c r="AQ232" s="187">
        <v>0</v>
      </c>
      <c r="AR232" s="190">
        <v>0</v>
      </c>
      <c r="AS232" s="190">
        <v>0</v>
      </c>
      <c r="AT232" s="190">
        <v>0</v>
      </c>
      <c r="AU232" s="187">
        <v>0</v>
      </c>
      <c r="AV232" s="187">
        <v>0</v>
      </c>
      <c r="AW232" s="191"/>
      <c r="AX232" s="192"/>
      <c r="AY232" s="193">
        <v>42666</v>
      </c>
      <c r="AZ232" s="193"/>
      <c r="BA232" s="193"/>
      <c r="BB232" s="194"/>
      <c r="BC232" s="194"/>
      <c r="BD232" s="195"/>
      <c r="BE232" s="195" t="s">
        <v>532</v>
      </c>
      <c r="BF232" s="195"/>
      <c r="BG232" s="195">
        <v>50</v>
      </c>
      <c r="BH232" s="196" t="s">
        <v>547</v>
      </c>
      <c r="BI232" s="197">
        <v>1</v>
      </c>
      <c r="BJ232" s="198"/>
      <c r="BK232" s="199">
        <v>0</v>
      </c>
      <c r="BL232" s="13">
        <v>0</v>
      </c>
      <c r="BM232" s="13">
        <v>0</v>
      </c>
      <c r="BN232" s="13" t="s">
        <v>616</v>
      </c>
      <c r="BO232" s="13" t="s">
        <v>616</v>
      </c>
      <c r="BP232" s="200">
        <v>0</v>
      </c>
      <c r="BQ232" s="201"/>
      <c r="BR232" s="202"/>
      <c r="BS232" s="187">
        <v>1000000000</v>
      </c>
      <c r="BT232" s="203">
        <v>0</v>
      </c>
      <c r="BU232" s="204">
        <v>0</v>
      </c>
      <c r="BV232" s="203">
        <v>0</v>
      </c>
      <c r="BW232" s="205">
        <v>0</v>
      </c>
      <c r="BX232" s="205">
        <v>0</v>
      </c>
      <c r="BY232" s="205">
        <v>0</v>
      </c>
      <c r="BZ232" s="203">
        <v>0</v>
      </c>
      <c r="CA232" s="203">
        <v>0</v>
      </c>
      <c r="CB232" s="203">
        <v>0</v>
      </c>
      <c r="CC232" s="204">
        <v>0</v>
      </c>
      <c r="CD232" s="203">
        <v>0</v>
      </c>
      <c r="CE232" s="203">
        <v>0</v>
      </c>
      <c r="CF232" s="13">
        <v>0</v>
      </c>
      <c r="CG232" s="206">
        <v>0</v>
      </c>
      <c r="CH232" s="207">
        <v>0</v>
      </c>
      <c r="CI232" s="201"/>
      <c r="CJ232" s="208"/>
      <c r="CK232" s="209" t="s">
        <v>615</v>
      </c>
      <c r="CL232" s="210" t="s">
        <v>615</v>
      </c>
      <c r="CM232" s="207">
        <v>0</v>
      </c>
      <c r="CN232" s="207">
        <v>0</v>
      </c>
      <c r="CO232" s="204">
        <v>0</v>
      </c>
      <c r="CP232" s="204">
        <v>0</v>
      </c>
      <c r="CQ232" s="211"/>
      <c r="CR232" s="204">
        <v>1</v>
      </c>
      <c r="CS232" s="212">
        <v>42558</v>
      </c>
      <c r="CT232" s="212">
        <v>42780</v>
      </c>
      <c r="CU232" s="213">
        <v>42780</v>
      </c>
      <c r="CV232" s="214">
        <v>42829</v>
      </c>
      <c r="CW232" s="214" t="s">
        <v>615</v>
      </c>
      <c r="CX232" s="214" t="s">
        <v>615</v>
      </c>
      <c r="CY232" s="204">
        <v>1</v>
      </c>
      <c r="CZ232" s="204">
        <v>0.97959183673469385</v>
      </c>
      <c r="DA232" s="203">
        <v>0</v>
      </c>
      <c r="DB232" s="204">
        <v>0.97959183673469385</v>
      </c>
      <c r="DC232" s="204">
        <v>0</v>
      </c>
      <c r="DD232" s="204">
        <v>0</v>
      </c>
      <c r="DE232" s="204">
        <v>0</v>
      </c>
      <c r="DF232" s="215">
        <v>0</v>
      </c>
      <c r="DG232" s="13" t="s">
        <v>615</v>
      </c>
      <c r="DH232" s="86">
        <v>230</v>
      </c>
      <c r="DI232" s="86"/>
      <c r="DJ232" s="86">
        <v>238</v>
      </c>
      <c r="DK232" s="86" t="s">
        <v>1697</v>
      </c>
      <c r="DL232" s="86" t="e">
        <v>#N/A</v>
      </c>
      <c r="DM232" s="86" t="e">
        <v>#N/A</v>
      </c>
      <c r="DN232" s="86" t="e">
        <v>#N/A</v>
      </c>
      <c r="DO232" s="86">
        <v>408</v>
      </c>
      <c r="DP232" s="86">
        <v>5</v>
      </c>
      <c r="DQ232" s="86">
        <v>49</v>
      </c>
      <c r="DR232" s="152">
        <v>0</v>
      </c>
      <c r="DS232" s="152">
        <v>0</v>
      </c>
      <c r="DT232" s="152">
        <v>0</v>
      </c>
      <c r="DU232" s="152">
        <v>0</v>
      </c>
      <c r="DV232" s="152">
        <v>0</v>
      </c>
      <c r="DW232" s="152">
        <v>0</v>
      </c>
      <c r="DX232" s="152">
        <v>0</v>
      </c>
      <c r="DY232" s="152">
        <v>0</v>
      </c>
      <c r="DZ232" s="152">
        <v>0</v>
      </c>
      <c r="EA232" s="152">
        <v>0</v>
      </c>
      <c r="EB232" s="152">
        <v>0</v>
      </c>
      <c r="EC232" s="152">
        <v>0</v>
      </c>
      <c r="ED232" s="152">
        <v>0</v>
      </c>
      <c r="EE232" s="152">
        <v>0</v>
      </c>
      <c r="EF232" s="152">
        <v>0</v>
      </c>
      <c r="EG232" s="152">
        <v>0</v>
      </c>
      <c r="EH232" s="152">
        <v>0</v>
      </c>
      <c r="EI232" s="152">
        <v>0</v>
      </c>
      <c r="EJ232" s="152">
        <v>0</v>
      </c>
      <c r="EK232" s="152">
        <v>0</v>
      </c>
      <c r="EL232" s="152">
        <v>0</v>
      </c>
      <c r="EM232" s="152">
        <v>0</v>
      </c>
      <c r="EN232" s="152">
        <v>0</v>
      </c>
      <c r="EO232" s="152">
        <v>0</v>
      </c>
      <c r="EP232" s="152">
        <v>0</v>
      </c>
      <c r="EQ232" s="152">
        <v>0</v>
      </c>
      <c r="ER232" s="152">
        <v>0</v>
      </c>
      <c r="ES232" s="152">
        <v>0</v>
      </c>
      <c r="ET232" s="152">
        <v>0</v>
      </c>
      <c r="EU232" s="152">
        <v>0</v>
      </c>
      <c r="EV232" s="152">
        <v>0</v>
      </c>
      <c r="EW232" s="152">
        <v>0</v>
      </c>
      <c r="EX232" s="152">
        <v>0</v>
      </c>
      <c r="EY232" s="152">
        <v>0</v>
      </c>
      <c r="EZ232" s="152">
        <v>0</v>
      </c>
      <c r="FA232" s="152">
        <v>0</v>
      </c>
      <c r="FB232" s="152">
        <v>0</v>
      </c>
      <c r="FC232" s="152">
        <v>0</v>
      </c>
      <c r="FD232" s="152">
        <v>0</v>
      </c>
      <c r="FE232" s="152">
        <v>0</v>
      </c>
      <c r="FF232" s="152">
        <v>0</v>
      </c>
      <c r="FG232" s="152">
        <v>0</v>
      </c>
      <c r="FH232" s="152">
        <v>0</v>
      </c>
      <c r="FI232" s="152">
        <v>0</v>
      </c>
      <c r="FJ232" s="152">
        <v>0</v>
      </c>
      <c r="FK232" s="152">
        <v>0</v>
      </c>
      <c r="FL232" s="152">
        <v>0</v>
      </c>
      <c r="FM232" s="152">
        <v>0</v>
      </c>
      <c r="FN232" s="152">
        <v>0</v>
      </c>
      <c r="FO232" s="152">
        <v>0</v>
      </c>
      <c r="FP232" s="152">
        <v>0</v>
      </c>
      <c r="FQ232" s="152">
        <v>0</v>
      </c>
      <c r="FR232" s="152">
        <v>0</v>
      </c>
      <c r="FS232" s="152">
        <v>0</v>
      </c>
      <c r="FT232" s="152">
        <v>0</v>
      </c>
      <c r="FU232" s="152">
        <v>0</v>
      </c>
      <c r="FV232" s="152">
        <v>0</v>
      </c>
      <c r="FW232" s="152">
        <v>0</v>
      </c>
      <c r="FX232" s="152">
        <v>0</v>
      </c>
      <c r="FY232" s="152">
        <v>0</v>
      </c>
      <c r="FZ232" s="152">
        <v>0</v>
      </c>
      <c r="GA232" s="152">
        <v>0</v>
      </c>
      <c r="GB232" s="152">
        <v>0</v>
      </c>
      <c r="GC232" s="152">
        <v>0</v>
      </c>
      <c r="GD232" s="152">
        <v>0</v>
      </c>
      <c r="GE232" s="152">
        <v>0</v>
      </c>
      <c r="GF232" s="152">
        <v>0</v>
      </c>
      <c r="GG232" s="152">
        <v>0</v>
      </c>
      <c r="GH232" s="152">
        <v>0</v>
      </c>
      <c r="GI232" s="152">
        <v>0</v>
      </c>
      <c r="GJ232" s="152">
        <v>0</v>
      </c>
      <c r="GK232" s="152">
        <v>0</v>
      </c>
      <c r="GL232" s="152">
        <v>0</v>
      </c>
      <c r="GM232" s="152">
        <v>0</v>
      </c>
      <c r="GN232" s="152">
        <v>0</v>
      </c>
      <c r="GO232" s="152">
        <v>0</v>
      </c>
      <c r="GP232" s="152">
        <v>0</v>
      </c>
      <c r="GQ232" s="152">
        <v>0</v>
      </c>
      <c r="GR232" s="152">
        <v>0</v>
      </c>
      <c r="GS232" s="152">
        <v>0</v>
      </c>
      <c r="GT232" s="152">
        <v>0</v>
      </c>
      <c r="GU232" s="152">
        <v>0</v>
      </c>
      <c r="GV232" s="152">
        <v>0</v>
      </c>
      <c r="GW232" s="152">
        <v>0</v>
      </c>
      <c r="GX232" s="152">
        <v>0</v>
      </c>
      <c r="GY232" s="152">
        <v>0</v>
      </c>
      <c r="GZ232" s="152">
        <v>0</v>
      </c>
      <c r="HA232" s="152">
        <v>0</v>
      </c>
      <c r="HB232" s="152">
        <v>0</v>
      </c>
      <c r="HC232" s="152">
        <v>0</v>
      </c>
      <c r="HD232" s="152">
        <v>0</v>
      </c>
      <c r="HE232" s="152">
        <v>0</v>
      </c>
      <c r="HF232" s="152">
        <v>0</v>
      </c>
      <c r="HG232" s="152">
        <v>0</v>
      </c>
      <c r="HH232" s="152">
        <v>0</v>
      </c>
      <c r="HI232" s="152">
        <v>0</v>
      </c>
      <c r="HJ232" s="152">
        <v>0</v>
      </c>
      <c r="HK232" s="152">
        <v>0</v>
      </c>
      <c r="HL232" s="152">
        <v>0</v>
      </c>
      <c r="HM232" s="152">
        <v>0</v>
      </c>
      <c r="HN232" s="152">
        <v>0</v>
      </c>
      <c r="HO232" s="152">
        <v>0</v>
      </c>
      <c r="HP232" s="152">
        <v>0</v>
      </c>
      <c r="HQ232" s="152">
        <v>0</v>
      </c>
      <c r="HR232" s="152">
        <v>0</v>
      </c>
      <c r="HS232" s="152">
        <v>0</v>
      </c>
      <c r="HT232" s="152">
        <v>0</v>
      </c>
      <c r="HU232" s="216"/>
      <c r="HV232" s="152">
        <v>0</v>
      </c>
      <c r="HW232" s="216"/>
      <c r="HX232" s="216"/>
      <c r="HY232" s="216"/>
      <c r="HZ232" s="216"/>
      <c r="IA232" s="216"/>
      <c r="IB232" s="216"/>
      <c r="IC232" s="216"/>
      <c r="ID232" s="216"/>
      <c r="IE232" s="216"/>
      <c r="IF232" s="216"/>
      <c r="IG232" s="216"/>
      <c r="IH232" s="216"/>
      <c r="II232" s="216"/>
      <c r="IJ232" s="216"/>
      <c r="IK232" s="216"/>
      <c r="IL232" s="216"/>
      <c r="IM232" s="216"/>
      <c r="IN232" s="216"/>
      <c r="IO232" s="216"/>
      <c r="IP232" s="216"/>
      <c r="IQ232" s="216"/>
      <c r="IR232" s="216"/>
      <c r="IS232" s="216"/>
      <c r="IT232" s="216"/>
      <c r="IU232" s="216"/>
      <c r="IV232" s="216"/>
      <c r="IW232" s="216"/>
      <c r="IX232" s="216"/>
      <c r="IY232" s="216"/>
      <c r="IZ232" s="216"/>
      <c r="JA232" s="216"/>
      <c r="JB232" s="216"/>
      <c r="JC232" s="216"/>
      <c r="JD232" s="216"/>
      <c r="JE232" s="216"/>
      <c r="JF232" s="216"/>
      <c r="JG232" s="216"/>
      <c r="JH232" s="216"/>
      <c r="JI232" s="216"/>
      <c r="JJ232" s="216"/>
      <c r="JK232" s="216"/>
      <c r="JL232" s="216"/>
      <c r="JM232" s="216"/>
      <c r="JN232" s="216"/>
      <c r="JO232" s="216"/>
      <c r="JP232" s="216"/>
      <c r="JQ232" s="216"/>
      <c r="JR232" s="216"/>
      <c r="JS232" s="216"/>
      <c r="JT232" s="216"/>
      <c r="JU232" s="216"/>
      <c r="JV232" s="216"/>
      <c r="JW232" s="216"/>
      <c r="JX232" s="216"/>
      <c r="JY232" s="216"/>
      <c r="JZ232" s="216"/>
      <c r="KA232" s="216"/>
      <c r="KB232" s="216"/>
      <c r="KC232" s="216"/>
      <c r="KD232" s="216"/>
      <c r="KE232" s="216"/>
      <c r="KF232" s="216"/>
      <c r="KG232" s="216"/>
      <c r="KH232" s="216"/>
      <c r="KI232" s="216"/>
      <c r="KJ232" s="216"/>
      <c r="KK232" s="216"/>
      <c r="KL232" s="216"/>
      <c r="KM232" s="216"/>
      <c r="KN232" s="216"/>
      <c r="KO232" s="216"/>
      <c r="KP232" s="216"/>
      <c r="KQ232" s="216"/>
      <c r="KR232" s="216"/>
      <c r="KS232" s="216"/>
      <c r="KT232" s="216"/>
      <c r="KU232" s="216"/>
      <c r="KV232" s="216"/>
      <c r="KW232" s="216"/>
      <c r="KX232" s="216"/>
      <c r="KY232" s="216"/>
      <c r="KZ232" s="216"/>
      <c r="LA232" s="216"/>
      <c r="LB232" s="216"/>
      <c r="LC232" s="216"/>
      <c r="LD232" s="216"/>
      <c r="LE232" s="216"/>
    </row>
    <row r="233" spans="1:317" x14ac:dyDescent="0.2">
      <c r="A233" s="179" t="s">
        <v>849</v>
      </c>
      <c r="B233" s="180" t="s">
        <v>1132</v>
      </c>
      <c r="C233" s="181"/>
      <c r="D233" s="182">
        <v>0</v>
      </c>
      <c r="E233" s="182">
        <v>0</v>
      </c>
      <c r="F233" s="183" t="s">
        <v>1323</v>
      </c>
      <c r="G233" s="183">
        <v>0</v>
      </c>
      <c r="H233" s="183">
        <v>0</v>
      </c>
      <c r="I233" s="183">
        <v>0</v>
      </c>
      <c r="J233" s="183">
        <v>0</v>
      </c>
      <c r="K233" s="183" t="s">
        <v>1368</v>
      </c>
      <c r="L233" s="183">
        <v>0</v>
      </c>
      <c r="M233" s="183">
        <v>0</v>
      </c>
      <c r="N233" s="183" t="s">
        <v>881</v>
      </c>
      <c r="O233" s="183">
        <v>0</v>
      </c>
      <c r="P233" s="183">
        <v>0</v>
      </c>
      <c r="Q233" s="183"/>
      <c r="R233" s="183"/>
      <c r="S233" s="183"/>
      <c r="T233" s="183"/>
      <c r="U233" s="183"/>
      <c r="V233" s="183">
        <v>0</v>
      </c>
      <c r="W233" s="183">
        <v>0</v>
      </c>
      <c r="X233" s="183">
        <v>0</v>
      </c>
      <c r="Y233" s="184">
        <v>0</v>
      </c>
      <c r="Z233" s="184">
        <v>6.37</v>
      </c>
      <c r="AA233" s="184">
        <v>0</v>
      </c>
      <c r="AB233" s="185" t="s">
        <v>615</v>
      </c>
      <c r="AC233" s="185" t="s">
        <v>615</v>
      </c>
      <c r="AD233" s="186" t="s">
        <v>881</v>
      </c>
      <c r="AE233" s="186" t="s">
        <v>858</v>
      </c>
      <c r="AF233" s="187">
        <v>7</v>
      </c>
      <c r="AG233" s="187">
        <v>3</v>
      </c>
      <c r="AH233" s="187">
        <v>4</v>
      </c>
      <c r="AI233" s="188">
        <v>1</v>
      </c>
      <c r="AJ233" s="188" t="s">
        <v>615</v>
      </c>
      <c r="AK233" s="187" t="s">
        <v>1738</v>
      </c>
      <c r="AL233" s="87" t="s">
        <v>615</v>
      </c>
      <c r="AM233" s="189"/>
      <c r="AN233" s="187" t="s">
        <v>615</v>
      </c>
      <c r="AO233" s="13" t="s">
        <v>615</v>
      </c>
      <c r="AP233" s="187">
        <v>0</v>
      </c>
      <c r="AQ233" s="187">
        <v>0</v>
      </c>
      <c r="AR233" s="190">
        <v>0</v>
      </c>
      <c r="AS233" s="190">
        <v>0</v>
      </c>
      <c r="AT233" s="190">
        <v>0</v>
      </c>
      <c r="AU233" s="187">
        <v>0</v>
      </c>
      <c r="AV233" s="187">
        <v>0</v>
      </c>
      <c r="AW233" s="191"/>
      <c r="AX233" s="192"/>
      <c r="AY233" s="193">
        <v>42666</v>
      </c>
      <c r="AZ233" s="193"/>
      <c r="BA233" s="193"/>
      <c r="BB233" s="194"/>
      <c r="BC233" s="194"/>
      <c r="BD233" s="195"/>
      <c r="BE233" s="195" t="s">
        <v>532</v>
      </c>
      <c r="BF233" s="195"/>
      <c r="BG233" s="195">
        <v>50</v>
      </c>
      <c r="BH233" s="196" t="s">
        <v>547</v>
      </c>
      <c r="BI233" s="197">
        <v>1</v>
      </c>
      <c r="BJ233" s="198"/>
      <c r="BK233" s="199">
        <v>0</v>
      </c>
      <c r="BL233" s="13">
        <v>0</v>
      </c>
      <c r="BM233" s="13">
        <v>0</v>
      </c>
      <c r="BN233" s="13" t="s">
        <v>616</v>
      </c>
      <c r="BO233" s="13" t="s">
        <v>616</v>
      </c>
      <c r="BP233" s="200">
        <v>0</v>
      </c>
      <c r="BQ233" s="201"/>
      <c r="BR233" s="202"/>
      <c r="BS233" s="187">
        <v>1000000000</v>
      </c>
      <c r="BT233" s="203">
        <v>0</v>
      </c>
      <c r="BU233" s="204">
        <v>0</v>
      </c>
      <c r="BV233" s="203">
        <v>0</v>
      </c>
      <c r="BW233" s="205">
        <v>0</v>
      </c>
      <c r="BX233" s="205">
        <v>0</v>
      </c>
      <c r="BY233" s="205">
        <v>0</v>
      </c>
      <c r="BZ233" s="203">
        <v>0</v>
      </c>
      <c r="CA233" s="203">
        <v>0</v>
      </c>
      <c r="CB233" s="203">
        <v>0</v>
      </c>
      <c r="CC233" s="204">
        <v>0</v>
      </c>
      <c r="CD233" s="203">
        <v>0</v>
      </c>
      <c r="CE233" s="203">
        <v>0</v>
      </c>
      <c r="CF233" s="13">
        <v>0</v>
      </c>
      <c r="CG233" s="206">
        <v>0</v>
      </c>
      <c r="CH233" s="207">
        <v>0</v>
      </c>
      <c r="CI233" s="201"/>
      <c r="CJ233" s="208"/>
      <c r="CK233" s="209" t="s">
        <v>615</v>
      </c>
      <c r="CL233" s="210" t="s">
        <v>615</v>
      </c>
      <c r="CM233" s="207">
        <v>0</v>
      </c>
      <c r="CN233" s="207">
        <v>0</v>
      </c>
      <c r="CO233" s="204">
        <v>0</v>
      </c>
      <c r="CP233" s="204">
        <v>0</v>
      </c>
      <c r="CQ233" s="211"/>
      <c r="CR233" s="204">
        <v>1</v>
      </c>
      <c r="CS233" s="212">
        <v>42558</v>
      </c>
      <c r="CT233" s="212">
        <v>42780</v>
      </c>
      <c r="CU233" s="213">
        <v>42780</v>
      </c>
      <c r="CV233" s="214">
        <v>42829</v>
      </c>
      <c r="CW233" s="214" t="s">
        <v>615</v>
      </c>
      <c r="CX233" s="214" t="s">
        <v>615</v>
      </c>
      <c r="CY233" s="204">
        <v>1</v>
      </c>
      <c r="CZ233" s="204">
        <v>0.97959183673469385</v>
      </c>
      <c r="DA233" s="203">
        <v>0</v>
      </c>
      <c r="DB233" s="204">
        <v>0.97959183673469385</v>
      </c>
      <c r="DC233" s="204">
        <v>0</v>
      </c>
      <c r="DD233" s="204">
        <v>0</v>
      </c>
      <c r="DE233" s="204">
        <v>0</v>
      </c>
      <c r="DF233" s="215">
        <v>0</v>
      </c>
      <c r="DG233" s="13" t="s">
        <v>615</v>
      </c>
      <c r="DH233" s="86">
        <v>231</v>
      </c>
      <c r="DI233" s="86"/>
      <c r="DJ233" s="86">
        <v>239</v>
      </c>
      <c r="DK233" s="86" t="s">
        <v>1698</v>
      </c>
      <c r="DL233" s="86" t="e">
        <v>#N/A</v>
      </c>
      <c r="DM233" s="86" t="e">
        <v>#N/A</v>
      </c>
      <c r="DN233" s="86" t="e">
        <v>#N/A</v>
      </c>
      <c r="DO233" s="86">
        <v>409</v>
      </c>
      <c r="DP233" s="86">
        <v>5</v>
      </c>
      <c r="DQ233" s="86">
        <v>49</v>
      </c>
      <c r="DR233" s="146">
        <v>0</v>
      </c>
      <c r="DS233" s="146">
        <v>0</v>
      </c>
      <c r="DT233" s="146">
        <v>0</v>
      </c>
      <c r="DU233" s="146">
        <v>0</v>
      </c>
      <c r="DV233" s="146">
        <v>0</v>
      </c>
      <c r="DW233" s="146">
        <v>0</v>
      </c>
      <c r="DX233" s="146">
        <v>0</v>
      </c>
      <c r="DY233" s="146">
        <v>0</v>
      </c>
      <c r="DZ233" s="146">
        <v>0</v>
      </c>
      <c r="EA233" s="146">
        <v>0</v>
      </c>
      <c r="EB233" s="146">
        <v>0</v>
      </c>
      <c r="EC233" s="146">
        <v>0</v>
      </c>
      <c r="ED233" s="146">
        <v>0</v>
      </c>
      <c r="EE233" s="146">
        <v>0</v>
      </c>
      <c r="EF233" s="146">
        <v>0</v>
      </c>
      <c r="EG233" s="146">
        <v>0</v>
      </c>
      <c r="EH233" s="146">
        <v>0</v>
      </c>
      <c r="EI233" s="146">
        <v>0</v>
      </c>
      <c r="EJ233" s="146">
        <v>0</v>
      </c>
      <c r="EK233" s="146">
        <v>0</v>
      </c>
      <c r="EL233" s="146">
        <v>0</v>
      </c>
      <c r="EM233" s="146">
        <v>0</v>
      </c>
      <c r="EN233" s="146">
        <v>0</v>
      </c>
      <c r="EO233" s="146">
        <v>0</v>
      </c>
      <c r="EP233" s="146">
        <v>0</v>
      </c>
      <c r="EQ233" s="146">
        <v>0</v>
      </c>
      <c r="ER233" s="146">
        <v>0</v>
      </c>
      <c r="ES233" s="146">
        <v>0</v>
      </c>
      <c r="ET233" s="146">
        <v>0</v>
      </c>
      <c r="EU233" s="146">
        <v>0</v>
      </c>
      <c r="EV233" s="146">
        <v>0</v>
      </c>
      <c r="EW233" s="146">
        <v>0</v>
      </c>
      <c r="EX233" s="146">
        <v>0</v>
      </c>
      <c r="EY233" s="146">
        <v>0</v>
      </c>
      <c r="EZ233" s="146">
        <v>0</v>
      </c>
      <c r="FA233" s="146">
        <v>0</v>
      </c>
      <c r="FB233" s="146">
        <v>0</v>
      </c>
      <c r="FC233" s="146">
        <v>0</v>
      </c>
      <c r="FD233" s="146">
        <v>0</v>
      </c>
      <c r="FE233" s="146">
        <v>0</v>
      </c>
      <c r="FF233" s="146">
        <v>0</v>
      </c>
      <c r="FG233" s="146">
        <v>0</v>
      </c>
      <c r="FH233" s="146">
        <v>0</v>
      </c>
      <c r="FI233" s="146">
        <v>0</v>
      </c>
      <c r="FJ233" s="146">
        <v>0</v>
      </c>
      <c r="FK233" s="146">
        <v>0</v>
      </c>
      <c r="FL233" s="146">
        <v>0</v>
      </c>
      <c r="FM233" s="146">
        <v>0</v>
      </c>
      <c r="FN233" s="146">
        <v>0</v>
      </c>
      <c r="FO233" s="146">
        <v>0</v>
      </c>
      <c r="FP233" s="146">
        <v>0</v>
      </c>
      <c r="FQ233" s="146">
        <v>0</v>
      </c>
      <c r="FR233" s="146">
        <v>0</v>
      </c>
      <c r="FS233" s="146">
        <v>0</v>
      </c>
      <c r="FT233" s="146">
        <v>0</v>
      </c>
      <c r="FU233" s="146">
        <v>0</v>
      </c>
      <c r="FV233" s="146">
        <v>0</v>
      </c>
      <c r="FW233" s="146">
        <v>0</v>
      </c>
      <c r="FX233" s="146">
        <v>0</v>
      </c>
      <c r="FY233" s="146">
        <v>0</v>
      </c>
      <c r="FZ233" s="146">
        <v>0</v>
      </c>
      <c r="GA233" s="146">
        <v>0</v>
      </c>
      <c r="GB233" s="146">
        <v>0</v>
      </c>
      <c r="GC233" s="146">
        <v>0</v>
      </c>
      <c r="GD233" s="146">
        <v>0</v>
      </c>
      <c r="GE233" s="146">
        <v>0</v>
      </c>
      <c r="GF233" s="146">
        <v>0</v>
      </c>
      <c r="GG233" s="146">
        <v>0</v>
      </c>
      <c r="GH233" s="146">
        <v>0</v>
      </c>
      <c r="GI233" s="146">
        <v>0</v>
      </c>
      <c r="GJ233" s="146">
        <v>0</v>
      </c>
      <c r="GK233" s="146">
        <v>0</v>
      </c>
      <c r="GL233" s="146">
        <v>0</v>
      </c>
      <c r="GM233" s="146">
        <v>0</v>
      </c>
      <c r="GN233" s="146">
        <v>0</v>
      </c>
      <c r="GO233" s="146">
        <v>0</v>
      </c>
      <c r="GP233" s="146">
        <v>0</v>
      </c>
      <c r="GQ233" s="146">
        <v>0</v>
      </c>
      <c r="GR233" s="146">
        <v>0</v>
      </c>
      <c r="GS233" s="146">
        <v>0</v>
      </c>
      <c r="GT233" s="146">
        <v>0</v>
      </c>
      <c r="GU233" s="146">
        <v>0</v>
      </c>
      <c r="GV233" s="146">
        <v>0</v>
      </c>
      <c r="GW233" s="146">
        <v>0</v>
      </c>
      <c r="GX233" s="146">
        <v>0</v>
      </c>
      <c r="GY233" s="146">
        <v>0</v>
      </c>
      <c r="GZ233" s="146">
        <v>0</v>
      </c>
      <c r="HA233" s="146">
        <v>0</v>
      </c>
      <c r="HB233" s="146">
        <v>0</v>
      </c>
      <c r="HC233" s="146">
        <v>0</v>
      </c>
      <c r="HD233" s="146">
        <v>0</v>
      </c>
      <c r="HE233" s="146">
        <v>0</v>
      </c>
      <c r="HF233" s="146">
        <v>0</v>
      </c>
      <c r="HG233" s="146">
        <v>0</v>
      </c>
      <c r="HH233" s="146">
        <v>0</v>
      </c>
      <c r="HI233" s="146">
        <v>0</v>
      </c>
      <c r="HJ233" s="146">
        <v>0</v>
      </c>
      <c r="HK233" s="146">
        <v>0</v>
      </c>
      <c r="HL233" s="146">
        <v>0</v>
      </c>
      <c r="HM233" s="146">
        <v>0</v>
      </c>
      <c r="HN233" s="146">
        <v>0</v>
      </c>
      <c r="HO233" s="146">
        <v>0</v>
      </c>
      <c r="HP233" s="146">
        <v>0</v>
      </c>
      <c r="HQ233" s="146">
        <v>0</v>
      </c>
      <c r="HR233" s="146">
        <v>0</v>
      </c>
      <c r="HS233" s="146">
        <v>0</v>
      </c>
      <c r="HT233" s="146">
        <v>0</v>
      </c>
      <c r="HU233" s="151"/>
      <c r="HV233" s="146">
        <v>0</v>
      </c>
      <c r="HW233" s="151"/>
      <c r="HX233" s="151"/>
      <c r="HY233" s="151"/>
      <c r="HZ233" s="151"/>
      <c r="IA233" s="151"/>
      <c r="IB233" s="151"/>
      <c r="IC233" s="151"/>
      <c r="ID233" s="151"/>
      <c r="IE233" s="151"/>
      <c r="IF233" s="151"/>
      <c r="IG233" s="151"/>
      <c r="IH233" s="151"/>
      <c r="II233" s="151"/>
      <c r="IJ233" s="151"/>
      <c r="IK233" s="151"/>
      <c r="IL233" s="151"/>
      <c r="IM233" s="151"/>
      <c r="IN233" s="151"/>
      <c r="IO233" s="151"/>
      <c r="IP233" s="151"/>
      <c r="IQ233" s="151"/>
      <c r="IR233" s="151"/>
      <c r="IS233" s="151"/>
      <c r="IT233" s="151"/>
      <c r="IU233" s="151"/>
      <c r="IV233" s="151"/>
      <c r="IW233" s="151"/>
      <c r="IX233" s="151"/>
      <c r="IY233" s="151"/>
      <c r="IZ233" s="151"/>
      <c r="JA233" s="151"/>
      <c r="JB233" s="151"/>
      <c r="JC233" s="151"/>
      <c r="JD233" s="151"/>
      <c r="JE233" s="151"/>
      <c r="JF233" s="151"/>
      <c r="JG233" s="151"/>
      <c r="JH233" s="151"/>
      <c r="JI233" s="151"/>
      <c r="JJ233" s="151"/>
      <c r="JK233" s="151"/>
      <c r="JL233" s="151"/>
      <c r="JM233" s="151"/>
      <c r="JN233" s="151"/>
      <c r="JO233" s="151"/>
      <c r="JP233" s="151"/>
      <c r="JQ233" s="151"/>
      <c r="JR233" s="151"/>
      <c r="JS233" s="151"/>
      <c r="JT233" s="151"/>
      <c r="JU233" s="151"/>
      <c r="JV233" s="151"/>
      <c r="JW233" s="151"/>
      <c r="JX233" s="151"/>
      <c r="JY233" s="151"/>
      <c r="JZ233" s="151"/>
      <c r="KA233" s="151"/>
      <c r="KB233" s="151"/>
      <c r="KC233" s="151"/>
      <c r="KD233" s="151"/>
      <c r="KE233" s="151"/>
      <c r="KF233" s="151"/>
      <c r="KG233" s="151"/>
      <c r="KH233" s="151"/>
      <c r="KI233" s="151"/>
      <c r="KJ233" s="151"/>
      <c r="KK233" s="151"/>
      <c r="KL233" s="151"/>
      <c r="KM233" s="151"/>
      <c r="KN233" s="151"/>
      <c r="KO233" s="151"/>
      <c r="KP233" s="151"/>
      <c r="KQ233" s="151"/>
      <c r="KR233" s="151"/>
      <c r="KS233" s="151"/>
      <c r="KT233" s="151"/>
      <c r="KU233" s="151"/>
      <c r="KV233" s="151"/>
      <c r="KW233" s="151"/>
      <c r="KX233" s="151"/>
      <c r="KY233" s="151"/>
      <c r="KZ233" s="151"/>
      <c r="LA233" s="151"/>
      <c r="LB233" s="151"/>
      <c r="LC233" s="151"/>
      <c r="LD233" s="151"/>
      <c r="LE233" s="151"/>
    </row>
    <row r="234" spans="1:317" x14ac:dyDescent="0.2">
      <c r="A234" s="179" t="s">
        <v>849</v>
      </c>
      <c r="B234" s="180" t="s">
        <v>1133</v>
      </c>
      <c r="C234" s="181"/>
      <c r="D234" s="182">
        <v>0</v>
      </c>
      <c r="E234" s="182">
        <v>0</v>
      </c>
      <c r="F234" s="183" t="s">
        <v>1324</v>
      </c>
      <c r="G234" s="183">
        <v>0</v>
      </c>
      <c r="H234" s="183">
        <v>0</v>
      </c>
      <c r="I234" s="183">
        <v>0</v>
      </c>
      <c r="J234" s="183">
        <v>0</v>
      </c>
      <c r="K234" s="183" t="s">
        <v>1368</v>
      </c>
      <c r="L234" s="183">
        <v>0</v>
      </c>
      <c r="M234" s="183">
        <v>0</v>
      </c>
      <c r="N234" s="183" t="s">
        <v>881</v>
      </c>
      <c r="O234" s="183">
        <v>0</v>
      </c>
      <c r="P234" s="183">
        <v>0</v>
      </c>
      <c r="Q234" s="183"/>
      <c r="R234" s="183"/>
      <c r="S234" s="183"/>
      <c r="T234" s="183"/>
      <c r="U234" s="183"/>
      <c r="V234" s="183">
        <v>0</v>
      </c>
      <c r="W234" s="183">
        <v>0</v>
      </c>
      <c r="X234" s="183">
        <v>0</v>
      </c>
      <c r="Y234" s="184">
        <v>0</v>
      </c>
      <c r="Z234" s="184">
        <v>7.96</v>
      </c>
      <c r="AA234" s="184">
        <v>0</v>
      </c>
      <c r="AB234" s="185" t="s">
        <v>615</v>
      </c>
      <c r="AC234" s="185" t="s">
        <v>615</v>
      </c>
      <c r="AD234" s="186" t="s">
        <v>881</v>
      </c>
      <c r="AE234" s="186" t="s">
        <v>858</v>
      </c>
      <c r="AF234" s="187">
        <v>7</v>
      </c>
      <c r="AG234" s="187">
        <v>3</v>
      </c>
      <c r="AH234" s="187">
        <v>4</v>
      </c>
      <c r="AI234" s="188">
        <v>1</v>
      </c>
      <c r="AJ234" s="188" t="s">
        <v>615</v>
      </c>
      <c r="AK234" s="187" t="s">
        <v>1738</v>
      </c>
      <c r="AL234" s="87" t="s">
        <v>615</v>
      </c>
      <c r="AM234" s="189"/>
      <c r="AN234" s="187" t="s">
        <v>615</v>
      </c>
      <c r="AO234" s="13" t="s">
        <v>615</v>
      </c>
      <c r="AP234" s="187">
        <v>0</v>
      </c>
      <c r="AQ234" s="187">
        <v>0</v>
      </c>
      <c r="AR234" s="190">
        <v>0</v>
      </c>
      <c r="AS234" s="190">
        <v>0</v>
      </c>
      <c r="AT234" s="190">
        <v>0</v>
      </c>
      <c r="AU234" s="187">
        <v>0</v>
      </c>
      <c r="AV234" s="187">
        <v>0</v>
      </c>
      <c r="AW234" s="191"/>
      <c r="AX234" s="192"/>
      <c r="AY234" s="193">
        <v>42666</v>
      </c>
      <c r="AZ234" s="193"/>
      <c r="BA234" s="193"/>
      <c r="BB234" s="194"/>
      <c r="BC234" s="194"/>
      <c r="BD234" s="195"/>
      <c r="BE234" s="195" t="s">
        <v>532</v>
      </c>
      <c r="BF234" s="195"/>
      <c r="BG234" s="195">
        <v>50</v>
      </c>
      <c r="BH234" s="196" t="s">
        <v>547</v>
      </c>
      <c r="BI234" s="197">
        <v>1</v>
      </c>
      <c r="BJ234" s="198"/>
      <c r="BK234" s="199">
        <v>0</v>
      </c>
      <c r="BL234" s="13">
        <v>0</v>
      </c>
      <c r="BM234" s="13">
        <v>0</v>
      </c>
      <c r="BN234" s="13" t="s">
        <v>616</v>
      </c>
      <c r="BO234" s="13" t="s">
        <v>616</v>
      </c>
      <c r="BP234" s="200">
        <v>0</v>
      </c>
      <c r="BQ234" s="201"/>
      <c r="BR234" s="202"/>
      <c r="BS234" s="187">
        <v>1000000000</v>
      </c>
      <c r="BT234" s="203">
        <v>0</v>
      </c>
      <c r="BU234" s="204">
        <v>0</v>
      </c>
      <c r="BV234" s="203">
        <v>0</v>
      </c>
      <c r="BW234" s="205">
        <v>0</v>
      </c>
      <c r="BX234" s="205">
        <v>0</v>
      </c>
      <c r="BY234" s="205">
        <v>0</v>
      </c>
      <c r="BZ234" s="203">
        <v>0</v>
      </c>
      <c r="CA234" s="203">
        <v>0</v>
      </c>
      <c r="CB234" s="203">
        <v>0</v>
      </c>
      <c r="CC234" s="204">
        <v>0</v>
      </c>
      <c r="CD234" s="203">
        <v>0</v>
      </c>
      <c r="CE234" s="203">
        <v>0</v>
      </c>
      <c r="CF234" s="13">
        <v>0</v>
      </c>
      <c r="CG234" s="206">
        <v>0</v>
      </c>
      <c r="CH234" s="207">
        <v>0</v>
      </c>
      <c r="CI234" s="201"/>
      <c r="CJ234" s="208"/>
      <c r="CK234" s="209" t="s">
        <v>615</v>
      </c>
      <c r="CL234" s="210" t="s">
        <v>615</v>
      </c>
      <c r="CM234" s="207">
        <v>0</v>
      </c>
      <c r="CN234" s="207">
        <v>0</v>
      </c>
      <c r="CO234" s="204">
        <v>0</v>
      </c>
      <c r="CP234" s="204">
        <v>0</v>
      </c>
      <c r="CQ234" s="211"/>
      <c r="CR234" s="204">
        <v>1</v>
      </c>
      <c r="CS234" s="212">
        <v>42558</v>
      </c>
      <c r="CT234" s="212">
        <v>42780</v>
      </c>
      <c r="CU234" s="213">
        <v>42780</v>
      </c>
      <c r="CV234" s="214">
        <v>42829</v>
      </c>
      <c r="CW234" s="214" t="s">
        <v>615</v>
      </c>
      <c r="CX234" s="214" t="s">
        <v>615</v>
      </c>
      <c r="CY234" s="204">
        <v>1</v>
      </c>
      <c r="CZ234" s="204">
        <v>0.97959183673469385</v>
      </c>
      <c r="DA234" s="203">
        <v>0</v>
      </c>
      <c r="DB234" s="204">
        <v>0.97959183673469385</v>
      </c>
      <c r="DC234" s="204">
        <v>0</v>
      </c>
      <c r="DD234" s="204">
        <v>0</v>
      </c>
      <c r="DE234" s="204">
        <v>0</v>
      </c>
      <c r="DF234" s="215">
        <v>0</v>
      </c>
      <c r="DG234" s="13" t="s">
        <v>615</v>
      </c>
      <c r="DH234" s="86">
        <v>232</v>
      </c>
      <c r="DI234" s="86"/>
      <c r="DJ234" s="86">
        <v>240</v>
      </c>
      <c r="DK234" s="86" t="s">
        <v>1699</v>
      </c>
      <c r="DL234" s="86" t="e">
        <v>#N/A</v>
      </c>
      <c r="DM234" s="86" t="e">
        <v>#N/A</v>
      </c>
      <c r="DN234" s="86" t="e">
        <v>#N/A</v>
      </c>
      <c r="DO234" s="86">
        <v>410</v>
      </c>
      <c r="DP234" s="86">
        <v>5</v>
      </c>
      <c r="DQ234" s="86">
        <v>49</v>
      </c>
      <c r="DR234" s="152">
        <v>0</v>
      </c>
      <c r="DS234" s="152">
        <v>0</v>
      </c>
      <c r="DT234" s="152">
        <v>0</v>
      </c>
      <c r="DU234" s="152">
        <v>0</v>
      </c>
      <c r="DV234" s="152">
        <v>0</v>
      </c>
      <c r="DW234" s="152">
        <v>0</v>
      </c>
      <c r="DX234" s="152">
        <v>0</v>
      </c>
      <c r="DY234" s="152">
        <v>0</v>
      </c>
      <c r="DZ234" s="152">
        <v>0</v>
      </c>
      <c r="EA234" s="152">
        <v>0</v>
      </c>
      <c r="EB234" s="152">
        <v>0</v>
      </c>
      <c r="EC234" s="152">
        <v>0</v>
      </c>
      <c r="ED234" s="152">
        <v>0</v>
      </c>
      <c r="EE234" s="152">
        <v>0</v>
      </c>
      <c r="EF234" s="152">
        <v>0</v>
      </c>
      <c r="EG234" s="152">
        <v>0</v>
      </c>
      <c r="EH234" s="152">
        <v>0</v>
      </c>
      <c r="EI234" s="152">
        <v>0</v>
      </c>
      <c r="EJ234" s="152">
        <v>0</v>
      </c>
      <c r="EK234" s="152">
        <v>0</v>
      </c>
      <c r="EL234" s="152">
        <v>0</v>
      </c>
      <c r="EM234" s="152">
        <v>0</v>
      </c>
      <c r="EN234" s="152">
        <v>0</v>
      </c>
      <c r="EO234" s="152">
        <v>0</v>
      </c>
      <c r="EP234" s="152">
        <v>0</v>
      </c>
      <c r="EQ234" s="152">
        <v>0</v>
      </c>
      <c r="ER234" s="152">
        <v>0</v>
      </c>
      <c r="ES234" s="152">
        <v>0</v>
      </c>
      <c r="ET234" s="152">
        <v>0</v>
      </c>
      <c r="EU234" s="152">
        <v>0</v>
      </c>
      <c r="EV234" s="152">
        <v>0</v>
      </c>
      <c r="EW234" s="152">
        <v>0</v>
      </c>
      <c r="EX234" s="152">
        <v>0</v>
      </c>
      <c r="EY234" s="152">
        <v>0</v>
      </c>
      <c r="EZ234" s="152">
        <v>0</v>
      </c>
      <c r="FA234" s="152">
        <v>0</v>
      </c>
      <c r="FB234" s="152">
        <v>0</v>
      </c>
      <c r="FC234" s="152">
        <v>0</v>
      </c>
      <c r="FD234" s="152">
        <v>0</v>
      </c>
      <c r="FE234" s="152">
        <v>0</v>
      </c>
      <c r="FF234" s="152">
        <v>0</v>
      </c>
      <c r="FG234" s="152">
        <v>0</v>
      </c>
      <c r="FH234" s="152">
        <v>0</v>
      </c>
      <c r="FI234" s="152">
        <v>0</v>
      </c>
      <c r="FJ234" s="152">
        <v>0</v>
      </c>
      <c r="FK234" s="152">
        <v>0</v>
      </c>
      <c r="FL234" s="152">
        <v>0</v>
      </c>
      <c r="FM234" s="152">
        <v>0</v>
      </c>
      <c r="FN234" s="152">
        <v>0</v>
      </c>
      <c r="FO234" s="152">
        <v>0</v>
      </c>
      <c r="FP234" s="152">
        <v>0</v>
      </c>
      <c r="FQ234" s="152">
        <v>0</v>
      </c>
      <c r="FR234" s="152">
        <v>0</v>
      </c>
      <c r="FS234" s="152">
        <v>0</v>
      </c>
      <c r="FT234" s="152">
        <v>0</v>
      </c>
      <c r="FU234" s="152">
        <v>0</v>
      </c>
      <c r="FV234" s="152">
        <v>0</v>
      </c>
      <c r="FW234" s="152">
        <v>0</v>
      </c>
      <c r="FX234" s="152">
        <v>0</v>
      </c>
      <c r="FY234" s="152">
        <v>0</v>
      </c>
      <c r="FZ234" s="152">
        <v>0</v>
      </c>
      <c r="GA234" s="152">
        <v>0</v>
      </c>
      <c r="GB234" s="152">
        <v>0</v>
      </c>
      <c r="GC234" s="152">
        <v>0</v>
      </c>
      <c r="GD234" s="152">
        <v>0</v>
      </c>
      <c r="GE234" s="152">
        <v>0</v>
      </c>
      <c r="GF234" s="152">
        <v>0</v>
      </c>
      <c r="GG234" s="152">
        <v>0</v>
      </c>
      <c r="GH234" s="152">
        <v>0</v>
      </c>
      <c r="GI234" s="152">
        <v>0</v>
      </c>
      <c r="GJ234" s="152">
        <v>0</v>
      </c>
      <c r="GK234" s="152">
        <v>0</v>
      </c>
      <c r="GL234" s="152">
        <v>0</v>
      </c>
      <c r="GM234" s="152">
        <v>0</v>
      </c>
      <c r="GN234" s="152">
        <v>0</v>
      </c>
      <c r="GO234" s="152">
        <v>0</v>
      </c>
      <c r="GP234" s="152">
        <v>0</v>
      </c>
      <c r="GQ234" s="152">
        <v>0</v>
      </c>
      <c r="GR234" s="152">
        <v>0</v>
      </c>
      <c r="GS234" s="152">
        <v>0</v>
      </c>
      <c r="GT234" s="152">
        <v>0</v>
      </c>
      <c r="GU234" s="152">
        <v>0</v>
      </c>
      <c r="GV234" s="152">
        <v>0</v>
      </c>
      <c r="GW234" s="152">
        <v>0</v>
      </c>
      <c r="GX234" s="152">
        <v>0</v>
      </c>
      <c r="GY234" s="152">
        <v>0</v>
      </c>
      <c r="GZ234" s="152">
        <v>0</v>
      </c>
      <c r="HA234" s="152">
        <v>0</v>
      </c>
      <c r="HB234" s="152">
        <v>0</v>
      </c>
      <c r="HC234" s="152">
        <v>0</v>
      </c>
      <c r="HD234" s="152">
        <v>0</v>
      </c>
      <c r="HE234" s="152">
        <v>0</v>
      </c>
      <c r="HF234" s="152">
        <v>0</v>
      </c>
      <c r="HG234" s="152">
        <v>0</v>
      </c>
      <c r="HH234" s="152">
        <v>0</v>
      </c>
      <c r="HI234" s="152">
        <v>0</v>
      </c>
      <c r="HJ234" s="152">
        <v>0</v>
      </c>
      <c r="HK234" s="152">
        <v>0</v>
      </c>
      <c r="HL234" s="152">
        <v>0</v>
      </c>
      <c r="HM234" s="152">
        <v>0</v>
      </c>
      <c r="HN234" s="152">
        <v>0</v>
      </c>
      <c r="HO234" s="152">
        <v>0</v>
      </c>
      <c r="HP234" s="152">
        <v>0</v>
      </c>
      <c r="HQ234" s="152">
        <v>0</v>
      </c>
      <c r="HR234" s="152">
        <v>0</v>
      </c>
      <c r="HS234" s="152">
        <v>0</v>
      </c>
      <c r="HT234" s="152">
        <v>0</v>
      </c>
      <c r="HU234" s="216"/>
      <c r="HV234" s="152">
        <v>0</v>
      </c>
      <c r="HW234" s="216"/>
      <c r="HX234" s="216"/>
      <c r="HY234" s="216"/>
      <c r="HZ234" s="216"/>
      <c r="IA234" s="216"/>
      <c r="IB234" s="216"/>
      <c r="IC234" s="216"/>
      <c r="ID234" s="216"/>
      <c r="IE234" s="216"/>
      <c r="IF234" s="216"/>
      <c r="IG234" s="216"/>
      <c r="IH234" s="216"/>
      <c r="II234" s="216"/>
      <c r="IJ234" s="216"/>
      <c r="IK234" s="216"/>
      <c r="IL234" s="216"/>
      <c r="IM234" s="216"/>
      <c r="IN234" s="216"/>
      <c r="IO234" s="216"/>
      <c r="IP234" s="216"/>
      <c r="IQ234" s="216"/>
      <c r="IR234" s="216"/>
      <c r="IS234" s="216"/>
      <c r="IT234" s="216"/>
      <c r="IU234" s="216"/>
      <c r="IV234" s="216"/>
      <c r="IW234" s="216"/>
      <c r="IX234" s="216"/>
      <c r="IY234" s="216"/>
      <c r="IZ234" s="216"/>
      <c r="JA234" s="216"/>
      <c r="JB234" s="216"/>
      <c r="JC234" s="216"/>
      <c r="JD234" s="216"/>
      <c r="JE234" s="216"/>
      <c r="JF234" s="216"/>
      <c r="JG234" s="216"/>
      <c r="JH234" s="216"/>
      <c r="JI234" s="216"/>
      <c r="JJ234" s="216"/>
      <c r="JK234" s="216"/>
      <c r="JL234" s="216"/>
      <c r="JM234" s="216"/>
      <c r="JN234" s="216"/>
      <c r="JO234" s="216"/>
      <c r="JP234" s="216"/>
      <c r="JQ234" s="216"/>
      <c r="JR234" s="216"/>
      <c r="JS234" s="216"/>
      <c r="JT234" s="216"/>
      <c r="JU234" s="216"/>
      <c r="JV234" s="216"/>
      <c r="JW234" s="216"/>
      <c r="JX234" s="216"/>
      <c r="JY234" s="216"/>
      <c r="JZ234" s="216"/>
      <c r="KA234" s="216"/>
      <c r="KB234" s="216"/>
      <c r="KC234" s="216"/>
      <c r="KD234" s="216"/>
      <c r="KE234" s="216"/>
      <c r="KF234" s="216"/>
      <c r="KG234" s="216"/>
      <c r="KH234" s="216"/>
      <c r="KI234" s="216"/>
      <c r="KJ234" s="216"/>
      <c r="KK234" s="216"/>
      <c r="KL234" s="216"/>
      <c r="KM234" s="216"/>
      <c r="KN234" s="216"/>
      <c r="KO234" s="216"/>
      <c r="KP234" s="216"/>
      <c r="KQ234" s="216"/>
      <c r="KR234" s="216"/>
      <c r="KS234" s="216"/>
      <c r="KT234" s="216"/>
      <c r="KU234" s="216"/>
      <c r="KV234" s="216"/>
      <c r="KW234" s="216"/>
      <c r="KX234" s="216"/>
      <c r="KY234" s="216"/>
      <c r="KZ234" s="216"/>
      <c r="LA234" s="216"/>
      <c r="LB234" s="216"/>
      <c r="LC234" s="216"/>
      <c r="LD234" s="216"/>
      <c r="LE234" s="216"/>
    </row>
    <row r="235" spans="1:317" x14ac:dyDescent="0.2">
      <c r="A235" s="179" t="s">
        <v>849</v>
      </c>
      <c r="B235" s="180" t="s">
        <v>1134</v>
      </c>
      <c r="C235" s="181"/>
      <c r="D235" s="182">
        <v>0</v>
      </c>
      <c r="E235" s="182">
        <v>0</v>
      </c>
      <c r="F235" s="183" t="s">
        <v>1323</v>
      </c>
      <c r="G235" s="183">
        <v>0</v>
      </c>
      <c r="H235" s="183">
        <v>0</v>
      </c>
      <c r="I235" s="183">
        <v>0</v>
      </c>
      <c r="J235" s="183">
        <v>0</v>
      </c>
      <c r="K235" s="183" t="s">
        <v>1368</v>
      </c>
      <c r="L235" s="183">
        <v>0</v>
      </c>
      <c r="M235" s="183">
        <v>0</v>
      </c>
      <c r="N235" s="183" t="s">
        <v>881</v>
      </c>
      <c r="O235" s="183">
        <v>0</v>
      </c>
      <c r="P235" s="183">
        <v>0</v>
      </c>
      <c r="Q235" s="183"/>
      <c r="R235" s="183"/>
      <c r="S235" s="183"/>
      <c r="T235" s="183"/>
      <c r="U235" s="183"/>
      <c r="V235" s="183">
        <v>0</v>
      </c>
      <c r="W235" s="183">
        <v>0</v>
      </c>
      <c r="X235" s="183">
        <v>0</v>
      </c>
      <c r="Y235" s="184">
        <v>0</v>
      </c>
      <c r="Z235" s="184">
        <v>8.6199999999999992</v>
      </c>
      <c r="AA235" s="184">
        <v>0</v>
      </c>
      <c r="AB235" s="185" t="s">
        <v>615</v>
      </c>
      <c r="AC235" s="185" t="s">
        <v>615</v>
      </c>
      <c r="AD235" s="186" t="s">
        <v>881</v>
      </c>
      <c r="AE235" s="186" t="s">
        <v>858</v>
      </c>
      <c r="AF235" s="187">
        <v>7</v>
      </c>
      <c r="AG235" s="187">
        <v>3</v>
      </c>
      <c r="AH235" s="187">
        <v>4</v>
      </c>
      <c r="AI235" s="188">
        <v>1</v>
      </c>
      <c r="AJ235" s="188" t="s">
        <v>615</v>
      </c>
      <c r="AK235" s="187" t="s">
        <v>1738</v>
      </c>
      <c r="AL235" s="87" t="s">
        <v>615</v>
      </c>
      <c r="AM235" s="189"/>
      <c r="AN235" s="187" t="s">
        <v>615</v>
      </c>
      <c r="AO235" s="13" t="s">
        <v>615</v>
      </c>
      <c r="AP235" s="187">
        <v>0</v>
      </c>
      <c r="AQ235" s="187">
        <v>0</v>
      </c>
      <c r="AR235" s="190">
        <v>0</v>
      </c>
      <c r="AS235" s="190">
        <v>0</v>
      </c>
      <c r="AT235" s="190">
        <v>0</v>
      </c>
      <c r="AU235" s="187">
        <v>0</v>
      </c>
      <c r="AV235" s="187">
        <v>0</v>
      </c>
      <c r="AW235" s="191"/>
      <c r="AX235" s="192"/>
      <c r="AY235" s="193">
        <v>42666</v>
      </c>
      <c r="AZ235" s="193"/>
      <c r="BA235" s="193"/>
      <c r="BB235" s="194"/>
      <c r="BC235" s="194"/>
      <c r="BD235" s="195"/>
      <c r="BE235" s="195" t="s">
        <v>532</v>
      </c>
      <c r="BF235" s="195"/>
      <c r="BG235" s="195">
        <v>50</v>
      </c>
      <c r="BH235" s="196" t="s">
        <v>547</v>
      </c>
      <c r="BI235" s="197">
        <v>1</v>
      </c>
      <c r="BJ235" s="198"/>
      <c r="BK235" s="199">
        <v>0</v>
      </c>
      <c r="BL235" s="13">
        <v>0</v>
      </c>
      <c r="BM235" s="13">
        <v>0</v>
      </c>
      <c r="BN235" s="13" t="s">
        <v>616</v>
      </c>
      <c r="BO235" s="13" t="s">
        <v>616</v>
      </c>
      <c r="BP235" s="200">
        <v>0</v>
      </c>
      <c r="BQ235" s="201"/>
      <c r="BR235" s="202"/>
      <c r="BS235" s="187">
        <v>1000000000</v>
      </c>
      <c r="BT235" s="203">
        <v>0</v>
      </c>
      <c r="BU235" s="204">
        <v>0</v>
      </c>
      <c r="BV235" s="203">
        <v>0</v>
      </c>
      <c r="BW235" s="205">
        <v>0</v>
      </c>
      <c r="BX235" s="205">
        <v>0</v>
      </c>
      <c r="BY235" s="205">
        <v>0</v>
      </c>
      <c r="BZ235" s="203">
        <v>0</v>
      </c>
      <c r="CA235" s="203">
        <v>0</v>
      </c>
      <c r="CB235" s="203">
        <v>0</v>
      </c>
      <c r="CC235" s="204">
        <v>0</v>
      </c>
      <c r="CD235" s="203">
        <v>0</v>
      </c>
      <c r="CE235" s="203">
        <v>0</v>
      </c>
      <c r="CF235" s="13">
        <v>0</v>
      </c>
      <c r="CG235" s="206">
        <v>0</v>
      </c>
      <c r="CH235" s="207">
        <v>0</v>
      </c>
      <c r="CI235" s="201"/>
      <c r="CJ235" s="208"/>
      <c r="CK235" s="209" t="s">
        <v>615</v>
      </c>
      <c r="CL235" s="210" t="s">
        <v>615</v>
      </c>
      <c r="CM235" s="207">
        <v>0</v>
      </c>
      <c r="CN235" s="207">
        <v>0</v>
      </c>
      <c r="CO235" s="204">
        <v>0</v>
      </c>
      <c r="CP235" s="204">
        <v>0</v>
      </c>
      <c r="CQ235" s="211"/>
      <c r="CR235" s="204">
        <v>1</v>
      </c>
      <c r="CS235" s="212">
        <v>42558</v>
      </c>
      <c r="CT235" s="212">
        <v>42780</v>
      </c>
      <c r="CU235" s="213">
        <v>42780</v>
      </c>
      <c r="CV235" s="214">
        <v>42829</v>
      </c>
      <c r="CW235" s="214" t="s">
        <v>615</v>
      </c>
      <c r="CX235" s="214" t="s">
        <v>615</v>
      </c>
      <c r="CY235" s="204">
        <v>1</v>
      </c>
      <c r="CZ235" s="204">
        <v>0.97959183673469385</v>
      </c>
      <c r="DA235" s="203">
        <v>0</v>
      </c>
      <c r="DB235" s="204">
        <v>0.97959183673469385</v>
      </c>
      <c r="DC235" s="204">
        <v>0</v>
      </c>
      <c r="DD235" s="204">
        <v>0</v>
      </c>
      <c r="DE235" s="204">
        <v>0</v>
      </c>
      <c r="DF235" s="215">
        <v>0</v>
      </c>
      <c r="DG235" s="13" t="s">
        <v>615</v>
      </c>
      <c r="DH235" s="86">
        <v>233</v>
      </c>
      <c r="DI235" s="86"/>
      <c r="DJ235" s="86">
        <v>241</v>
      </c>
      <c r="DK235" s="86" t="s">
        <v>1700</v>
      </c>
      <c r="DL235" s="86" t="e">
        <v>#N/A</v>
      </c>
      <c r="DM235" s="86" t="e">
        <v>#N/A</v>
      </c>
      <c r="DN235" s="86" t="e">
        <v>#N/A</v>
      </c>
      <c r="DO235" s="86">
        <v>411</v>
      </c>
      <c r="DP235" s="86">
        <v>5</v>
      </c>
      <c r="DQ235" s="86">
        <v>49</v>
      </c>
      <c r="DR235" s="146">
        <v>0</v>
      </c>
      <c r="DS235" s="146">
        <v>0</v>
      </c>
      <c r="DT235" s="146">
        <v>0</v>
      </c>
      <c r="DU235" s="146">
        <v>0</v>
      </c>
      <c r="DV235" s="146">
        <v>0</v>
      </c>
      <c r="DW235" s="146">
        <v>0</v>
      </c>
      <c r="DX235" s="146">
        <v>0</v>
      </c>
      <c r="DY235" s="146">
        <v>0</v>
      </c>
      <c r="DZ235" s="146">
        <v>0</v>
      </c>
      <c r="EA235" s="146">
        <v>0</v>
      </c>
      <c r="EB235" s="146">
        <v>0</v>
      </c>
      <c r="EC235" s="146">
        <v>0</v>
      </c>
      <c r="ED235" s="146">
        <v>0</v>
      </c>
      <c r="EE235" s="146">
        <v>0</v>
      </c>
      <c r="EF235" s="146">
        <v>0</v>
      </c>
      <c r="EG235" s="146">
        <v>0</v>
      </c>
      <c r="EH235" s="146">
        <v>0</v>
      </c>
      <c r="EI235" s="146">
        <v>0</v>
      </c>
      <c r="EJ235" s="146">
        <v>0</v>
      </c>
      <c r="EK235" s="146">
        <v>0</v>
      </c>
      <c r="EL235" s="146">
        <v>0</v>
      </c>
      <c r="EM235" s="146">
        <v>0</v>
      </c>
      <c r="EN235" s="146">
        <v>0</v>
      </c>
      <c r="EO235" s="146">
        <v>0</v>
      </c>
      <c r="EP235" s="146">
        <v>0</v>
      </c>
      <c r="EQ235" s="146">
        <v>0</v>
      </c>
      <c r="ER235" s="146">
        <v>0</v>
      </c>
      <c r="ES235" s="146">
        <v>0</v>
      </c>
      <c r="ET235" s="146">
        <v>0</v>
      </c>
      <c r="EU235" s="146">
        <v>0</v>
      </c>
      <c r="EV235" s="146">
        <v>0</v>
      </c>
      <c r="EW235" s="146">
        <v>0</v>
      </c>
      <c r="EX235" s="146">
        <v>0</v>
      </c>
      <c r="EY235" s="146">
        <v>0</v>
      </c>
      <c r="EZ235" s="146">
        <v>0</v>
      </c>
      <c r="FA235" s="146">
        <v>0</v>
      </c>
      <c r="FB235" s="146">
        <v>0</v>
      </c>
      <c r="FC235" s="146">
        <v>0</v>
      </c>
      <c r="FD235" s="146">
        <v>0</v>
      </c>
      <c r="FE235" s="146">
        <v>0</v>
      </c>
      <c r="FF235" s="146">
        <v>0</v>
      </c>
      <c r="FG235" s="146">
        <v>0</v>
      </c>
      <c r="FH235" s="146">
        <v>0</v>
      </c>
      <c r="FI235" s="146">
        <v>0</v>
      </c>
      <c r="FJ235" s="146">
        <v>0</v>
      </c>
      <c r="FK235" s="146">
        <v>0</v>
      </c>
      <c r="FL235" s="146">
        <v>0</v>
      </c>
      <c r="FM235" s="146">
        <v>0</v>
      </c>
      <c r="FN235" s="146">
        <v>0</v>
      </c>
      <c r="FO235" s="146">
        <v>0</v>
      </c>
      <c r="FP235" s="146">
        <v>0</v>
      </c>
      <c r="FQ235" s="146">
        <v>0</v>
      </c>
      <c r="FR235" s="146">
        <v>0</v>
      </c>
      <c r="FS235" s="146">
        <v>0</v>
      </c>
      <c r="FT235" s="146">
        <v>0</v>
      </c>
      <c r="FU235" s="146">
        <v>0</v>
      </c>
      <c r="FV235" s="146">
        <v>0</v>
      </c>
      <c r="FW235" s="146">
        <v>0</v>
      </c>
      <c r="FX235" s="146">
        <v>0</v>
      </c>
      <c r="FY235" s="146">
        <v>0</v>
      </c>
      <c r="FZ235" s="146">
        <v>0</v>
      </c>
      <c r="GA235" s="146">
        <v>0</v>
      </c>
      <c r="GB235" s="146">
        <v>0</v>
      </c>
      <c r="GC235" s="146">
        <v>0</v>
      </c>
      <c r="GD235" s="146">
        <v>0</v>
      </c>
      <c r="GE235" s="146">
        <v>0</v>
      </c>
      <c r="GF235" s="146">
        <v>0</v>
      </c>
      <c r="GG235" s="146">
        <v>0</v>
      </c>
      <c r="GH235" s="146">
        <v>0</v>
      </c>
      <c r="GI235" s="146">
        <v>0</v>
      </c>
      <c r="GJ235" s="146">
        <v>0</v>
      </c>
      <c r="GK235" s="146">
        <v>0</v>
      </c>
      <c r="GL235" s="146">
        <v>0</v>
      </c>
      <c r="GM235" s="146">
        <v>0</v>
      </c>
      <c r="GN235" s="146">
        <v>0</v>
      </c>
      <c r="GO235" s="146">
        <v>0</v>
      </c>
      <c r="GP235" s="146">
        <v>0</v>
      </c>
      <c r="GQ235" s="146">
        <v>0</v>
      </c>
      <c r="GR235" s="146">
        <v>0</v>
      </c>
      <c r="GS235" s="146">
        <v>0</v>
      </c>
      <c r="GT235" s="146">
        <v>0</v>
      </c>
      <c r="GU235" s="146">
        <v>0</v>
      </c>
      <c r="GV235" s="146">
        <v>0</v>
      </c>
      <c r="GW235" s="146">
        <v>0</v>
      </c>
      <c r="GX235" s="146">
        <v>0</v>
      </c>
      <c r="GY235" s="146">
        <v>0</v>
      </c>
      <c r="GZ235" s="146">
        <v>0</v>
      </c>
      <c r="HA235" s="146">
        <v>0</v>
      </c>
      <c r="HB235" s="146">
        <v>0</v>
      </c>
      <c r="HC235" s="146">
        <v>0</v>
      </c>
      <c r="HD235" s="146">
        <v>0</v>
      </c>
      <c r="HE235" s="146">
        <v>0</v>
      </c>
      <c r="HF235" s="146">
        <v>0</v>
      </c>
      <c r="HG235" s="146">
        <v>0</v>
      </c>
      <c r="HH235" s="146">
        <v>0</v>
      </c>
      <c r="HI235" s="146">
        <v>0</v>
      </c>
      <c r="HJ235" s="146">
        <v>0</v>
      </c>
      <c r="HK235" s="146">
        <v>0</v>
      </c>
      <c r="HL235" s="146">
        <v>0</v>
      </c>
      <c r="HM235" s="146">
        <v>0</v>
      </c>
      <c r="HN235" s="146">
        <v>0</v>
      </c>
      <c r="HO235" s="146">
        <v>0</v>
      </c>
      <c r="HP235" s="146">
        <v>0</v>
      </c>
      <c r="HQ235" s="146">
        <v>0</v>
      </c>
      <c r="HR235" s="146">
        <v>0</v>
      </c>
      <c r="HS235" s="146">
        <v>0</v>
      </c>
      <c r="HT235" s="146">
        <v>0</v>
      </c>
      <c r="HU235" s="151"/>
      <c r="HV235" s="146">
        <v>0</v>
      </c>
      <c r="HW235" s="151"/>
      <c r="HX235" s="151"/>
      <c r="HY235" s="151"/>
      <c r="HZ235" s="151"/>
      <c r="IA235" s="151"/>
      <c r="IB235" s="151"/>
      <c r="IC235" s="151"/>
      <c r="ID235" s="151"/>
      <c r="IE235" s="151"/>
      <c r="IF235" s="151"/>
      <c r="IG235" s="151"/>
      <c r="IH235" s="151"/>
      <c r="II235" s="151"/>
      <c r="IJ235" s="151"/>
      <c r="IK235" s="151"/>
      <c r="IL235" s="151"/>
      <c r="IM235" s="151"/>
      <c r="IN235" s="151"/>
      <c r="IO235" s="151"/>
      <c r="IP235" s="151"/>
      <c r="IQ235" s="151"/>
      <c r="IR235" s="151"/>
      <c r="IS235" s="151"/>
      <c r="IT235" s="151"/>
      <c r="IU235" s="151"/>
      <c r="IV235" s="151"/>
      <c r="IW235" s="151"/>
      <c r="IX235" s="151"/>
      <c r="IY235" s="151"/>
      <c r="IZ235" s="151"/>
      <c r="JA235" s="151"/>
      <c r="JB235" s="151"/>
      <c r="JC235" s="151"/>
      <c r="JD235" s="151"/>
      <c r="JE235" s="151"/>
      <c r="JF235" s="151"/>
      <c r="JG235" s="151"/>
      <c r="JH235" s="151"/>
      <c r="JI235" s="151"/>
      <c r="JJ235" s="151"/>
      <c r="JK235" s="151"/>
      <c r="JL235" s="151"/>
      <c r="JM235" s="151"/>
      <c r="JN235" s="151"/>
      <c r="JO235" s="151"/>
      <c r="JP235" s="151"/>
      <c r="JQ235" s="151"/>
      <c r="JR235" s="151"/>
      <c r="JS235" s="151"/>
      <c r="JT235" s="151"/>
      <c r="JU235" s="151"/>
      <c r="JV235" s="151"/>
      <c r="JW235" s="151"/>
      <c r="JX235" s="151"/>
      <c r="JY235" s="151"/>
      <c r="JZ235" s="151"/>
      <c r="KA235" s="151"/>
      <c r="KB235" s="151"/>
      <c r="KC235" s="151"/>
      <c r="KD235" s="151"/>
      <c r="KE235" s="151"/>
      <c r="KF235" s="151"/>
      <c r="KG235" s="151"/>
      <c r="KH235" s="151"/>
      <c r="KI235" s="151"/>
      <c r="KJ235" s="151"/>
      <c r="KK235" s="151"/>
      <c r="KL235" s="151"/>
      <c r="KM235" s="151"/>
      <c r="KN235" s="151"/>
      <c r="KO235" s="151"/>
      <c r="KP235" s="151"/>
      <c r="KQ235" s="151"/>
      <c r="KR235" s="151"/>
      <c r="KS235" s="151"/>
      <c r="KT235" s="151"/>
      <c r="KU235" s="151"/>
      <c r="KV235" s="151"/>
      <c r="KW235" s="151"/>
      <c r="KX235" s="151"/>
      <c r="KY235" s="151"/>
      <c r="KZ235" s="151"/>
      <c r="LA235" s="151"/>
      <c r="LB235" s="151"/>
      <c r="LC235" s="151"/>
      <c r="LD235" s="151"/>
      <c r="LE235" s="151"/>
    </row>
    <row r="236" spans="1:317" x14ac:dyDescent="0.2">
      <c r="A236" s="179" t="s">
        <v>849</v>
      </c>
      <c r="B236" s="180" t="s">
        <v>1135</v>
      </c>
      <c r="C236" s="181"/>
      <c r="D236" s="182">
        <v>0</v>
      </c>
      <c r="E236" s="182">
        <v>0</v>
      </c>
      <c r="F236" s="183" t="s">
        <v>1323</v>
      </c>
      <c r="G236" s="183">
        <v>0</v>
      </c>
      <c r="H236" s="183">
        <v>0</v>
      </c>
      <c r="I236" s="183">
        <v>0</v>
      </c>
      <c r="J236" s="183">
        <v>0</v>
      </c>
      <c r="K236" s="183" t="s">
        <v>1368</v>
      </c>
      <c r="L236" s="183">
        <v>0</v>
      </c>
      <c r="M236" s="183">
        <v>0</v>
      </c>
      <c r="N236" s="183" t="s">
        <v>881</v>
      </c>
      <c r="O236" s="183">
        <v>0</v>
      </c>
      <c r="P236" s="183">
        <v>0</v>
      </c>
      <c r="Q236" s="183"/>
      <c r="R236" s="183"/>
      <c r="S236" s="183"/>
      <c r="T236" s="183"/>
      <c r="U236" s="183"/>
      <c r="V236" s="183">
        <v>0</v>
      </c>
      <c r="W236" s="183">
        <v>0</v>
      </c>
      <c r="X236" s="183">
        <v>0</v>
      </c>
      <c r="Y236" s="184">
        <v>0</v>
      </c>
      <c r="Z236" s="184">
        <v>12.26</v>
      </c>
      <c r="AA236" s="184">
        <v>0</v>
      </c>
      <c r="AB236" s="185" t="s">
        <v>615</v>
      </c>
      <c r="AC236" s="185" t="s">
        <v>615</v>
      </c>
      <c r="AD236" s="186" t="s">
        <v>881</v>
      </c>
      <c r="AE236" s="186" t="s">
        <v>858</v>
      </c>
      <c r="AF236" s="187">
        <v>7</v>
      </c>
      <c r="AG236" s="187">
        <v>3</v>
      </c>
      <c r="AH236" s="187">
        <v>4</v>
      </c>
      <c r="AI236" s="188">
        <v>1</v>
      </c>
      <c r="AJ236" s="188" t="s">
        <v>615</v>
      </c>
      <c r="AK236" s="187" t="s">
        <v>1738</v>
      </c>
      <c r="AL236" s="87" t="s">
        <v>615</v>
      </c>
      <c r="AM236" s="189"/>
      <c r="AN236" s="187" t="s">
        <v>615</v>
      </c>
      <c r="AO236" s="13" t="s">
        <v>615</v>
      </c>
      <c r="AP236" s="187">
        <v>0</v>
      </c>
      <c r="AQ236" s="187">
        <v>0</v>
      </c>
      <c r="AR236" s="190">
        <v>0</v>
      </c>
      <c r="AS236" s="190">
        <v>0</v>
      </c>
      <c r="AT236" s="190">
        <v>0</v>
      </c>
      <c r="AU236" s="187">
        <v>0</v>
      </c>
      <c r="AV236" s="187">
        <v>0</v>
      </c>
      <c r="AW236" s="191"/>
      <c r="AX236" s="192"/>
      <c r="AY236" s="193">
        <v>42666</v>
      </c>
      <c r="AZ236" s="193"/>
      <c r="BA236" s="193"/>
      <c r="BB236" s="194"/>
      <c r="BC236" s="194"/>
      <c r="BD236" s="195"/>
      <c r="BE236" s="195" t="s">
        <v>532</v>
      </c>
      <c r="BF236" s="195"/>
      <c r="BG236" s="195">
        <v>50</v>
      </c>
      <c r="BH236" s="196" t="s">
        <v>547</v>
      </c>
      <c r="BI236" s="197">
        <v>1</v>
      </c>
      <c r="BJ236" s="198"/>
      <c r="BK236" s="199">
        <v>0</v>
      </c>
      <c r="BL236" s="13">
        <v>0</v>
      </c>
      <c r="BM236" s="13">
        <v>0</v>
      </c>
      <c r="BN236" s="13" t="s">
        <v>616</v>
      </c>
      <c r="BO236" s="13" t="s">
        <v>616</v>
      </c>
      <c r="BP236" s="200">
        <v>0</v>
      </c>
      <c r="BQ236" s="201"/>
      <c r="BR236" s="202"/>
      <c r="BS236" s="187">
        <v>1000000000</v>
      </c>
      <c r="BT236" s="203">
        <v>0</v>
      </c>
      <c r="BU236" s="204">
        <v>0</v>
      </c>
      <c r="BV236" s="203">
        <v>0</v>
      </c>
      <c r="BW236" s="205">
        <v>0</v>
      </c>
      <c r="BX236" s="205">
        <v>0</v>
      </c>
      <c r="BY236" s="205">
        <v>0</v>
      </c>
      <c r="BZ236" s="203">
        <v>0</v>
      </c>
      <c r="CA236" s="203">
        <v>0</v>
      </c>
      <c r="CB236" s="203">
        <v>0</v>
      </c>
      <c r="CC236" s="204">
        <v>0</v>
      </c>
      <c r="CD236" s="203">
        <v>0</v>
      </c>
      <c r="CE236" s="203">
        <v>0</v>
      </c>
      <c r="CF236" s="13">
        <v>0</v>
      </c>
      <c r="CG236" s="206">
        <v>0</v>
      </c>
      <c r="CH236" s="207">
        <v>0</v>
      </c>
      <c r="CI236" s="201"/>
      <c r="CJ236" s="208"/>
      <c r="CK236" s="209" t="s">
        <v>615</v>
      </c>
      <c r="CL236" s="210" t="s">
        <v>615</v>
      </c>
      <c r="CM236" s="207">
        <v>0</v>
      </c>
      <c r="CN236" s="207">
        <v>0</v>
      </c>
      <c r="CO236" s="204">
        <v>0</v>
      </c>
      <c r="CP236" s="204">
        <v>0</v>
      </c>
      <c r="CQ236" s="211"/>
      <c r="CR236" s="204">
        <v>1</v>
      </c>
      <c r="CS236" s="212">
        <v>42558</v>
      </c>
      <c r="CT236" s="212">
        <v>42780</v>
      </c>
      <c r="CU236" s="213">
        <v>42780</v>
      </c>
      <c r="CV236" s="214">
        <v>42829</v>
      </c>
      <c r="CW236" s="214" t="s">
        <v>615</v>
      </c>
      <c r="CX236" s="214" t="s">
        <v>615</v>
      </c>
      <c r="CY236" s="204">
        <v>1</v>
      </c>
      <c r="CZ236" s="204">
        <v>0.97959183673469385</v>
      </c>
      <c r="DA236" s="203">
        <v>0</v>
      </c>
      <c r="DB236" s="204">
        <v>0.97959183673469385</v>
      </c>
      <c r="DC236" s="204">
        <v>0</v>
      </c>
      <c r="DD236" s="204">
        <v>0</v>
      </c>
      <c r="DE236" s="204">
        <v>0</v>
      </c>
      <c r="DF236" s="215">
        <v>0</v>
      </c>
      <c r="DG236" s="13" t="s">
        <v>615</v>
      </c>
      <c r="DH236" s="86">
        <v>234</v>
      </c>
      <c r="DI236" s="86"/>
      <c r="DJ236" s="86">
        <v>242</v>
      </c>
      <c r="DK236" s="86" t="s">
        <v>1701</v>
      </c>
      <c r="DL236" s="86" t="e">
        <v>#N/A</v>
      </c>
      <c r="DM236" s="86" t="e">
        <v>#N/A</v>
      </c>
      <c r="DN236" s="86" t="e">
        <v>#N/A</v>
      </c>
      <c r="DO236" s="86">
        <v>412</v>
      </c>
      <c r="DP236" s="86">
        <v>5</v>
      </c>
      <c r="DQ236" s="86">
        <v>49</v>
      </c>
      <c r="DR236" s="152">
        <v>0</v>
      </c>
      <c r="DS236" s="152">
        <v>0</v>
      </c>
      <c r="DT236" s="152">
        <v>0</v>
      </c>
      <c r="DU236" s="152">
        <v>0</v>
      </c>
      <c r="DV236" s="152">
        <v>0</v>
      </c>
      <c r="DW236" s="152">
        <v>0</v>
      </c>
      <c r="DX236" s="152">
        <v>0</v>
      </c>
      <c r="DY236" s="152">
        <v>0</v>
      </c>
      <c r="DZ236" s="152">
        <v>0</v>
      </c>
      <c r="EA236" s="152">
        <v>0</v>
      </c>
      <c r="EB236" s="152">
        <v>0</v>
      </c>
      <c r="EC236" s="152">
        <v>0</v>
      </c>
      <c r="ED236" s="152">
        <v>0</v>
      </c>
      <c r="EE236" s="152">
        <v>0</v>
      </c>
      <c r="EF236" s="152">
        <v>0</v>
      </c>
      <c r="EG236" s="152">
        <v>0</v>
      </c>
      <c r="EH236" s="152">
        <v>0</v>
      </c>
      <c r="EI236" s="152">
        <v>0</v>
      </c>
      <c r="EJ236" s="152">
        <v>0</v>
      </c>
      <c r="EK236" s="152">
        <v>0</v>
      </c>
      <c r="EL236" s="152">
        <v>0</v>
      </c>
      <c r="EM236" s="152">
        <v>0</v>
      </c>
      <c r="EN236" s="152">
        <v>0</v>
      </c>
      <c r="EO236" s="152">
        <v>0</v>
      </c>
      <c r="EP236" s="152">
        <v>0</v>
      </c>
      <c r="EQ236" s="152">
        <v>0</v>
      </c>
      <c r="ER236" s="152">
        <v>0</v>
      </c>
      <c r="ES236" s="152">
        <v>0</v>
      </c>
      <c r="ET236" s="152">
        <v>0</v>
      </c>
      <c r="EU236" s="152">
        <v>0</v>
      </c>
      <c r="EV236" s="152">
        <v>0</v>
      </c>
      <c r="EW236" s="152">
        <v>0</v>
      </c>
      <c r="EX236" s="152">
        <v>0</v>
      </c>
      <c r="EY236" s="152">
        <v>0</v>
      </c>
      <c r="EZ236" s="152">
        <v>0</v>
      </c>
      <c r="FA236" s="152">
        <v>0</v>
      </c>
      <c r="FB236" s="152">
        <v>0</v>
      </c>
      <c r="FC236" s="152">
        <v>0</v>
      </c>
      <c r="FD236" s="152">
        <v>0</v>
      </c>
      <c r="FE236" s="152">
        <v>0</v>
      </c>
      <c r="FF236" s="152">
        <v>0</v>
      </c>
      <c r="FG236" s="152">
        <v>0</v>
      </c>
      <c r="FH236" s="152">
        <v>0</v>
      </c>
      <c r="FI236" s="152">
        <v>0</v>
      </c>
      <c r="FJ236" s="152">
        <v>0</v>
      </c>
      <c r="FK236" s="152">
        <v>0</v>
      </c>
      <c r="FL236" s="152">
        <v>0</v>
      </c>
      <c r="FM236" s="152">
        <v>0</v>
      </c>
      <c r="FN236" s="152">
        <v>0</v>
      </c>
      <c r="FO236" s="152">
        <v>0</v>
      </c>
      <c r="FP236" s="152">
        <v>0</v>
      </c>
      <c r="FQ236" s="152">
        <v>0</v>
      </c>
      <c r="FR236" s="152">
        <v>0</v>
      </c>
      <c r="FS236" s="152">
        <v>0</v>
      </c>
      <c r="FT236" s="152">
        <v>0</v>
      </c>
      <c r="FU236" s="152">
        <v>0</v>
      </c>
      <c r="FV236" s="152">
        <v>0</v>
      </c>
      <c r="FW236" s="152">
        <v>0</v>
      </c>
      <c r="FX236" s="152">
        <v>0</v>
      </c>
      <c r="FY236" s="152">
        <v>0</v>
      </c>
      <c r="FZ236" s="152">
        <v>0</v>
      </c>
      <c r="GA236" s="152">
        <v>0</v>
      </c>
      <c r="GB236" s="152">
        <v>0</v>
      </c>
      <c r="GC236" s="152">
        <v>0</v>
      </c>
      <c r="GD236" s="152">
        <v>0</v>
      </c>
      <c r="GE236" s="152">
        <v>0</v>
      </c>
      <c r="GF236" s="152">
        <v>0</v>
      </c>
      <c r="GG236" s="152">
        <v>0</v>
      </c>
      <c r="GH236" s="152">
        <v>0</v>
      </c>
      <c r="GI236" s="152">
        <v>0</v>
      </c>
      <c r="GJ236" s="152">
        <v>0</v>
      </c>
      <c r="GK236" s="152">
        <v>0</v>
      </c>
      <c r="GL236" s="152">
        <v>0</v>
      </c>
      <c r="GM236" s="152">
        <v>0</v>
      </c>
      <c r="GN236" s="152">
        <v>0</v>
      </c>
      <c r="GO236" s="152">
        <v>0</v>
      </c>
      <c r="GP236" s="152">
        <v>0</v>
      </c>
      <c r="GQ236" s="152">
        <v>0</v>
      </c>
      <c r="GR236" s="152">
        <v>0</v>
      </c>
      <c r="GS236" s="152">
        <v>0</v>
      </c>
      <c r="GT236" s="152">
        <v>0</v>
      </c>
      <c r="GU236" s="152">
        <v>0</v>
      </c>
      <c r="GV236" s="152">
        <v>0</v>
      </c>
      <c r="GW236" s="152">
        <v>0</v>
      </c>
      <c r="GX236" s="152">
        <v>0</v>
      </c>
      <c r="GY236" s="152">
        <v>0</v>
      </c>
      <c r="GZ236" s="152">
        <v>0</v>
      </c>
      <c r="HA236" s="152">
        <v>0</v>
      </c>
      <c r="HB236" s="152">
        <v>0</v>
      </c>
      <c r="HC236" s="152">
        <v>0</v>
      </c>
      <c r="HD236" s="152">
        <v>0</v>
      </c>
      <c r="HE236" s="152">
        <v>0</v>
      </c>
      <c r="HF236" s="152">
        <v>0</v>
      </c>
      <c r="HG236" s="152">
        <v>0</v>
      </c>
      <c r="HH236" s="152">
        <v>0</v>
      </c>
      <c r="HI236" s="152">
        <v>0</v>
      </c>
      <c r="HJ236" s="152">
        <v>0</v>
      </c>
      <c r="HK236" s="152">
        <v>0</v>
      </c>
      <c r="HL236" s="152">
        <v>0</v>
      </c>
      <c r="HM236" s="152">
        <v>0</v>
      </c>
      <c r="HN236" s="152">
        <v>0</v>
      </c>
      <c r="HO236" s="152">
        <v>0</v>
      </c>
      <c r="HP236" s="152">
        <v>0</v>
      </c>
      <c r="HQ236" s="152">
        <v>0</v>
      </c>
      <c r="HR236" s="152">
        <v>0</v>
      </c>
      <c r="HS236" s="152">
        <v>0</v>
      </c>
      <c r="HT236" s="152">
        <v>0</v>
      </c>
      <c r="HU236" s="216"/>
      <c r="HV236" s="152">
        <v>0</v>
      </c>
      <c r="HW236" s="216"/>
      <c r="HX236" s="216"/>
      <c r="HY236" s="216"/>
      <c r="HZ236" s="216"/>
      <c r="IA236" s="216"/>
      <c r="IB236" s="216"/>
      <c r="IC236" s="216"/>
      <c r="ID236" s="216"/>
      <c r="IE236" s="216"/>
      <c r="IF236" s="216"/>
      <c r="IG236" s="216"/>
      <c r="IH236" s="216"/>
      <c r="II236" s="216"/>
      <c r="IJ236" s="216"/>
      <c r="IK236" s="216"/>
      <c r="IL236" s="216"/>
      <c r="IM236" s="216"/>
      <c r="IN236" s="216"/>
      <c r="IO236" s="216"/>
      <c r="IP236" s="216"/>
      <c r="IQ236" s="216"/>
      <c r="IR236" s="216"/>
      <c r="IS236" s="216"/>
      <c r="IT236" s="216"/>
      <c r="IU236" s="216"/>
      <c r="IV236" s="216"/>
      <c r="IW236" s="216"/>
      <c r="IX236" s="216"/>
      <c r="IY236" s="216"/>
      <c r="IZ236" s="216"/>
      <c r="JA236" s="216"/>
      <c r="JB236" s="216"/>
      <c r="JC236" s="216"/>
      <c r="JD236" s="216"/>
      <c r="JE236" s="216"/>
      <c r="JF236" s="216"/>
      <c r="JG236" s="216"/>
      <c r="JH236" s="216"/>
      <c r="JI236" s="216"/>
      <c r="JJ236" s="216"/>
      <c r="JK236" s="216"/>
      <c r="JL236" s="216"/>
      <c r="JM236" s="216"/>
      <c r="JN236" s="216"/>
      <c r="JO236" s="216"/>
      <c r="JP236" s="216"/>
      <c r="JQ236" s="216"/>
      <c r="JR236" s="216"/>
      <c r="JS236" s="216"/>
      <c r="JT236" s="216"/>
      <c r="JU236" s="216"/>
      <c r="JV236" s="216"/>
      <c r="JW236" s="216"/>
      <c r="JX236" s="216"/>
      <c r="JY236" s="216"/>
      <c r="JZ236" s="216"/>
      <c r="KA236" s="216"/>
      <c r="KB236" s="216"/>
      <c r="KC236" s="216"/>
      <c r="KD236" s="216"/>
      <c r="KE236" s="216"/>
      <c r="KF236" s="216"/>
      <c r="KG236" s="216"/>
      <c r="KH236" s="216"/>
      <c r="KI236" s="216"/>
      <c r="KJ236" s="216"/>
      <c r="KK236" s="216"/>
      <c r="KL236" s="216"/>
      <c r="KM236" s="216"/>
      <c r="KN236" s="216"/>
      <c r="KO236" s="216"/>
      <c r="KP236" s="216"/>
      <c r="KQ236" s="216"/>
      <c r="KR236" s="216"/>
      <c r="KS236" s="216"/>
      <c r="KT236" s="216"/>
      <c r="KU236" s="216"/>
      <c r="KV236" s="216"/>
      <c r="KW236" s="216"/>
      <c r="KX236" s="216"/>
      <c r="KY236" s="216"/>
      <c r="KZ236" s="216"/>
      <c r="LA236" s="216"/>
      <c r="LB236" s="216"/>
      <c r="LC236" s="216"/>
      <c r="LD236" s="216"/>
      <c r="LE236" s="216"/>
    </row>
    <row r="237" spans="1:317" x14ac:dyDescent="0.2">
      <c r="A237" s="179" t="s">
        <v>849</v>
      </c>
      <c r="B237" s="180" t="s">
        <v>1136</v>
      </c>
      <c r="C237" s="181"/>
      <c r="D237" s="182">
        <v>0</v>
      </c>
      <c r="E237" s="182">
        <v>0</v>
      </c>
      <c r="F237" s="183" t="s">
        <v>1325</v>
      </c>
      <c r="G237" s="183">
        <v>0</v>
      </c>
      <c r="H237" s="183">
        <v>0</v>
      </c>
      <c r="I237" s="183">
        <v>0</v>
      </c>
      <c r="J237" s="183">
        <v>0</v>
      </c>
      <c r="K237" s="183" t="s">
        <v>1396</v>
      </c>
      <c r="L237" s="183">
        <v>0</v>
      </c>
      <c r="M237" s="183">
        <v>0</v>
      </c>
      <c r="N237" s="183" t="s">
        <v>878</v>
      </c>
      <c r="O237" s="183">
        <v>0</v>
      </c>
      <c r="P237" s="183">
        <v>0</v>
      </c>
      <c r="Q237" s="183"/>
      <c r="R237" s="183"/>
      <c r="S237" s="183"/>
      <c r="T237" s="183"/>
      <c r="U237" s="183"/>
      <c r="V237" s="183">
        <v>0</v>
      </c>
      <c r="W237" s="183">
        <v>0</v>
      </c>
      <c r="X237" s="183">
        <v>0</v>
      </c>
      <c r="Y237" s="184">
        <v>26.59</v>
      </c>
      <c r="Z237" s="184">
        <v>69.45</v>
      </c>
      <c r="AA237" s="184">
        <v>0</v>
      </c>
      <c r="AB237" s="185" t="s">
        <v>615</v>
      </c>
      <c r="AC237" s="185" t="s">
        <v>615</v>
      </c>
      <c r="AD237" s="186" t="s">
        <v>878</v>
      </c>
      <c r="AE237" s="186" t="s">
        <v>866</v>
      </c>
      <c r="AF237" s="187">
        <v>11</v>
      </c>
      <c r="AG237" s="187">
        <v>5</v>
      </c>
      <c r="AH237" s="187">
        <v>6</v>
      </c>
      <c r="AI237" s="188">
        <v>1</v>
      </c>
      <c r="AJ237" s="188" t="s">
        <v>617</v>
      </c>
      <c r="AK237" s="187" t="s">
        <v>1739</v>
      </c>
      <c r="AL237" s="87">
        <v>399</v>
      </c>
      <c r="AM237" s="189"/>
      <c r="AN237" s="187">
        <v>399</v>
      </c>
      <c r="AO237" s="13" t="s">
        <v>615</v>
      </c>
      <c r="AP237" s="187">
        <v>8.4499999999999993</v>
      </c>
      <c r="AQ237" s="187">
        <v>140</v>
      </c>
      <c r="AR237" s="190">
        <v>8.8757396449704142</v>
      </c>
      <c r="AS237" s="190">
        <v>6.1834319526627226</v>
      </c>
      <c r="AT237" s="190">
        <v>0</v>
      </c>
      <c r="AU237" s="187">
        <v>0</v>
      </c>
      <c r="AV237" s="187">
        <v>0</v>
      </c>
      <c r="AW237" s="191"/>
      <c r="AX237" s="192"/>
      <c r="AY237" s="193">
        <v>42666</v>
      </c>
      <c r="AZ237" s="193"/>
      <c r="BA237" s="193"/>
      <c r="BB237" s="194"/>
      <c r="BC237" s="194"/>
      <c r="BD237" s="195"/>
      <c r="BE237" s="195" t="s">
        <v>532</v>
      </c>
      <c r="BF237" s="195"/>
      <c r="BG237" s="195">
        <v>4</v>
      </c>
      <c r="BH237" s="196" t="s">
        <v>547</v>
      </c>
      <c r="BI237" s="197">
        <v>1</v>
      </c>
      <c r="BJ237" s="198"/>
      <c r="BK237" s="199">
        <v>300</v>
      </c>
      <c r="BL237" s="13">
        <v>200</v>
      </c>
      <c r="BM237" s="13">
        <v>99</v>
      </c>
      <c r="BN237" s="13" t="s">
        <v>618</v>
      </c>
      <c r="BO237" s="13" t="s">
        <v>618</v>
      </c>
      <c r="BP237" s="200">
        <v>200</v>
      </c>
      <c r="BQ237" s="201"/>
      <c r="BR237" s="202"/>
      <c r="BS237" s="187">
        <v>1000000000</v>
      </c>
      <c r="BT237" s="203">
        <v>209</v>
      </c>
      <c r="BU237" s="204">
        <v>0.3</v>
      </c>
      <c r="BV237" s="203">
        <v>0</v>
      </c>
      <c r="BW237" s="205">
        <v>0</v>
      </c>
      <c r="BX237" s="205">
        <v>0</v>
      </c>
      <c r="BY237" s="205">
        <v>0</v>
      </c>
      <c r="BZ237" s="203">
        <v>0</v>
      </c>
      <c r="CA237" s="203">
        <v>0</v>
      </c>
      <c r="CB237" s="203">
        <v>209</v>
      </c>
      <c r="CC237" s="204">
        <v>0.3</v>
      </c>
      <c r="CD237" s="203">
        <v>0</v>
      </c>
      <c r="CE237" s="203">
        <v>0</v>
      </c>
      <c r="CF237" s="13">
        <v>91</v>
      </c>
      <c r="CG237" s="206">
        <v>92</v>
      </c>
      <c r="CH237" s="207">
        <v>164</v>
      </c>
      <c r="CI237" s="201"/>
      <c r="CJ237" s="208"/>
      <c r="CK237" s="209" t="s">
        <v>615</v>
      </c>
      <c r="CL237" s="210" t="s">
        <v>615</v>
      </c>
      <c r="CM237" s="207">
        <v>0</v>
      </c>
      <c r="CN237" s="207">
        <v>0</v>
      </c>
      <c r="CO237" s="204">
        <v>0</v>
      </c>
      <c r="CP237" s="204">
        <v>7.0336763650039327</v>
      </c>
      <c r="CQ237" s="211"/>
      <c r="CR237" s="204">
        <v>1</v>
      </c>
      <c r="CS237" s="212">
        <v>42709</v>
      </c>
      <c r="CT237" s="212">
        <v>42752</v>
      </c>
      <c r="CU237" s="213">
        <v>42752</v>
      </c>
      <c r="CV237" s="214">
        <v>42829</v>
      </c>
      <c r="CW237" s="214" t="s">
        <v>615</v>
      </c>
      <c r="CX237" s="214" t="s">
        <v>615</v>
      </c>
      <c r="CY237" s="204">
        <v>0.61604186274247774</v>
      </c>
      <c r="CZ237" s="204">
        <v>0.98648648648648662</v>
      </c>
      <c r="DA237" s="203">
        <v>1228</v>
      </c>
      <c r="DB237" s="204">
        <v>0</v>
      </c>
      <c r="DC237" s="204">
        <v>0.48648648648648651</v>
      </c>
      <c r="DD237" s="204">
        <v>0.22972972972972974</v>
      </c>
      <c r="DE237" s="204">
        <v>0.1891891891891892</v>
      </c>
      <c r="DF237" s="215">
        <v>8.1081081081081086E-2</v>
      </c>
      <c r="DG237" s="13" t="s">
        <v>615</v>
      </c>
      <c r="DH237" s="86">
        <v>235</v>
      </c>
      <c r="DI237" s="86"/>
      <c r="DJ237" s="86">
        <v>2</v>
      </c>
      <c r="DK237" s="86" t="s">
        <v>1446</v>
      </c>
      <c r="DL237" s="86">
        <v>2</v>
      </c>
      <c r="DM237" s="86">
        <v>2</v>
      </c>
      <c r="DN237" s="86" t="e">
        <v>#N/A</v>
      </c>
      <c r="DO237" s="86">
        <v>2</v>
      </c>
      <c r="DP237" s="86">
        <v>9</v>
      </c>
      <c r="DQ237" s="86">
        <v>74</v>
      </c>
      <c r="DR237" s="161">
        <v>377</v>
      </c>
      <c r="DS237" s="161">
        <v>377</v>
      </c>
      <c r="DT237" s="161">
        <v>377</v>
      </c>
      <c r="DU237" s="161">
        <v>377</v>
      </c>
      <c r="DV237" s="161">
        <v>322</v>
      </c>
      <c r="DW237" s="161">
        <v>322</v>
      </c>
      <c r="DX237" s="161">
        <v>322</v>
      </c>
      <c r="DY237" s="161">
        <v>321</v>
      </c>
      <c r="DZ237" s="161">
        <v>321</v>
      </c>
      <c r="EA237" s="161">
        <v>321</v>
      </c>
      <c r="EB237" s="161">
        <v>320</v>
      </c>
      <c r="EC237" s="161">
        <v>320</v>
      </c>
      <c r="ED237" s="161">
        <v>320</v>
      </c>
      <c r="EE237" s="161">
        <v>320</v>
      </c>
      <c r="EF237" s="161">
        <v>320</v>
      </c>
      <c r="EG237" s="161">
        <v>320</v>
      </c>
      <c r="EH237" s="161">
        <v>320</v>
      </c>
      <c r="EI237" s="161">
        <v>317</v>
      </c>
      <c r="EJ237" s="161">
        <v>317</v>
      </c>
      <c r="EK237" s="161">
        <v>317</v>
      </c>
      <c r="EL237" s="161">
        <v>317</v>
      </c>
      <c r="EM237" s="161">
        <v>317</v>
      </c>
      <c r="EN237" s="161">
        <v>317</v>
      </c>
      <c r="EO237" s="161">
        <v>317</v>
      </c>
      <c r="EP237" s="161">
        <v>317</v>
      </c>
      <c r="EQ237" s="161">
        <v>317</v>
      </c>
      <c r="ER237" s="161">
        <v>317</v>
      </c>
      <c r="ES237" s="161">
        <v>286</v>
      </c>
      <c r="ET237" s="161">
        <v>286</v>
      </c>
      <c r="EU237" s="161">
        <v>286</v>
      </c>
      <c r="EV237" s="161">
        <v>286</v>
      </c>
      <c r="EW237" s="161">
        <v>286</v>
      </c>
      <c r="EX237" s="161">
        <v>286</v>
      </c>
      <c r="EY237" s="161">
        <v>286</v>
      </c>
      <c r="EZ237" s="161">
        <v>286</v>
      </c>
      <c r="FA237" s="161">
        <v>286</v>
      </c>
      <c r="FB237" s="161">
        <v>316</v>
      </c>
      <c r="FC237" s="161">
        <v>316</v>
      </c>
      <c r="FD237" s="161">
        <v>315</v>
      </c>
      <c r="FE237" s="161">
        <v>315</v>
      </c>
      <c r="FF237" s="161">
        <v>315</v>
      </c>
      <c r="FG237" s="161">
        <v>315</v>
      </c>
      <c r="FH237" s="161">
        <v>291</v>
      </c>
      <c r="FI237" s="161">
        <v>291</v>
      </c>
      <c r="FJ237" s="161">
        <v>291</v>
      </c>
      <c r="FK237" s="161">
        <v>291</v>
      </c>
      <c r="FL237" s="161">
        <v>209</v>
      </c>
      <c r="FM237" s="161">
        <v>209</v>
      </c>
      <c r="FN237" s="161">
        <v>212</v>
      </c>
      <c r="FO237" s="161">
        <v>211</v>
      </c>
      <c r="FP237" s="161">
        <v>211</v>
      </c>
      <c r="FQ237" s="161">
        <v>211</v>
      </c>
      <c r="FR237" s="161">
        <v>211</v>
      </c>
      <c r="FS237" s="162">
        <v>193</v>
      </c>
      <c r="FT237" s="162">
        <v>192</v>
      </c>
      <c r="FU237" s="162">
        <v>181</v>
      </c>
      <c r="FV237" s="162">
        <v>181</v>
      </c>
      <c r="FW237" s="162">
        <v>181</v>
      </c>
      <c r="FX237" s="162">
        <v>181</v>
      </c>
      <c r="FY237" s="162">
        <v>181</v>
      </c>
      <c r="FZ237" s="162">
        <v>181</v>
      </c>
      <c r="GA237" s="162">
        <v>179</v>
      </c>
      <c r="GB237" s="162">
        <v>179</v>
      </c>
      <c r="GC237" s="162">
        <v>178</v>
      </c>
      <c r="GD237" s="162">
        <v>178</v>
      </c>
      <c r="GE237" s="162">
        <v>178</v>
      </c>
      <c r="GF237" s="162">
        <v>178</v>
      </c>
      <c r="GG237" s="162">
        <v>178</v>
      </c>
      <c r="GH237" s="162">
        <v>163</v>
      </c>
      <c r="GI237" s="162">
        <v>163</v>
      </c>
      <c r="GJ237" s="163">
        <v>88</v>
      </c>
      <c r="GK237" s="163">
        <v>88</v>
      </c>
      <c r="GL237" s="163">
        <v>88</v>
      </c>
      <c r="GM237" s="163">
        <v>88</v>
      </c>
      <c r="GN237" s="163">
        <v>88</v>
      </c>
      <c r="GO237" s="163">
        <v>88</v>
      </c>
      <c r="GP237" s="163">
        <v>88</v>
      </c>
      <c r="GQ237" s="163">
        <v>88</v>
      </c>
      <c r="GR237" s="163">
        <v>88</v>
      </c>
      <c r="GS237" s="163">
        <v>88</v>
      </c>
      <c r="GT237" s="163">
        <v>88</v>
      </c>
      <c r="GU237" s="140">
        <v>57</v>
      </c>
      <c r="GV237" s="140">
        <v>57</v>
      </c>
      <c r="GW237" s="140">
        <v>57</v>
      </c>
      <c r="GX237" s="140">
        <v>57</v>
      </c>
      <c r="GY237" s="140">
        <v>57</v>
      </c>
      <c r="GZ237" s="140">
        <v>57</v>
      </c>
      <c r="HA237" s="140">
        <v>57</v>
      </c>
      <c r="HB237" s="140">
        <v>54</v>
      </c>
      <c r="HC237" s="140">
        <v>54</v>
      </c>
      <c r="HD237" s="140">
        <v>54</v>
      </c>
      <c r="HE237" s="140">
        <v>54</v>
      </c>
      <c r="HF237" s="140">
        <v>54</v>
      </c>
      <c r="HG237" s="140">
        <v>54</v>
      </c>
      <c r="HH237" s="140">
        <v>54</v>
      </c>
      <c r="HI237" s="140">
        <v>54</v>
      </c>
      <c r="HJ237" s="140">
        <v>54</v>
      </c>
      <c r="HK237" s="140">
        <v>54</v>
      </c>
      <c r="HL237" s="140">
        <v>54</v>
      </c>
      <c r="HM237" s="140">
        <v>54</v>
      </c>
      <c r="HN237" s="140">
        <v>54</v>
      </c>
      <c r="HO237" s="140">
        <v>54</v>
      </c>
      <c r="HP237" s="140">
        <v>54</v>
      </c>
      <c r="HQ237" s="140">
        <v>53</v>
      </c>
      <c r="HR237" s="140">
        <v>53</v>
      </c>
      <c r="HS237" s="140">
        <v>53</v>
      </c>
      <c r="HT237" s="162">
        <v>209</v>
      </c>
      <c r="HU237" s="151"/>
      <c r="HV237" s="162">
        <v>209</v>
      </c>
      <c r="HW237" s="151"/>
      <c r="HX237" s="151"/>
      <c r="HY237" s="151"/>
      <c r="HZ237" s="151"/>
      <c r="IA237" s="151"/>
      <c r="IB237" s="151"/>
      <c r="IC237" s="151"/>
      <c r="ID237" s="151"/>
      <c r="IE237" s="151"/>
      <c r="IF237" s="151"/>
      <c r="IG237" s="151"/>
      <c r="IH237" s="151"/>
      <c r="II237" s="151"/>
      <c r="IJ237" s="151"/>
      <c r="IK237" s="151"/>
      <c r="IL237" s="151"/>
      <c r="IM237" s="151"/>
      <c r="IN237" s="151"/>
      <c r="IO237" s="151"/>
      <c r="IP237" s="151"/>
      <c r="IQ237" s="151"/>
      <c r="IR237" s="151"/>
      <c r="IS237" s="151"/>
      <c r="IT237" s="151"/>
      <c r="IU237" s="151"/>
      <c r="IV237" s="151"/>
      <c r="IW237" s="151"/>
      <c r="IX237" s="151"/>
      <c r="IY237" s="151"/>
      <c r="IZ237" s="151"/>
      <c r="JA237" s="151"/>
      <c r="JB237" s="151"/>
      <c r="JC237" s="151"/>
      <c r="JD237" s="151"/>
      <c r="JE237" s="151"/>
      <c r="JF237" s="151"/>
      <c r="JG237" s="151"/>
      <c r="JH237" s="151"/>
      <c r="JI237" s="151"/>
      <c r="JJ237" s="151"/>
      <c r="JK237" s="151"/>
      <c r="JL237" s="151"/>
      <c r="JM237" s="151"/>
      <c r="JN237" s="151"/>
      <c r="JO237" s="151"/>
      <c r="JP237" s="151"/>
      <c r="JQ237" s="151"/>
      <c r="JR237" s="151"/>
      <c r="JS237" s="151"/>
      <c r="JT237" s="151"/>
      <c r="JU237" s="151"/>
      <c r="JV237" s="151"/>
      <c r="JW237" s="151"/>
      <c r="JX237" s="151"/>
      <c r="JY237" s="151"/>
      <c r="JZ237" s="151"/>
      <c r="KA237" s="151"/>
      <c r="KB237" s="151"/>
      <c r="KC237" s="151"/>
      <c r="KD237" s="151"/>
      <c r="KE237" s="151"/>
      <c r="KF237" s="151"/>
      <c r="KG237" s="151"/>
      <c r="KH237" s="151"/>
      <c r="KI237" s="151"/>
      <c r="KJ237" s="151"/>
      <c r="KK237" s="151"/>
      <c r="KL237" s="151"/>
      <c r="KM237" s="151"/>
      <c r="KN237" s="151"/>
      <c r="KO237" s="151"/>
      <c r="KP237" s="151"/>
      <c r="KQ237" s="151"/>
      <c r="KR237" s="151"/>
      <c r="KS237" s="151"/>
      <c r="KT237" s="151"/>
      <c r="KU237" s="151"/>
      <c r="KV237" s="151"/>
      <c r="KW237" s="151"/>
      <c r="KX237" s="151"/>
      <c r="KY237" s="151"/>
      <c r="KZ237" s="151"/>
      <c r="LA237" s="151"/>
      <c r="LB237" s="151"/>
      <c r="LC237" s="151"/>
      <c r="LD237" s="151"/>
      <c r="LE237" s="151"/>
    </row>
    <row r="238" spans="1:317" x14ac:dyDescent="0.2">
      <c r="A238" s="179" t="s">
        <v>849</v>
      </c>
      <c r="B238" s="180" t="s">
        <v>1137</v>
      </c>
      <c r="C238" s="181"/>
      <c r="D238" s="182">
        <v>0</v>
      </c>
      <c r="E238" s="182">
        <v>0</v>
      </c>
      <c r="F238" s="183" t="s">
        <v>1326</v>
      </c>
      <c r="G238" s="183">
        <v>0</v>
      </c>
      <c r="H238" s="183">
        <v>0</v>
      </c>
      <c r="I238" s="183">
        <v>0</v>
      </c>
      <c r="J238" s="183">
        <v>0</v>
      </c>
      <c r="K238" s="183" t="s">
        <v>1397</v>
      </c>
      <c r="L238" s="183">
        <v>0</v>
      </c>
      <c r="M238" s="183">
        <v>0</v>
      </c>
      <c r="N238" s="183" t="s">
        <v>878</v>
      </c>
      <c r="O238" s="183">
        <v>0</v>
      </c>
      <c r="P238" s="183">
        <v>0</v>
      </c>
      <c r="Q238" s="183"/>
      <c r="R238" s="183"/>
      <c r="S238" s="183"/>
      <c r="T238" s="183"/>
      <c r="U238" s="183"/>
      <c r="V238" s="183">
        <v>0</v>
      </c>
      <c r="W238" s="183">
        <v>0</v>
      </c>
      <c r="X238" s="183">
        <v>0</v>
      </c>
      <c r="Y238" s="184">
        <v>0</v>
      </c>
      <c r="Z238" s="184">
        <v>0</v>
      </c>
      <c r="AA238" s="184">
        <v>0</v>
      </c>
      <c r="AB238" s="185" t="s">
        <v>615</v>
      </c>
      <c r="AC238" s="185" t="s">
        <v>615</v>
      </c>
      <c r="AD238" s="186" t="s">
        <v>878</v>
      </c>
      <c r="AE238" s="186" t="s">
        <v>866</v>
      </c>
      <c r="AF238" s="187">
        <v>11</v>
      </c>
      <c r="AG238" s="187">
        <v>5</v>
      </c>
      <c r="AH238" s="187">
        <v>6</v>
      </c>
      <c r="AI238" s="188">
        <v>1</v>
      </c>
      <c r="AJ238" s="188" t="s">
        <v>615</v>
      </c>
      <c r="AK238" s="187" t="s">
        <v>1739</v>
      </c>
      <c r="AL238" s="87" t="s">
        <v>615</v>
      </c>
      <c r="AM238" s="189"/>
      <c r="AN238" s="187" t="s">
        <v>615</v>
      </c>
      <c r="AO238" s="13" t="s">
        <v>615</v>
      </c>
      <c r="AP238" s="187">
        <v>0.64</v>
      </c>
      <c r="AQ238" s="187">
        <v>11</v>
      </c>
      <c r="AR238" s="190">
        <v>0</v>
      </c>
      <c r="AS238" s="190">
        <v>14.453125</v>
      </c>
      <c r="AT238" s="190">
        <v>0</v>
      </c>
      <c r="AU238" s="187">
        <v>0</v>
      </c>
      <c r="AV238" s="187">
        <v>0</v>
      </c>
      <c r="AW238" s="191"/>
      <c r="AX238" s="192"/>
      <c r="AY238" s="193">
        <v>42666</v>
      </c>
      <c r="AZ238" s="193"/>
      <c r="BA238" s="193"/>
      <c r="BB238" s="194"/>
      <c r="BC238" s="194"/>
      <c r="BD238" s="195"/>
      <c r="BE238" s="195" t="s">
        <v>532</v>
      </c>
      <c r="BF238" s="195"/>
      <c r="BG238" s="195">
        <v>2</v>
      </c>
      <c r="BH238" s="196" t="s">
        <v>547</v>
      </c>
      <c r="BI238" s="197">
        <v>1</v>
      </c>
      <c r="BJ238" s="198"/>
      <c r="BK238" s="199">
        <v>0</v>
      </c>
      <c r="BL238" s="13">
        <v>0</v>
      </c>
      <c r="BM238" s="13">
        <v>0</v>
      </c>
      <c r="BN238" s="13" t="s">
        <v>616</v>
      </c>
      <c r="BO238" s="13" t="s">
        <v>616</v>
      </c>
      <c r="BP238" s="200">
        <v>14</v>
      </c>
      <c r="BQ238" s="201"/>
      <c r="BR238" s="202"/>
      <c r="BS238" s="187">
        <v>1000000000</v>
      </c>
      <c r="BT238" s="203">
        <v>37</v>
      </c>
      <c r="BU238" s="204">
        <v>0</v>
      </c>
      <c r="BV238" s="203">
        <v>0</v>
      </c>
      <c r="BW238" s="205">
        <v>0</v>
      </c>
      <c r="BX238" s="205">
        <v>0</v>
      </c>
      <c r="BY238" s="205">
        <v>0</v>
      </c>
      <c r="BZ238" s="203">
        <v>0</v>
      </c>
      <c r="CA238" s="203">
        <v>0</v>
      </c>
      <c r="CB238" s="203">
        <v>37</v>
      </c>
      <c r="CC238" s="204">
        <v>0</v>
      </c>
      <c r="CD238" s="203">
        <v>0</v>
      </c>
      <c r="CE238" s="203">
        <v>0</v>
      </c>
      <c r="CF238" s="13">
        <v>0</v>
      </c>
      <c r="CG238" s="206">
        <v>0</v>
      </c>
      <c r="CH238" s="207">
        <v>0</v>
      </c>
      <c r="CI238" s="201"/>
      <c r="CJ238" s="208"/>
      <c r="CK238" s="209" t="s">
        <v>615</v>
      </c>
      <c r="CL238" s="210" t="s">
        <v>615</v>
      </c>
      <c r="CM238" s="207">
        <v>0</v>
      </c>
      <c r="CN238" s="207">
        <v>0</v>
      </c>
      <c r="CO238" s="204">
        <v>0</v>
      </c>
      <c r="CP238" s="204">
        <v>0</v>
      </c>
      <c r="CQ238" s="211"/>
      <c r="CR238" s="204">
        <v>1</v>
      </c>
      <c r="CS238" s="212">
        <v>42709</v>
      </c>
      <c r="CT238" s="212">
        <v>42752</v>
      </c>
      <c r="CU238" s="213">
        <v>42752</v>
      </c>
      <c r="CV238" s="214">
        <v>42829</v>
      </c>
      <c r="CW238" s="214" t="s">
        <v>615</v>
      </c>
      <c r="CX238" s="214" t="s">
        <v>615</v>
      </c>
      <c r="CY238" s="204">
        <v>0.2030110676179053</v>
      </c>
      <c r="CZ238" s="204">
        <v>0.98648648648648651</v>
      </c>
      <c r="DA238" s="203">
        <v>0</v>
      </c>
      <c r="DB238" s="204">
        <v>0</v>
      </c>
      <c r="DC238" s="204">
        <v>0</v>
      </c>
      <c r="DD238" s="204">
        <v>0</v>
      </c>
      <c r="DE238" s="204">
        <v>0</v>
      </c>
      <c r="DF238" s="215">
        <v>0.98648648648648651</v>
      </c>
      <c r="DG238" s="13" t="s">
        <v>615</v>
      </c>
      <c r="DH238" s="86">
        <v>236</v>
      </c>
      <c r="DI238" s="86"/>
      <c r="DJ238" s="86">
        <v>3</v>
      </c>
      <c r="DK238" s="86" t="s">
        <v>1447</v>
      </c>
      <c r="DL238" s="86">
        <v>3</v>
      </c>
      <c r="DM238" s="86">
        <v>3</v>
      </c>
      <c r="DN238" s="86" t="e">
        <v>#N/A</v>
      </c>
      <c r="DO238" s="86">
        <v>3</v>
      </c>
      <c r="DP238" s="86">
        <v>9</v>
      </c>
      <c r="DQ238" s="86">
        <v>74</v>
      </c>
      <c r="DR238" s="167">
        <v>56</v>
      </c>
      <c r="DS238" s="167">
        <v>56</v>
      </c>
      <c r="DT238" s="167">
        <v>56</v>
      </c>
      <c r="DU238" s="167">
        <v>56</v>
      </c>
      <c r="DV238" s="167">
        <v>56</v>
      </c>
      <c r="DW238" s="167">
        <v>56</v>
      </c>
      <c r="DX238" s="167">
        <v>56</v>
      </c>
      <c r="DY238" s="167">
        <v>56</v>
      </c>
      <c r="DZ238" s="167">
        <v>56</v>
      </c>
      <c r="EA238" s="152">
        <v>56</v>
      </c>
      <c r="EB238" s="152">
        <v>49</v>
      </c>
      <c r="EC238" s="152">
        <v>49</v>
      </c>
      <c r="ED238" s="152">
        <v>49</v>
      </c>
      <c r="EE238" s="152">
        <v>49</v>
      </c>
      <c r="EF238" s="152">
        <v>49</v>
      </c>
      <c r="EG238" s="152">
        <v>49</v>
      </c>
      <c r="EH238" s="152">
        <v>49</v>
      </c>
      <c r="EI238" s="152">
        <v>48</v>
      </c>
      <c r="EJ238" s="152">
        <v>48</v>
      </c>
      <c r="EK238" s="152">
        <v>48</v>
      </c>
      <c r="EL238" s="152">
        <v>48</v>
      </c>
      <c r="EM238" s="152">
        <v>48</v>
      </c>
      <c r="EN238" s="152">
        <v>48</v>
      </c>
      <c r="EO238" s="152">
        <v>48</v>
      </c>
      <c r="EP238" s="152">
        <v>48</v>
      </c>
      <c r="EQ238" s="152">
        <v>48</v>
      </c>
      <c r="ER238" s="152">
        <v>48</v>
      </c>
      <c r="ES238" s="152">
        <v>48</v>
      </c>
      <c r="ET238" s="152">
        <v>48</v>
      </c>
      <c r="EU238" s="152">
        <v>48</v>
      </c>
      <c r="EV238" s="152">
        <v>48</v>
      </c>
      <c r="EW238" s="152">
        <v>48</v>
      </c>
      <c r="EX238" s="152">
        <v>48</v>
      </c>
      <c r="EY238" s="152">
        <v>48</v>
      </c>
      <c r="EZ238" s="152">
        <v>48</v>
      </c>
      <c r="FA238" s="152">
        <v>48</v>
      </c>
      <c r="FB238" s="152">
        <v>48</v>
      </c>
      <c r="FC238" s="152">
        <v>48</v>
      </c>
      <c r="FD238" s="152">
        <v>47</v>
      </c>
      <c r="FE238" s="152">
        <v>47</v>
      </c>
      <c r="FF238" s="152">
        <v>47</v>
      </c>
      <c r="FG238" s="152">
        <v>47</v>
      </c>
      <c r="FH238" s="152">
        <v>42</v>
      </c>
      <c r="FI238" s="152">
        <v>42</v>
      </c>
      <c r="FJ238" s="152">
        <v>42</v>
      </c>
      <c r="FK238" s="152">
        <v>42</v>
      </c>
      <c r="FL238" s="152">
        <v>37</v>
      </c>
      <c r="FM238" s="152">
        <v>37</v>
      </c>
      <c r="FN238" s="152">
        <v>37</v>
      </c>
      <c r="FO238" s="152">
        <v>36</v>
      </c>
      <c r="FP238" s="152">
        <v>36</v>
      </c>
      <c r="FQ238" s="152">
        <v>36</v>
      </c>
      <c r="FR238" s="152">
        <v>36</v>
      </c>
      <c r="FS238" s="152">
        <v>36</v>
      </c>
      <c r="FT238" s="152">
        <v>36</v>
      </c>
      <c r="FU238" s="152">
        <v>34</v>
      </c>
      <c r="FV238" s="152">
        <v>34</v>
      </c>
      <c r="FW238" s="152">
        <v>34</v>
      </c>
      <c r="FX238" s="152">
        <v>34</v>
      </c>
      <c r="FY238" s="152">
        <v>34</v>
      </c>
      <c r="FZ238" s="152">
        <v>34</v>
      </c>
      <c r="GA238" s="152">
        <v>34</v>
      </c>
      <c r="GB238" s="152">
        <v>34</v>
      </c>
      <c r="GC238" s="152">
        <v>33</v>
      </c>
      <c r="GD238" s="152">
        <v>33</v>
      </c>
      <c r="GE238" s="152">
        <v>33</v>
      </c>
      <c r="GF238" s="152">
        <v>33</v>
      </c>
      <c r="GG238" s="152">
        <v>33</v>
      </c>
      <c r="GH238" s="152">
        <v>33</v>
      </c>
      <c r="GI238" s="152">
        <v>33</v>
      </c>
      <c r="GJ238" s="152">
        <v>31</v>
      </c>
      <c r="GK238" s="152">
        <v>31</v>
      </c>
      <c r="GL238" s="152">
        <v>31</v>
      </c>
      <c r="GM238" s="152">
        <v>31</v>
      </c>
      <c r="GN238" s="152">
        <v>31</v>
      </c>
      <c r="GO238" s="152">
        <v>31</v>
      </c>
      <c r="GP238" s="152">
        <v>31</v>
      </c>
      <c r="GQ238" s="152">
        <v>31</v>
      </c>
      <c r="GR238" s="152">
        <v>31</v>
      </c>
      <c r="GS238" s="152">
        <v>31</v>
      </c>
      <c r="GT238" s="152">
        <v>31</v>
      </c>
      <c r="GU238" s="152">
        <v>27</v>
      </c>
      <c r="GV238" s="152">
        <v>27</v>
      </c>
      <c r="GW238" s="152">
        <v>27</v>
      </c>
      <c r="GX238" s="152">
        <v>27</v>
      </c>
      <c r="GY238" s="152">
        <v>27</v>
      </c>
      <c r="GZ238" s="152">
        <v>27</v>
      </c>
      <c r="HA238" s="152">
        <v>27</v>
      </c>
      <c r="HB238" s="152">
        <v>26</v>
      </c>
      <c r="HC238" s="152">
        <v>26</v>
      </c>
      <c r="HD238" s="152">
        <v>26</v>
      </c>
      <c r="HE238" s="152">
        <v>26</v>
      </c>
      <c r="HF238" s="152">
        <v>26</v>
      </c>
      <c r="HG238" s="152">
        <v>26</v>
      </c>
      <c r="HH238" s="152">
        <v>26</v>
      </c>
      <c r="HI238" s="152">
        <v>26</v>
      </c>
      <c r="HJ238" s="152">
        <v>26</v>
      </c>
      <c r="HK238" s="152">
        <v>26</v>
      </c>
      <c r="HL238" s="152">
        <v>26</v>
      </c>
      <c r="HM238" s="152">
        <v>26</v>
      </c>
      <c r="HN238" s="152">
        <v>26</v>
      </c>
      <c r="HO238" s="152">
        <v>26</v>
      </c>
      <c r="HP238" s="152">
        <v>26</v>
      </c>
      <c r="HQ238" s="152">
        <v>24</v>
      </c>
      <c r="HR238" s="152">
        <v>24</v>
      </c>
      <c r="HS238" s="152">
        <v>24</v>
      </c>
      <c r="HT238" s="152">
        <v>37</v>
      </c>
      <c r="HU238" s="216"/>
      <c r="HV238" s="152">
        <v>37</v>
      </c>
      <c r="HW238" s="216"/>
      <c r="HX238" s="216"/>
      <c r="HY238" s="216"/>
      <c r="HZ238" s="216"/>
      <c r="IA238" s="216"/>
      <c r="IB238" s="216"/>
      <c r="IC238" s="216"/>
      <c r="ID238" s="216"/>
      <c r="IE238" s="216"/>
      <c r="IF238" s="216"/>
      <c r="IG238" s="216"/>
      <c r="IH238" s="216"/>
      <c r="II238" s="216"/>
      <c r="IJ238" s="216"/>
      <c r="IK238" s="216"/>
      <c r="IL238" s="216"/>
      <c r="IM238" s="216"/>
      <c r="IN238" s="216"/>
      <c r="IO238" s="216"/>
      <c r="IP238" s="216"/>
      <c r="IQ238" s="216"/>
      <c r="IR238" s="216"/>
      <c r="IS238" s="216"/>
      <c r="IT238" s="216"/>
      <c r="IU238" s="216"/>
      <c r="IV238" s="216"/>
      <c r="IW238" s="216"/>
      <c r="IX238" s="216"/>
      <c r="IY238" s="216"/>
      <c r="IZ238" s="216"/>
      <c r="JA238" s="216"/>
      <c r="JB238" s="216"/>
      <c r="JC238" s="216"/>
      <c r="JD238" s="216"/>
      <c r="JE238" s="216"/>
      <c r="JF238" s="216"/>
      <c r="JG238" s="216"/>
      <c r="JH238" s="216"/>
      <c r="JI238" s="216"/>
      <c r="JJ238" s="216"/>
      <c r="JK238" s="216"/>
      <c r="JL238" s="216"/>
      <c r="JM238" s="216"/>
      <c r="JN238" s="216"/>
      <c r="JO238" s="216"/>
      <c r="JP238" s="216"/>
      <c r="JQ238" s="216"/>
      <c r="JR238" s="216"/>
      <c r="JS238" s="216"/>
      <c r="JT238" s="216"/>
      <c r="JU238" s="216"/>
      <c r="JV238" s="216"/>
      <c r="JW238" s="216"/>
      <c r="JX238" s="216"/>
      <c r="JY238" s="216"/>
      <c r="JZ238" s="216"/>
      <c r="KA238" s="216"/>
      <c r="KB238" s="216"/>
      <c r="KC238" s="216"/>
      <c r="KD238" s="216"/>
      <c r="KE238" s="216"/>
      <c r="KF238" s="216"/>
      <c r="KG238" s="216"/>
      <c r="KH238" s="216"/>
      <c r="KI238" s="216"/>
      <c r="KJ238" s="216"/>
      <c r="KK238" s="216"/>
      <c r="KL238" s="216"/>
      <c r="KM238" s="216"/>
      <c r="KN238" s="216"/>
      <c r="KO238" s="216"/>
      <c r="KP238" s="216"/>
      <c r="KQ238" s="216"/>
      <c r="KR238" s="216"/>
      <c r="KS238" s="216"/>
      <c r="KT238" s="216"/>
      <c r="KU238" s="216"/>
      <c r="KV238" s="216"/>
      <c r="KW238" s="216"/>
      <c r="KX238" s="216"/>
      <c r="KY238" s="216"/>
      <c r="KZ238" s="216"/>
      <c r="LA238" s="216"/>
      <c r="LB238" s="216"/>
      <c r="LC238" s="216"/>
      <c r="LD238" s="216"/>
      <c r="LE238" s="216"/>
    </row>
    <row r="239" spans="1:317" x14ac:dyDescent="0.2">
      <c r="A239" s="179" t="s">
        <v>849</v>
      </c>
      <c r="B239" s="180" t="s">
        <v>1138</v>
      </c>
      <c r="C239" s="181"/>
      <c r="D239" s="182">
        <v>0</v>
      </c>
      <c r="E239" s="182">
        <v>0</v>
      </c>
      <c r="F239" s="183" t="s">
        <v>1327</v>
      </c>
      <c r="G239" s="183">
        <v>0</v>
      </c>
      <c r="H239" s="183">
        <v>0</v>
      </c>
      <c r="I239" s="183">
        <v>0</v>
      </c>
      <c r="J239" s="183">
        <v>0</v>
      </c>
      <c r="K239" s="183" t="s">
        <v>1398</v>
      </c>
      <c r="L239" s="183">
        <v>0</v>
      </c>
      <c r="M239" s="183">
        <v>0</v>
      </c>
      <c r="N239" s="183" t="s">
        <v>878</v>
      </c>
      <c r="O239" s="183">
        <v>0</v>
      </c>
      <c r="P239" s="183">
        <v>0</v>
      </c>
      <c r="Q239" s="183"/>
      <c r="R239" s="183"/>
      <c r="S239" s="183"/>
      <c r="T239" s="183"/>
      <c r="U239" s="183"/>
      <c r="V239" s="183">
        <v>0</v>
      </c>
      <c r="W239" s="183">
        <v>0</v>
      </c>
      <c r="X239" s="183">
        <v>0</v>
      </c>
      <c r="Y239" s="184">
        <v>5.99</v>
      </c>
      <c r="Z239" s="184">
        <v>25.26</v>
      </c>
      <c r="AA239" s="184">
        <v>0</v>
      </c>
      <c r="AB239" s="185" t="s">
        <v>615</v>
      </c>
      <c r="AC239" s="185" t="s">
        <v>615</v>
      </c>
      <c r="AD239" s="186" t="s">
        <v>878</v>
      </c>
      <c r="AE239" s="186" t="s">
        <v>866</v>
      </c>
      <c r="AF239" s="187">
        <v>11</v>
      </c>
      <c r="AG239" s="187">
        <v>5</v>
      </c>
      <c r="AH239" s="187">
        <v>6</v>
      </c>
      <c r="AI239" s="188">
        <v>1</v>
      </c>
      <c r="AJ239" s="188" t="s">
        <v>615</v>
      </c>
      <c r="AK239" s="187" t="s">
        <v>1739</v>
      </c>
      <c r="AL239" s="87" t="s">
        <v>615</v>
      </c>
      <c r="AM239" s="189"/>
      <c r="AN239" s="187" t="s">
        <v>615</v>
      </c>
      <c r="AO239" s="13" t="s">
        <v>615</v>
      </c>
      <c r="AP239" s="187">
        <v>7.27</v>
      </c>
      <c r="AQ239" s="187">
        <v>120</v>
      </c>
      <c r="AR239" s="190">
        <v>0</v>
      </c>
      <c r="AS239" s="190">
        <v>0.44704264099037144</v>
      </c>
      <c r="AT239" s="190">
        <v>0</v>
      </c>
      <c r="AU239" s="187">
        <v>0</v>
      </c>
      <c r="AV239" s="187">
        <v>0</v>
      </c>
      <c r="AW239" s="191"/>
      <c r="AX239" s="192"/>
      <c r="AY239" s="193">
        <v>42666</v>
      </c>
      <c r="AZ239" s="193"/>
      <c r="BA239" s="193"/>
      <c r="BB239" s="194"/>
      <c r="BC239" s="194"/>
      <c r="BD239" s="195"/>
      <c r="BE239" s="195" t="s">
        <v>532</v>
      </c>
      <c r="BF239" s="195"/>
      <c r="BG239" s="195">
        <v>12</v>
      </c>
      <c r="BH239" s="196" t="s">
        <v>547</v>
      </c>
      <c r="BI239" s="197">
        <v>1</v>
      </c>
      <c r="BJ239" s="198"/>
      <c r="BK239" s="199">
        <v>0</v>
      </c>
      <c r="BL239" s="13">
        <v>0</v>
      </c>
      <c r="BM239" s="13">
        <v>0</v>
      </c>
      <c r="BN239" s="13" t="s">
        <v>616</v>
      </c>
      <c r="BO239" s="13" t="s">
        <v>616</v>
      </c>
      <c r="BP239" s="200">
        <v>40</v>
      </c>
      <c r="BQ239" s="201"/>
      <c r="BR239" s="202"/>
      <c r="BS239" s="187">
        <v>1000000000</v>
      </c>
      <c r="BT239" s="203">
        <v>13</v>
      </c>
      <c r="BU239" s="204">
        <v>0</v>
      </c>
      <c r="BV239" s="203">
        <v>0</v>
      </c>
      <c r="BW239" s="205">
        <v>0</v>
      </c>
      <c r="BX239" s="205">
        <v>0</v>
      </c>
      <c r="BY239" s="205">
        <v>0</v>
      </c>
      <c r="BZ239" s="203">
        <v>0</v>
      </c>
      <c r="CA239" s="203">
        <v>0</v>
      </c>
      <c r="CB239" s="203">
        <v>13</v>
      </c>
      <c r="CC239" s="204">
        <v>0</v>
      </c>
      <c r="CD239" s="203">
        <v>0</v>
      </c>
      <c r="CE239" s="203">
        <v>0</v>
      </c>
      <c r="CF239" s="13">
        <v>0</v>
      </c>
      <c r="CG239" s="206">
        <v>0</v>
      </c>
      <c r="CH239" s="207">
        <v>0</v>
      </c>
      <c r="CI239" s="201"/>
      <c r="CJ239" s="208"/>
      <c r="CK239" s="209" t="s">
        <v>615</v>
      </c>
      <c r="CL239" s="210" t="s">
        <v>615</v>
      </c>
      <c r="CM239" s="207">
        <v>0</v>
      </c>
      <c r="CN239" s="207">
        <v>0</v>
      </c>
      <c r="CO239" s="204">
        <v>0</v>
      </c>
      <c r="CP239" s="204">
        <v>0</v>
      </c>
      <c r="CQ239" s="211"/>
      <c r="CR239" s="204">
        <v>1</v>
      </c>
      <c r="CS239" s="212">
        <v>42709</v>
      </c>
      <c r="CT239" s="212">
        <v>42752</v>
      </c>
      <c r="CU239" s="213">
        <v>42752</v>
      </c>
      <c r="CV239" s="214">
        <v>42829</v>
      </c>
      <c r="CW239" s="214" t="s">
        <v>615</v>
      </c>
      <c r="CX239" s="214" t="s">
        <v>615</v>
      </c>
      <c r="CY239" s="204">
        <v>0</v>
      </c>
      <c r="CZ239" s="204">
        <v>0.98648648648648651</v>
      </c>
      <c r="DA239" s="203">
        <v>0</v>
      </c>
      <c r="DB239" s="204">
        <v>0</v>
      </c>
      <c r="DC239" s="204">
        <v>0</v>
      </c>
      <c r="DD239" s="204">
        <v>0</v>
      </c>
      <c r="DE239" s="204">
        <v>0</v>
      </c>
      <c r="DF239" s="215">
        <v>0.98648648648648651</v>
      </c>
      <c r="DG239" s="13" t="s">
        <v>615</v>
      </c>
      <c r="DH239" s="86">
        <v>237</v>
      </c>
      <c r="DI239" s="86"/>
      <c r="DJ239" s="86">
        <v>81</v>
      </c>
      <c r="DK239" s="86" t="s">
        <v>1455</v>
      </c>
      <c r="DL239" s="86">
        <v>16</v>
      </c>
      <c r="DM239" s="86">
        <v>39</v>
      </c>
      <c r="DN239" s="86" t="e">
        <v>#N/A</v>
      </c>
      <c r="DO239" s="86">
        <v>83</v>
      </c>
      <c r="DP239" s="86">
        <v>9</v>
      </c>
      <c r="DQ239" s="86">
        <v>74</v>
      </c>
      <c r="DR239" s="161">
        <v>93</v>
      </c>
      <c r="DS239" s="161">
        <v>93</v>
      </c>
      <c r="DT239" s="161">
        <v>93</v>
      </c>
      <c r="DU239" s="161">
        <v>93</v>
      </c>
      <c r="DV239" s="161">
        <v>93</v>
      </c>
      <c r="DW239" s="161">
        <v>93</v>
      </c>
      <c r="DX239" s="161">
        <v>93</v>
      </c>
      <c r="DY239" s="161">
        <v>93</v>
      </c>
      <c r="DZ239" s="161">
        <v>93</v>
      </c>
      <c r="EA239" s="146">
        <v>93</v>
      </c>
      <c r="EB239" s="146">
        <v>93</v>
      </c>
      <c r="EC239" s="146">
        <v>93</v>
      </c>
      <c r="ED239" s="146">
        <v>93</v>
      </c>
      <c r="EE239" s="146">
        <v>93</v>
      </c>
      <c r="EF239" s="146">
        <v>93</v>
      </c>
      <c r="EG239" s="146">
        <v>93</v>
      </c>
      <c r="EH239" s="146">
        <v>93</v>
      </c>
      <c r="EI239" s="146">
        <v>93</v>
      </c>
      <c r="EJ239" s="146">
        <v>93</v>
      </c>
      <c r="EK239" s="146">
        <v>93</v>
      </c>
      <c r="EL239" s="146">
        <v>93</v>
      </c>
      <c r="EM239" s="146">
        <v>93</v>
      </c>
      <c r="EN239" s="146">
        <v>13</v>
      </c>
      <c r="EO239" s="146">
        <v>13</v>
      </c>
      <c r="EP239" s="146">
        <v>13</v>
      </c>
      <c r="EQ239" s="146">
        <v>13</v>
      </c>
      <c r="ER239" s="146">
        <v>13</v>
      </c>
      <c r="ES239" s="146">
        <v>13</v>
      </c>
      <c r="ET239" s="146">
        <v>13</v>
      </c>
      <c r="EU239" s="146">
        <v>13</v>
      </c>
      <c r="EV239" s="146">
        <v>13</v>
      </c>
      <c r="EW239" s="146">
        <v>13</v>
      </c>
      <c r="EX239" s="146">
        <v>13</v>
      </c>
      <c r="EY239" s="146">
        <v>13</v>
      </c>
      <c r="EZ239" s="146">
        <v>13</v>
      </c>
      <c r="FA239" s="146">
        <v>13</v>
      </c>
      <c r="FB239" s="146">
        <v>13</v>
      </c>
      <c r="FC239" s="146">
        <v>13</v>
      </c>
      <c r="FD239" s="146">
        <v>13</v>
      </c>
      <c r="FE239" s="146">
        <v>13</v>
      </c>
      <c r="FF239" s="146">
        <v>13</v>
      </c>
      <c r="FG239" s="146">
        <v>13</v>
      </c>
      <c r="FH239" s="146">
        <v>13</v>
      </c>
      <c r="FI239" s="146">
        <v>13</v>
      </c>
      <c r="FJ239" s="146">
        <v>13</v>
      </c>
      <c r="FK239" s="146">
        <v>13</v>
      </c>
      <c r="FL239" s="146">
        <v>13</v>
      </c>
      <c r="FM239" s="146">
        <v>13</v>
      </c>
      <c r="FN239" s="146">
        <v>13</v>
      </c>
      <c r="FO239" s="146">
        <v>13</v>
      </c>
      <c r="FP239" s="146">
        <v>13</v>
      </c>
      <c r="FQ239" s="146">
        <v>13</v>
      </c>
      <c r="FR239" s="146">
        <v>13</v>
      </c>
      <c r="FS239" s="146">
        <v>13</v>
      </c>
      <c r="FT239" s="146">
        <v>13</v>
      </c>
      <c r="FU239" s="146">
        <v>13</v>
      </c>
      <c r="FV239" s="146">
        <v>13</v>
      </c>
      <c r="FW239" s="146">
        <v>13</v>
      </c>
      <c r="FX239" s="146">
        <v>13</v>
      </c>
      <c r="FY239" s="146">
        <v>13</v>
      </c>
      <c r="FZ239" s="146">
        <v>13</v>
      </c>
      <c r="GA239" s="146">
        <v>13</v>
      </c>
      <c r="GB239" s="146">
        <v>13</v>
      </c>
      <c r="GC239" s="146">
        <v>13</v>
      </c>
      <c r="GD239" s="146">
        <v>13</v>
      </c>
      <c r="GE239" s="146">
        <v>13</v>
      </c>
      <c r="GF239" s="146">
        <v>13</v>
      </c>
      <c r="GG239" s="146">
        <v>13</v>
      </c>
      <c r="GH239" s="146">
        <v>13</v>
      </c>
      <c r="GI239" s="146">
        <v>13</v>
      </c>
      <c r="GJ239" s="146">
        <v>13</v>
      </c>
      <c r="GK239" s="146">
        <v>13</v>
      </c>
      <c r="GL239" s="146">
        <v>13</v>
      </c>
      <c r="GM239" s="146">
        <v>13</v>
      </c>
      <c r="GN239" s="146">
        <v>13</v>
      </c>
      <c r="GO239" s="146">
        <v>13</v>
      </c>
      <c r="GP239" s="146">
        <v>13</v>
      </c>
      <c r="GQ239" s="146">
        <v>13</v>
      </c>
      <c r="GR239" s="146">
        <v>13</v>
      </c>
      <c r="GS239" s="146">
        <v>13</v>
      </c>
      <c r="GT239" s="146">
        <v>13</v>
      </c>
      <c r="GU239" s="146">
        <v>13</v>
      </c>
      <c r="GV239" s="146">
        <v>13</v>
      </c>
      <c r="GW239" s="146">
        <v>13</v>
      </c>
      <c r="GX239" s="146">
        <v>13</v>
      </c>
      <c r="GY239" s="146">
        <v>13</v>
      </c>
      <c r="GZ239" s="146">
        <v>13</v>
      </c>
      <c r="HA239" s="146">
        <v>13</v>
      </c>
      <c r="HB239" s="146">
        <v>13</v>
      </c>
      <c r="HC239" s="146">
        <v>13</v>
      </c>
      <c r="HD239" s="146">
        <v>13</v>
      </c>
      <c r="HE239" s="146">
        <v>13</v>
      </c>
      <c r="HF239" s="146">
        <v>13</v>
      </c>
      <c r="HG239" s="146">
        <v>13</v>
      </c>
      <c r="HH239" s="146">
        <v>13</v>
      </c>
      <c r="HI239" s="146">
        <v>13</v>
      </c>
      <c r="HJ239" s="146">
        <v>13</v>
      </c>
      <c r="HK239" s="146">
        <v>13</v>
      </c>
      <c r="HL239" s="146">
        <v>13</v>
      </c>
      <c r="HM239" s="146">
        <v>13</v>
      </c>
      <c r="HN239" s="146">
        <v>13</v>
      </c>
      <c r="HO239" s="146">
        <v>13</v>
      </c>
      <c r="HP239" s="146">
        <v>13</v>
      </c>
      <c r="HQ239" s="146">
        <v>13</v>
      </c>
      <c r="HR239" s="146">
        <v>13</v>
      </c>
      <c r="HS239" s="146">
        <v>13</v>
      </c>
      <c r="HT239" s="146">
        <v>13</v>
      </c>
      <c r="HU239" s="151"/>
      <c r="HV239" s="146">
        <v>13</v>
      </c>
      <c r="HW239" s="151"/>
      <c r="HX239" s="151"/>
      <c r="HY239" s="151"/>
      <c r="HZ239" s="151"/>
      <c r="IA239" s="151"/>
      <c r="IB239" s="151"/>
      <c r="IC239" s="151"/>
      <c r="ID239" s="151"/>
      <c r="IE239" s="151"/>
      <c r="IF239" s="151"/>
      <c r="IG239" s="151"/>
      <c r="IH239" s="151"/>
      <c r="II239" s="151"/>
      <c r="IJ239" s="151"/>
      <c r="IK239" s="151"/>
      <c r="IL239" s="151"/>
      <c r="IM239" s="151"/>
      <c r="IN239" s="151"/>
      <c r="IO239" s="151"/>
      <c r="IP239" s="151"/>
      <c r="IQ239" s="151"/>
      <c r="IR239" s="151"/>
      <c r="IS239" s="151"/>
      <c r="IT239" s="151"/>
      <c r="IU239" s="151"/>
      <c r="IV239" s="151"/>
      <c r="IW239" s="151"/>
      <c r="IX239" s="151"/>
      <c r="IY239" s="151"/>
      <c r="IZ239" s="151"/>
      <c r="JA239" s="151"/>
      <c r="JB239" s="151"/>
      <c r="JC239" s="151"/>
      <c r="JD239" s="151"/>
      <c r="JE239" s="151"/>
      <c r="JF239" s="151"/>
      <c r="JG239" s="151"/>
      <c r="JH239" s="151"/>
      <c r="JI239" s="151"/>
      <c r="JJ239" s="151"/>
      <c r="JK239" s="151"/>
      <c r="JL239" s="151"/>
      <c r="JM239" s="151"/>
      <c r="JN239" s="151"/>
      <c r="JO239" s="151"/>
      <c r="JP239" s="151"/>
      <c r="JQ239" s="151"/>
      <c r="JR239" s="151"/>
      <c r="JS239" s="151"/>
      <c r="JT239" s="151"/>
      <c r="JU239" s="151"/>
      <c r="JV239" s="151"/>
      <c r="JW239" s="151"/>
      <c r="JX239" s="151"/>
      <c r="JY239" s="151"/>
      <c r="JZ239" s="151"/>
      <c r="KA239" s="151"/>
      <c r="KB239" s="151"/>
      <c r="KC239" s="151"/>
      <c r="KD239" s="151"/>
      <c r="KE239" s="151"/>
      <c r="KF239" s="151"/>
      <c r="KG239" s="151"/>
      <c r="KH239" s="151"/>
      <c r="KI239" s="151"/>
      <c r="KJ239" s="151"/>
      <c r="KK239" s="151"/>
      <c r="KL239" s="151"/>
      <c r="KM239" s="151"/>
      <c r="KN239" s="151"/>
      <c r="KO239" s="151"/>
      <c r="KP239" s="151"/>
      <c r="KQ239" s="151"/>
      <c r="KR239" s="151"/>
      <c r="KS239" s="151"/>
      <c r="KT239" s="151"/>
      <c r="KU239" s="151"/>
      <c r="KV239" s="151"/>
      <c r="KW239" s="151"/>
      <c r="KX239" s="151"/>
      <c r="KY239" s="151"/>
      <c r="KZ239" s="151"/>
      <c r="LA239" s="151"/>
      <c r="LB239" s="151"/>
      <c r="LC239" s="151"/>
      <c r="LD239" s="151"/>
      <c r="LE239" s="151"/>
    </row>
    <row r="240" spans="1:317" x14ac:dyDescent="0.2">
      <c r="A240" s="179" t="s">
        <v>849</v>
      </c>
      <c r="B240" s="180" t="s">
        <v>1139</v>
      </c>
      <c r="C240" s="181"/>
      <c r="D240" s="182">
        <v>0</v>
      </c>
      <c r="E240" s="182">
        <v>0</v>
      </c>
      <c r="F240" s="183" t="s">
        <v>1328</v>
      </c>
      <c r="G240" s="183">
        <v>0</v>
      </c>
      <c r="H240" s="183">
        <v>0</v>
      </c>
      <c r="I240" s="183">
        <v>0</v>
      </c>
      <c r="J240" s="183">
        <v>0</v>
      </c>
      <c r="K240" s="183" t="s">
        <v>1394</v>
      </c>
      <c r="L240" s="183">
        <v>0</v>
      </c>
      <c r="M240" s="183">
        <v>0</v>
      </c>
      <c r="N240" s="183" t="s">
        <v>872</v>
      </c>
      <c r="O240" s="183">
        <v>0</v>
      </c>
      <c r="P240" s="183">
        <v>0</v>
      </c>
      <c r="Q240" s="183"/>
      <c r="R240" s="183"/>
      <c r="S240" s="183"/>
      <c r="T240" s="183"/>
      <c r="U240" s="183"/>
      <c r="V240" s="183">
        <v>0</v>
      </c>
      <c r="W240" s="183">
        <v>0</v>
      </c>
      <c r="X240" s="183">
        <v>0</v>
      </c>
      <c r="Y240" s="184">
        <v>36.659999999999997</v>
      </c>
      <c r="Z240" s="184">
        <v>0</v>
      </c>
      <c r="AA240" s="184">
        <v>0</v>
      </c>
      <c r="AB240" s="185" t="s">
        <v>615</v>
      </c>
      <c r="AC240" s="185" t="s">
        <v>615</v>
      </c>
      <c r="AD240" s="186" t="s">
        <v>872</v>
      </c>
      <c r="AE240" s="186" t="s">
        <v>852</v>
      </c>
      <c r="AF240" s="187">
        <v>7</v>
      </c>
      <c r="AG240" s="187">
        <v>3</v>
      </c>
      <c r="AH240" s="187">
        <v>4</v>
      </c>
      <c r="AI240" s="188">
        <v>1</v>
      </c>
      <c r="AJ240" s="188" t="s">
        <v>615</v>
      </c>
      <c r="AK240" s="187" t="s">
        <v>1738</v>
      </c>
      <c r="AL240" s="87" t="s">
        <v>615</v>
      </c>
      <c r="AM240" s="189"/>
      <c r="AN240" s="187" t="s">
        <v>615</v>
      </c>
      <c r="AO240" s="13" t="s">
        <v>615</v>
      </c>
      <c r="AP240" s="187">
        <v>0</v>
      </c>
      <c r="AQ240" s="187">
        <v>0</v>
      </c>
      <c r="AR240" s="190">
        <v>0</v>
      </c>
      <c r="AS240" s="190">
        <v>0</v>
      </c>
      <c r="AT240" s="190">
        <v>0</v>
      </c>
      <c r="AU240" s="187">
        <v>0</v>
      </c>
      <c r="AV240" s="187">
        <v>0</v>
      </c>
      <c r="AW240" s="191"/>
      <c r="AX240" s="192"/>
      <c r="AY240" s="193">
        <v>42666</v>
      </c>
      <c r="AZ240" s="193"/>
      <c r="BA240" s="193"/>
      <c r="BB240" s="194"/>
      <c r="BC240" s="194"/>
      <c r="BD240" s="195"/>
      <c r="BE240" s="195" t="s">
        <v>532</v>
      </c>
      <c r="BF240" s="195"/>
      <c r="BG240" s="195">
        <v>4</v>
      </c>
      <c r="BH240" s="196" t="s">
        <v>547</v>
      </c>
      <c r="BI240" s="197">
        <v>1</v>
      </c>
      <c r="BJ240" s="198"/>
      <c r="BK240" s="199">
        <v>4</v>
      </c>
      <c r="BL240" s="13">
        <v>3</v>
      </c>
      <c r="BM240" s="13">
        <v>1</v>
      </c>
      <c r="BN240" s="13" t="s">
        <v>620</v>
      </c>
      <c r="BO240" s="13" t="s">
        <v>620</v>
      </c>
      <c r="BP240" s="200">
        <v>0</v>
      </c>
      <c r="BQ240" s="201"/>
      <c r="BR240" s="202"/>
      <c r="BS240" s="187">
        <v>1000000000</v>
      </c>
      <c r="BT240" s="203">
        <v>8</v>
      </c>
      <c r="BU240" s="204">
        <v>-1</v>
      </c>
      <c r="BV240" s="203">
        <v>0</v>
      </c>
      <c r="BW240" s="205">
        <v>0</v>
      </c>
      <c r="BX240" s="205">
        <v>0</v>
      </c>
      <c r="BY240" s="205">
        <v>0</v>
      </c>
      <c r="BZ240" s="203">
        <v>0</v>
      </c>
      <c r="CA240" s="203">
        <v>0</v>
      </c>
      <c r="CB240" s="203">
        <v>8</v>
      </c>
      <c r="CC240" s="204">
        <v>-1</v>
      </c>
      <c r="CD240" s="203">
        <v>0</v>
      </c>
      <c r="CE240" s="203">
        <v>0</v>
      </c>
      <c r="CF240" s="13">
        <v>0</v>
      </c>
      <c r="CG240" s="206">
        <v>0</v>
      </c>
      <c r="CH240" s="207">
        <v>2</v>
      </c>
      <c r="CI240" s="201"/>
      <c r="CJ240" s="208"/>
      <c r="CK240" s="209" t="s">
        <v>615</v>
      </c>
      <c r="CL240" s="210" t="s">
        <v>615</v>
      </c>
      <c r="CM240" s="207">
        <v>0</v>
      </c>
      <c r="CN240" s="207">
        <v>146.63999999999999</v>
      </c>
      <c r="CO240" s="204">
        <v>0</v>
      </c>
      <c r="CP240" s="204">
        <v>-6.8571428571428568</v>
      </c>
      <c r="CQ240" s="211"/>
      <c r="CR240" s="204">
        <v>1</v>
      </c>
      <c r="CS240" s="212">
        <v>42558</v>
      </c>
      <c r="CT240" s="212">
        <v>42780</v>
      </c>
      <c r="CU240" s="213">
        <v>42780</v>
      </c>
      <c r="CV240" s="214">
        <v>42829</v>
      </c>
      <c r="CW240" s="214" t="s">
        <v>615</v>
      </c>
      <c r="CX240" s="214" t="s">
        <v>615</v>
      </c>
      <c r="CY240" s="204">
        <v>0</v>
      </c>
      <c r="CZ240" s="204">
        <v>0.97959183673469385</v>
      </c>
      <c r="DA240" s="203">
        <v>0</v>
      </c>
      <c r="DB240" s="204">
        <v>0</v>
      </c>
      <c r="DC240" s="204">
        <v>0</v>
      </c>
      <c r="DD240" s="204">
        <v>0</v>
      </c>
      <c r="DE240" s="204">
        <v>0</v>
      </c>
      <c r="DF240" s="215">
        <v>0.97959183673469385</v>
      </c>
      <c r="DG240" s="13" t="s">
        <v>615</v>
      </c>
      <c r="DH240" s="86">
        <v>238</v>
      </c>
      <c r="DI240" s="86"/>
      <c r="DJ240" s="86">
        <v>4</v>
      </c>
      <c r="DK240" s="86" t="s">
        <v>1465</v>
      </c>
      <c r="DL240" s="86" t="e">
        <v>#N/A</v>
      </c>
      <c r="DM240" s="86">
        <v>4</v>
      </c>
      <c r="DN240" s="86" t="e">
        <v>#N/A</v>
      </c>
      <c r="DO240" s="86">
        <v>4</v>
      </c>
      <c r="DP240" s="86">
        <v>2</v>
      </c>
      <c r="DQ240" s="86">
        <v>49</v>
      </c>
      <c r="DR240" s="152">
        <v>8</v>
      </c>
      <c r="DS240" s="152">
        <v>8</v>
      </c>
      <c r="DT240" s="152">
        <v>8</v>
      </c>
      <c r="DU240" s="152">
        <v>8</v>
      </c>
      <c r="DV240" s="152">
        <v>8</v>
      </c>
      <c r="DW240" s="152">
        <v>8</v>
      </c>
      <c r="DX240" s="152">
        <v>8</v>
      </c>
      <c r="DY240" s="152">
        <v>8</v>
      </c>
      <c r="DZ240" s="152">
        <v>8</v>
      </c>
      <c r="EA240" s="152">
        <v>8</v>
      </c>
      <c r="EB240" s="152">
        <v>8</v>
      </c>
      <c r="EC240" s="152">
        <v>8</v>
      </c>
      <c r="ED240" s="152">
        <v>8</v>
      </c>
      <c r="EE240" s="152">
        <v>8</v>
      </c>
      <c r="EF240" s="152">
        <v>8</v>
      </c>
      <c r="EG240" s="152">
        <v>8</v>
      </c>
      <c r="EH240" s="152">
        <v>8</v>
      </c>
      <c r="EI240" s="152">
        <v>8</v>
      </c>
      <c r="EJ240" s="152">
        <v>8</v>
      </c>
      <c r="EK240" s="152">
        <v>8</v>
      </c>
      <c r="EL240" s="152">
        <v>8</v>
      </c>
      <c r="EM240" s="152">
        <v>8</v>
      </c>
      <c r="EN240" s="152">
        <v>8</v>
      </c>
      <c r="EO240" s="152">
        <v>8</v>
      </c>
      <c r="EP240" s="152">
        <v>8</v>
      </c>
      <c r="EQ240" s="152">
        <v>8</v>
      </c>
      <c r="ER240" s="152">
        <v>8</v>
      </c>
      <c r="ES240" s="152">
        <v>8</v>
      </c>
      <c r="ET240" s="152">
        <v>8</v>
      </c>
      <c r="EU240" s="152">
        <v>8</v>
      </c>
      <c r="EV240" s="152">
        <v>8</v>
      </c>
      <c r="EW240" s="152">
        <v>8</v>
      </c>
      <c r="EX240" s="152">
        <v>8</v>
      </c>
      <c r="EY240" s="152">
        <v>8</v>
      </c>
      <c r="EZ240" s="152">
        <v>8</v>
      </c>
      <c r="FA240" s="152">
        <v>8</v>
      </c>
      <c r="FB240" s="152">
        <v>8</v>
      </c>
      <c r="FC240" s="152">
        <v>8</v>
      </c>
      <c r="FD240" s="152">
        <v>8</v>
      </c>
      <c r="FE240" s="152">
        <v>8</v>
      </c>
      <c r="FF240" s="152">
        <v>8</v>
      </c>
      <c r="FG240" s="152">
        <v>8</v>
      </c>
      <c r="FH240" s="152">
        <v>8</v>
      </c>
      <c r="FI240" s="152">
        <v>8</v>
      </c>
      <c r="FJ240" s="152">
        <v>8</v>
      </c>
      <c r="FK240" s="152">
        <v>8</v>
      </c>
      <c r="FL240" s="152">
        <v>8</v>
      </c>
      <c r="FM240" s="152">
        <v>8</v>
      </c>
      <c r="FN240" s="152">
        <v>8</v>
      </c>
      <c r="FO240" s="152">
        <v>8</v>
      </c>
      <c r="FP240" s="152">
        <v>8</v>
      </c>
      <c r="FQ240" s="152">
        <v>8</v>
      </c>
      <c r="FR240" s="152">
        <v>8</v>
      </c>
      <c r="FS240" s="167">
        <v>8</v>
      </c>
      <c r="FT240" s="167">
        <v>8</v>
      </c>
      <c r="FU240" s="167">
        <v>8</v>
      </c>
      <c r="FV240" s="167">
        <v>8</v>
      </c>
      <c r="FW240" s="167">
        <v>8</v>
      </c>
      <c r="FX240" s="167">
        <v>8</v>
      </c>
      <c r="FY240" s="167">
        <v>8</v>
      </c>
      <c r="FZ240" s="167">
        <v>8</v>
      </c>
      <c r="GA240" s="167">
        <v>8</v>
      </c>
      <c r="GB240" s="167">
        <v>8</v>
      </c>
      <c r="GC240" s="167">
        <v>8</v>
      </c>
      <c r="GD240" s="167">
        <v>8</v>
      </c>
      <c r="GE240" s="167">
        <v>8</v>
      </c>
      <c r="GF240" s="167">
        <v>8</v>
      </c>
      <c r="GG240" s="167">
        <v>8</v>
      </c>
      <c r="GH240" s="167">
        <v>8</v>
      </c>
      <c r="GI240" s="167">
        <v>8</v>
      </c>
      <c r="GJ240" s="167">
        <v>8</v>
      </c>
      <c r="GK240" s="167">
        <v>8</v>
      </c>
      <c r="GL240" s="167">
        <v>8</v>
      </c>
      <c r="GM240" s="167">
        <v>8</v>
      </c>
      <c r="GN240" s="167">
        <v>8</v>
      </c>
      <c r="GO240" s="167">
        <v>8</v>
      </c>
      <c r="GP240" s="167">
        <v>8</v>
      </c>
      <c r="GQ240" s="167">
        <v>8</v>
      </c>
      <c r="GR240" s="167">
        <v>8</v>
      </c>
      <c r="GS240" s="167">
        <v>8</v>
      </c>
      <c r="GT240" s="167">
        <v>8</v>
      </c>
      <c r="GU240" s="167">
        <v>8</v>
      </c>
      <c r="GV240" s="167">
        <v>8</v>
      </c>
      <c r="GW240" s="167">
        <v>8</v>
      </c>
      <c r="GX240" s="167">
        <v>8</v>
      </c>
      <c r="GY240" s="167">
        <v>8</v>
      </c>
      <c r="GZ240" s="167">
        <v>8</v>
      </c>
      <c r="HA240" s="167">
        <v>8</v>
      </c>
      <c r="HB240" s="167">
        <v>8</v>
      </c>
      <c r="HC240" s="167">
        <v>8</v>
      </c>
      <c r="HD240" s="167">
        <v>8</v>
      </c>
      <c r="HE240" s="167">
        <v>8</v>
      </c>
      <c r="HF240" s="167">
        <v>8</v>
      </c>
      <c r="HG240" s="167">
        <v>8</v>
      </c>
      <c r="HH240" s="167">
        <v>8</v>
      </c>
      <c r="HI240" s="167">
        <v>8</v>
      </c>
      <c r="HJ240" s="167">
        <v>8</v>
      </c>
      <c r="HK240" s="167">
        <v>8</v>
      </c>
      <c r="HL240" s="167">
        <v>8</v>
      </c>
      <c r="HM240" s="167">
        <v>8</v>
      </c>
      <c r="HN240" s="167">
        <v>8</v>
      </c>
      <c r="HO240" s="167">
        <v>8</v>
      </c>
      <c r="HP240" s="167">
        <v>8</v>
      </c>
      <c r="HQ240" s="167">
        <v>8</v>
      </c>
      <c r="HR240" s="167">
        <v>8</v>
      </c>
      <c r="HS240" s="167">
        <v>8</v>
      </c>
      <c r="HT240" s="167">
        <v>8</v>
      </c>
      <c r="HU240" s="216"/>
      <c r="HV240" s="167">
        <v>8</v>
      </c>
      <c r="HW240" s="216"/>
      <c r="HX240" s="216"/>
      <c r="HY240" s="216"/>
      <c r="HZ240" s="216"/>
      <c r="IA240" s="216"/>
      <c r="IB240" s="216"/>
      <c r="IC240" s="216"/>
      <c r="ID240" s="216"/>
      <c r="IE240" s="216"/>
      <c r="IF240" s="216"/>
      <c r="IG240" s="216"/>
      <c r="IH240" s="216"/>
      <c r="II240" s="216"/>
      <c r="IJ240" s="216"/>
      <c r="IK240" s="216"/>
      <c r="IL240" s="216"/>
      <c r="IM240" s="216"/>
      <c r="IN240" s="216"/>
      <c r="IO240" s="216"/>
      <c r="IP240" s="216"/>
      <c r="IQ240" s="216"/>
      <c r="IR240" s="216"/>
      <c r="IS240" s="216"/>
      <c r="IT240" s="216"/>
      <c r="IU240" s="216"/>
      <c r="IV240" s="216"/>
      <c r="IW240" s="216"/>
      <c r="IX240" s="216"/>
      <c r="IY240" s="216"/>
      <c r="IZ240" s="216"/>
      <c r="JA240" s="216"/>
      <c r="JB240" s="216"/>
      <c r="JC240" s="216"/>
      <c r="JD240" s="216"/>
      <c r="JE240" s="216"/>
      <c r="JF240" s="216"/>
      <c r="JG240" s="216"/>
      <c r="JH240" s="216"/>
      <c r="JI240" s="216"/>
      <c r="JJ240" s="216"/>
      <c r="JK240" s="216"/>
      <c r="JL240" s="216"/>
      <c r="JM240" s="216"/>
      <c r="JN240" s="216"/>
      <c r="JO240" s="216"/>
      <c r="JP240" s="216"/>
      <c r="JQ240" s="216"/>
      <c r="JR240" s="216"/>
      <c r="JS240" s="216"/>
      <c r="JT240" s="216"/>
      <c r="JU240" s="216"/>
      <c r="JV240" s="216"/>
      <c r="JW240" s="216"/>
      <c r="JX240" s="216"/>
      <c r="JY240" s="216"/>
      <c r="JZ240" s="216"/>
      <c r="KA240" s="216"/>
      <c r="KB240" s="216"/>
      <c r="KC240" s="216"/>
      <c r="KD240" s="216"/>
      <c r="KE240" s="216"/>
      <c r="KF240" s="216"/>
      <c r="KG240" s="216"/>
      <c r="KH240" s="216"/>
      <c r="KI240" s="216"/>
      <c r="KJ240" s="216"/>
      <c r="KK240" s="216"/>
      <c r="KL240" s="216"/>
      <c r="KM240" s="216"/>
      <c r="KN240" s="216"/>
      <c r="KO240" s="216"/>
      <c r="KP240" s="216"/>
      <c r="KQ240" s="216"/>
      <c r="KR240" s="216"/>
      <c r="KS240" s="216"/>
      <c r="KT240" s="216"/>
      <c r="KU240" s="216"/>
      <c r="KV240" s="216"/>
      <c r="KW240" s="216"/>
      <c r="KX240" s="216"/>
      <c r="KY240" s="216"/>
      <c r="KZ240" s="216"/>
      <c r="LA240" s="216"/>
      <c r="LB240" s="216"/>
      <c r="LC240" s="216"/>
      <c r="LD240" s="216"/>
      <c r="LE240" s="216"/>
    </row>
    <row r="241" spans="1:317" x14ac:dyDescent="0.2">
      <c r="A241" s="179" t="s">
        <v>849</v>
      </c>
      <c r="B241" s="180" t="s">
        <v>1140</v>
      </c>
      <c r="C241" s="181"/>
      <c r="D241" s="182">
        <v>0</v>
      </c>
      <c r="E241" s="182">
        <v>0</v>
      </c>
      <c r="F241" s="183" t="s">
        <v>1329</v>
      </c>
      <c r="G241" s="183">
        <v>0</v>
      </c>
      <c r="H241" s="183">
        <v>0</v>
      </c>
      <c r="I241" s="183">
        <v>0</v>
      </c>
      <c r="J241" s="183">
        <v>0</v>
      </c>
      <c r="K241" s="183" t="s">
        <v>1395</v>
      </c>
      <c r="L241" s="183">
        <v>0</v>
      </c>
      <c r="M241" s="183">
        <v>0</v>
      </c>
      <c r="N241" s="183" t="s">
        <v>872</v>
      </c>
      <c r="O241" s="183">
        <v>0</v>
      </c>
      <c r="P241" s="183">
        <v>0</v>
      </c>
      <c r="Q241" s="183"/>
      <c r="R241" s="183"/>
      <c r="S241" s="183"/>
      <c r="T241" s="183"/>
      <c r="U241" s="183"/>
      <c r="V241" s="183">
        <v>0</v>
      </c>
      <c r="W241" s="183">
        <v>0</v>
      </c>
      <c r="X241" s="183">
        <v>0</v>
      </c>
      <c r="Y241" s="184">
        <v>30.15</v>
      </c>
      <c r="Z241" s="184">
        <v>0</v>
      </c>
      <c r="AA241" s="184">
        <v>0</v>
      </c>
      <c r="AB241" s="185" t="s">
        <v>615</v>
      </c>
      <c r="AC241" s="185" t="s">
        <v>615</v>
      </c>
      <c r="AD241" s="186" t="s">
        <v>872</v>
      </c>
      <c r="AE241" s="186" t="s">
        <v>852</v>
      </c>
      <c r="AF241" s="187">
        <v>7</v>
      </c>
      <c r="AG241" s="187">
        <v>3</v>
      </c>
      <c r="AH241" s="187">
        <v>4</v>
      </c>
      <c r="AI241" s="188">
        <v>1</v>
      </c>
      <c r="AJ241" s="188" t="s">
        <v>615</v>
      </c>
      <c r="AK241" s="187" t="s">
        <v>1738</v>
      </c>
      <c r="AL241" s="87" t="s">
        <v>615</v>
      </c>
      <c r="AM241" s="189"/>
      <c r="AN241" s="187" t="s">
        <v>615</v>
      </c>
      <c r="AO241" s="13" t="s">
        <v>615</v>
      </c>
      <c r="AP241" s="187">
        <v>0</v>
      </c>
      <c r="AQ241" s="187">
        <v>0</v>
      </c>
      <c r="AR241" s="190">
        <v>0</v>
      </c>
      <c r="AS241" s="190">
        <v>0</v>
      </c>
      <c r="AT241" s="190">
        <v>0</v>
      </c>
      <c r="AU241" s="187">
        <v>0</v>
      </c>
      <c r="AV241" s="187">
        <v>0</v>
      </c>
      <c r="AW241" s="191"/>
      <c r="AX241" s="192"/>
      <c r="AY241" s="193">
        <v>42666</v>
      </c>
      <c r="AZ241" s="193"/>
      <c r="BA241" s="193"/>
      <c r="BB241" s="194"/>
      <c r="BC241" s="194"/>
      <c r="BD241" s="195"/>
      <c r="BE241" s="195" t="s">
        <v>532</v>
      </c>
      <c r="BF241" s="195"/>
      <c r="BG241" s="195">
        <v>4</v>
      </c>
      <c r="BH241" s="196" t="s">
        <v>547</v>
      </c>
      <c r="BI241" s="197">
        <v>1</v>
      </c>
      <c r="BJ241" s="198"/>
      <c r="BK241" s="199">
        <v>0</v>
      </c>
      <c r="BL241" s="13">
        <v>0</v>
      </c>
      <c r="BM241" s="13">
        <v>0</v>
      </c>
      <c r="BN241" s="13" t="s">
        <v>616</v>
      </c>
      <c r="BO241" s="13" t="s">
        <v>616</v>
      </c>
      <c r="BP241" s="200">
        <v>4</v>
      </c>
      <c r="BQ241" s="201"/>
      <c r="BR241" s="202"/>
      <c r="BS241" s="187">
        <v>1000000000</v>
      </c>
      <c r="BT241" s="203">
        <v>0</v>
      </c>
      <c r="BU241" s="204">
        <v>0</v>
      </c>
      <c r="BV241" s="203">
        <v>0</v>
      </c>
      <c r="BW241" s="205">
        <v>0</v>
      </c>
      <c r="BX241" s="205">
        <v>0</v>
      </c>
      <c r="BY241" s="205">
        <v>0</v>
      </c>
      <c r="BZ241" s="203">
        <v>0</v>
      </c>
      <c r="CA241" s="203">
        <v>0</v>
      </c>
      <c r="CB241" s="203">
        <v>0</v>
      </c>
      <c r="CC241" s="204">
        <v>0</v>
      </c>
      <c r="CD241" s="203">
        <v>0</v>
      </c>
      <c r="CE241" s="203">
        <v>0</v>
      </c>
      <c r="CF241" s="13">
        <v>0</v>
      </c>
      <c r="CG241" s="206">
        <v>0</v>
      </c>
      <c r="CH241" s="207">
        <v>0</v>
      </c>
      <c r="CI241" s="201"/>
      <c r="CJ241" s="208"/>
      <c r="CK241" s="209" t="s">
        <v>615</v>
      </c>
      <c r="CL241" s="210" t="s">
        <v>615</v>
      </c>
      <c r="CM241" s="207">
        <v>0</v>
      </c>
      <c r="CN241" s="207">
        <v>0</v>
      </c>
      <c r="CO241" s="204">
        <v>0</v>
      </c>
      <c r="CP241" s="204">
        <v>0</v>
      </c>
      <c r="CQ241" s="211"/>
      <c r="CR241" s="204">
        <v>1</v>
      </c>
      <c r="CS241" s="212">
        <v>42558</v>
      </c>
      <c r="CT241" s="212">
        <v>42780</v>
      </c>
      <c r="CU241" s="213">
        <v>42780</v>
      </c>
      <c r="CV241" s="214">
        <v>42829</v>
      </c>
      <c r="CW241" s="214" t="s">
        <v>615</v>
      </c>
      <c r="CX241" s="214" t="s">
        <v>615</v>
      </c>
      <c r="CY241" s="204">
        <v>1</v>
      </c>
      <c r="CZ241" s="204">
        <v>0.97959183673469385</v>
      </c>
      <c r="DA241" s="203">
        <v>0</v>
      </c>
      <c r="DB241" s="204">
        <v>0.97959183673469385</v>
      </c>
      <c r="DC241" s="204">
        <v>0</v>
      </c>
      <c r="DD241" s="204">
        <v>0</v>
      </c>
      <c r="DE241" s="204">
        <v>0</v>
      </c>
      <c r="DF241" s="215">
        <v>0</v>
      </c>
      <c r="DG241" s="13" t="s">
        <v>615</v>
      </c>
      <c r="DH241" s="86">
        <v>239</v>
      </c>
      <c r="DI241" s="86"/>
      <c r="DJ241" s="86">
        <v>6</v>
      </c>
      <c r="DK241" s="86" t="s">
        <v>1520</v>
      </c>
      <c r="DL241" s="86" t="e">
        <v>#N/A</v>
      </c>
      <c r="DM241" s="86" t="e">
        <v>#N/A</v>
      </c>
      <c r="DN241" s="86" t="e">
        <v>#N/A</v>
      </c>
      <c r="DO241" s="86">
        <v>6</v>
      </c>
      <c r="DP241" s="86">
        <v>2</v>
      </c>
      <c r="DQ241" s="86">
        <v>49</v>
      </c>
      <c r="DR241" s="146">
        <v>0</v>
      </c>
      <c r="DS241" s="146">
        <v>0</v>
      </c>
      <c r="DT241" s="146">
        <v>0</v>
      </c>
      <c r="DU241" s="146">
        <v>0</v>
      </c>
      <c r="DV241" s="146">
        <v>0</v>
      </c>
      <c r="DW241" s="146">
        <v>0</v>
      </c>
      <c r="DX241" s="146">
        <v>0</v>
      </c>
      <c r="DY241" s="146">
        <v>0</v>
      </c>
      <c r="DZ241" s="146">
        <v>0</v>
      </c>
      <c r="EA241" s="146">
        <v>0</v>
      </c>
      <c r="EB241" s="146">
        <v>0</v>
      </c>
      <c r="EC241" s="146">
        <v>0</v>
      </c>
      <c r="ED241" s="146">
        <v>0</v>
      </c>
      <c r="EE241" s="146">
        <v>0</v>
      </c>
      <c r="EF241" s="146">
        <v>0</v>
      </c>
      <c r="EG241" s="146">
        <v>0</v>
      </c>
      <c r="EH241" s="146">
        <v>0</v>
      </c>
      <c r="EI241" s="146">
        <v>0</v>
      </c>
      <c r="EJ241" s="146">
        <v>0</v>
      </c>
      <c r="EK241" s="146">
        <v>0</v>
      </c>
      <c r="EL241" s="146">
        <v>0</v>
      </c>
      <c r="EM241" s="146">
        <v>0</v>
      </c>
      <c r="EN241" s="146">
        <v>0</v>
      </c>
      <c r="EO241" s="146">
        <v>0</v>
      </c>
      <c r="EP241" s="146">
        <v>0</v>
      </c>
      <c r="EQ241" s="146">
        <v>0</v>
      </c>
      <c r="ER241" s="146">
        <v>0</v>
      </c>
      <c r="ES241" s="146">
        <v>0</v>
      </c>
      <c r="ET241" s="146">
        <v>0</v>
      </c>
      <c r="EU241" s="146">
        <v>0</v>
      </c>
      <c r="EV241" s="146">
        <v>0</v>
      </c>
      <c r="EW241" s="146">
        <v>0</v>
      </c>
      <c r="EX241" s="146">
        <v>0</v>
      </c>
      <c r="EY241" s="146">
        <v>0</v>
      </c>
      <c r="EZ241" s="146">
        <v>0</v>
      </c>
      <c r="FA241" s="146">
        <v>0</v>
      </c>
      <c r="FB241" s="146">
        <v>0</v>
      </c>
      <c r="FC241" s="146">
        <v>0</v>
      </c>
      <c r="FD241" s="146">
        <v>0</v>
      </c>
      <c r="FE241" s="146">
        <v>0</v>
      </c>
      <c r="FF241" s="146">
        <v>0</v>
      </c>
      <c r="FG241" s="146">
        <v>0</v>
      </c>
      <c r="FH241" s="146">
        <v>0</v>
      </c>
      <c r="FI241" s="146">
        <v>0</v>
      </c>
      <c r="FJ241" s="146">
        <v>0</v>
      </c>
      <c r="FK241" s="146">
        <v>0</v>
      </c>
      <c r="FL241" s="146">
        <v>0</v>
      </c>
      <c r="FM241" s="146">
        <v>0</v>
      </c>
      <c r="FN241" s="146">
        <v>0</v>
      </c>
      <c r="FO241" s="146">
        <v>0</v>
      </c>
      <c r="FP241" s="146">
        <v>0</v>
      </c>
      <c r="FQ241" s="146">
        <v>0</v>
      </c>
      <c r="FR241" s="146">
        <v>0</v>
      </c>
      <c r="FS241" s="160">
        <v>0</v>
      </c>
      <c r="FT241" s="160">
        <v>0</v>
      </c>
      <c r="FU241" s="160">
        <v>0</v>
      </c>
      <c r="FV241" s="160">
        <v>0</v>
      </c>
      <c r="FW241" s="160">
        <v>0</v>
      </c>
      <c r="FX241" s="160">
        <v>0</v>
      </c>
      <c r="FY241" s="160">
        <v>0</v>
      </c>
      <c r="FZ241" s="160">
        <v>0</v>
      </c>
      <c r="GA241" s="160">
        <v>0</v>
      </c>
      <c r="GB241" s="160">
        <v>0</v>
      </c>
      <c r="GC241" s="160">
        <v>0</v>
      </c>
      <c r="GD241" s="160">
        <v>0</v>
      </c>
      <c r="GE241" s="160">
        <v>0</v>
      </c>
      <c r="GF241" s="160">
        <v>0</v>
      </c>
      <c r="GG241" s="160">
        <v>0</v>
      </c>
      <c r="GH241" s="160">
        <v>0</v>
      </c>
      <c r="GI241" s="160">
        <v>0</v>
      </c>
      <c r="GJ241" s="160">
        <v>0</v>
      </c>
      <c r="GK241" s="160">
        <v>0</v>
      </c>
      <c r="GL241" s="160">
        <v>0</v>
      </c>
      <c r="GM241" s="160">
        <v>0</v>
      </c>
      <c r="GN241" s="160">
        <v>0</v>
      </c>
      <c r="GO241" s="160">
        <v>0</v>
      </c>
      <c r="GP241" s="160">
        <v>0</v>
      </c>
      <c r="GQ241" s="160">
        <v>0</v>
      </c>
      <c r="GR241" s="160">
        <v>0</v>
      </c>
      <c r="GS241" s="160">
        <v>0</v>
      </c>
      <c r="GT241" s="160">
        <v>0</v>
      </c>
      <c r="GU241" s="160">
        <v>0</v>
      </c>
      <c r="GV241" s="160">
        <v>0</v>
      </c>
      <c r="GW241" s="160">
        <v>0</v>
      </c>
      <c r="GX241" s="160">
        <v>0</v>
      </c>
      <c r="GY241" s="160">
        <v>0</v>
      </c>
      <c r="GZ241" s="160">
        <v>0</v>
      </c>
      <c r="HA241" s="160">
        <v>0</v>
      </c>
      <c r="HB241" s="160">
        <v>0</v>
      </c>
      <c r="HC241" s="160">
        <v>0</v>
      </c>
      <c r="HD241" s="160">
        <v>0</v>
      </c>
      <c r="HE241" s="160">
        <v>0</v>
      </c>
      <c r="HF241" s="160">
        <v>0</v>
      </c>
      <c r="HG241" s="160">
        <v>0</v>
      </c>
      <c r="HH241" s="146">
        <v>0</v>
      </c>
      <c r="HI241" s="146">
        <v>0</v>
      </c>
      <c r="HJ241" s="146">
        <v>0</v>
      </c>
      <c r="HK241" s="146">
        <v>0</v>
      </c>
      <c r="HL241" s="146">
        <v>0</v>
      </c>
      <c r="HM241" s="146">
        <v>0</v>
      </c>
      <c r="HN241" s="146">
        <v>0</v>
      </c>
      <c r="HO241" s="146">
        <v>0</v>
      </c>
      <c r="HP241" s="146">
        <v>0</v>
      </c>
      <c r="HQ241" s="146">
        <v>0</v>
      </c>
      <c r="HR241" s="146">
        <v>0</v>
      </c>
      <c r="HS241" s="146">
        <v>0</v>
      </c>
      <c r="HT241" s="146">
        <v>0</v>
      </c>
      <c r="HU241" s="151"/>
      <c r="HV241" s="146">
        <v>0</v>
      </c>
      <c r="HW241" s="151"/>
      <c r="HX241" s="151"/>
      <c r="HY241" s="151"/>
      <c r="HZ241" s="151"/>
      <c r="IA241" s="151"/>
      <c r="IB241" s="151"/>
      <c r="IC241" s="151"/>
      <c r="ID241" s="151"/>
      <c r="IE241" s="151"/>
      <c r="IF241" s="151"/>
      <c r="IG241" s="151"/>
      <c r="IH241" s="151"/>
      <c r="II241" s="151"/>
      <c r="IJ241" s="151"/>
      <c r="IK241" s="151"/>
      <c r="IL241" s="151"/>
      <c r="IM241" s="151"/>
      <c r="IN241" s="151"/>
      <c r="IO241" s="151"/>
      <c r="IP241" s="151"/>
      <c r="IQ241" s="151"/>
      <c r="IR241" s="151"/>
      <c r="IS241" s="151"/>
      <c r="IT241" s="151"/>
      <c r="IU241" s="151"/>
      <c r="IV241" s="151"/>
      <c r="IW241" s="151"/>
      <c r="IX241" s="151"/>
      <c r="IY241" s="151"/>
      <c r="IZ241" s="151"/>
      <c r="JA241" s="151"/>
      <c r="JB241" s="151"/>
      <c r="JC241" s="151"/>
      <c r="JD241" s="151"/>
      <c r="JE241" s="151"/>
      <c r="JF241" s="151"/>
      <c r="JG241" s="151"/>
      <c r="JH241" s="151"/>
      <c r="JI241" s="151"/>
      <c r="JJ241" s="151"/>
      <c r="JK241" s="151"/>
      <c r="JL241" s="151"/>
      <c r="JM241" s="151"/>
      <c r="JN241" s="151"/>
      <c r="JO241" s="151"/>
      <c r="JP241" s="151"/>
      <c r="JQ241" s="151"/>
      <c r="JR241" s="151"/>
      <c r="JS241" s="151"/>
      <c r="JT241" s="151"/>
      <c r="JU241" s="151"/>
      <c r="JV241" s="151"/>
      <c r="JW241" s="151"/>
      <c r="JX241" s="151"/>
      <c r="JY241" s="151"/>
      <c r="JZ241" s="151"/>
      <c r="KA241" s="151"/>
      <c r="KB241" s="151"/>
      <c r="KC241" s="151"/>
      <c r="KD241" s="151"/>
      <c r="KE241" s="151"/>
      <c r="KF241" s="151"/>
      <c r="KG241" s="151"/>
      <c r="KH241" s="151"/>
      <c r="KI241" s="151"/>
      <c r="KJ241" s="151"/>
      <c r="KK241" s="151"/>
      <c r="KL241" s="151"/>
      <c r="KM241" s="151"/>
      <c r="KN241" s="151"/>
      <c r="KO241" s="151"/>
      <c r="KP241" s="151"/>
      <c r="KQ241" s="151"/>
      <c r="KR241" s="151"/>
      <c r="KS241" s="151"/>
      <c r="KT241" s="151"/>
      <c r="KU241" s="151"/>
      <c r="KV241" s="151"/>
      <c r="KW241" s="151"/>
      <c r="KX241" s="151"/>
      <c r="KY241" s="151"/>
      <c r="KZ241" s="151"/>
      <c r="LA241" s="151"/>
      <c r="LB241" s="151"/>
      <c r="LC241" s="151"/>
      <c r="LD241" s="151"/>
      <c r="LE241" s="151"/>
    </row>
    <row r="242" spans="1:317" x14ac:dyDescent="0.2">
      <c r="A242" s="179" t="s">
        <v>849</v>
      </c>
      <c r="B242" s="180" t="s">
        <v>1141</v>
      </c>
      <c r="C242" s="181"/>
      <c r="D242" s="182">
        <v>0</v>
      </c>
      <c r="E242" s="182">
        <v>0</v>
      </c>
      <c r="F242" s="183" t="s">
        <v>1330</v>
      </c>
      <c r="G242" s="183">
        <v>0</v>
      </c>
      <c r="H242" s="183">
        <v>0</v>
      </c>
      <c r="I242" s="183">
        <v>0</v>
      </c>
      <c r="J242" s="183">
        <v>0</v>
      </c>
      <c r="K242" s="183" t="s">
        <v>1390</v>
      </c>
      <c r="L242" s="183">
        <v>0</v>
      </c>
      <c r="M242" s="183">
        <v>0</v>
      </c>
      <c r="N242" s="183" t="s">
        <v>872</v>
      </c>
      <c r="O242" s="183">
        <v>0</v>
      </c>
      <c r="P242" s="183">
        <v>0</v>
      </c>
      <c r="Q242" s="183"/>
      <c r="R242" s="183"/>
      <c r="S242" s="183"/>
      <c r="T242" s="183"/>
      <c r="U242" s="183"/>
      <c r="V242" s="183">
        <v>0</v>
      </c>
      <c r="W242" s="183">
        <v>0</v>
      </c>
      <c r="X242" s="183">
        <v>0</v>
      </c>
      <c r="Y242" s="184">
        <v>37.799999999999997</v>
      </c>
      <c r="Z242" s="184">
        <v>0</v>
      </c>
      <c r="AA242" s="184">
        <v>0</v>
      </c>
      <c r="AB242" s="185" t="s">
        <v>615</v>
      </c>
      <c r="AC242" s="185" t="s">
        <v>615</v>
      </c>
      <c r="AD242" s="186" t="s">
        <v>872</v>
      </c>
      <c r="AE242" s="186" t="s">
        <v>852</v>
      </c>
      <c r="AF242" s="187">
        <v>7</v>
      </c>
      <c r="AG242" s="187">
        <v>3</v>
      </c>
      <c r="AH242" s="187">
        <v>4</v>
      </c>
      <c r="AI242" s="188">
        <v>1</v>
      </c>
      <c r="AJ242" s="188" t="s">
        <v>615</v>
      </c>
      <c r="AK242" s="187" t="s">
        <v>1738</v>
      </c>
      <c r="AL242" s="87" t="s">
        <v>615</v>
      </c>
      <c r="AM242" s="189"/>
      <c r="AN242" s="187" t="s">
        <v>615</v>
      </c>
      <c r="AO242" s="13" t="s">
        <v>615</v>
      </c>
      <c r="AP242" s="187">
        <v>0</v>
      </c>
      <c r="AQ242" s="187">
        <v>0</v>
      </c>
      <c r="AR242" s="190">
        <v>0</v>
      </c>
      <c r="AS242" s="190">
        <v>0</v>
      </c>
      <c r="AT242" s="190">
        <v>0</v>
      </c>
      <c r="AU242" s="187">
        <v>0</v>
      </c>
      <c r="AV242" s="187">
        <v>0</v>
      </c>
      <c r="AW242" s="191"/>
      <c r="AX242" s="192"/>
      <c r="AY242" s="193">
        <v>42666</v>
      </c>
      <c r="AZ242" s="193"/>
      <c r="BA242" s="193"/>
      <c r="BB242" s="194"/>
      <c r="BC242" s="194"/>
      <c r="BD242" s="195"/>
      <c r="BE242" s="195" t="s">
        <v>532</v>
      </c>
      <c r="BF242" s="195"/>
      <c r="BG242" s="195">
        <v>4</v>
      </c>
      <c r="BH242" s="196" t="s">
        <v>547</v>
      </c>
      <c r="BI242" s="197">
        <v>1</v>
      </c>
      <c r="BJ242" s="198"/>
      <c r="BK242" s="199">
        <v>0</v>
      </c>
      <c r="BL242" s="13">
        <v>0</v>
      </c>
      <c r="BM242" s="13">
        <v>0</v>
      </c>
      <c r="BN242" s="13" t="s">
        <v>616</v>
      </c>
      <c r="BO242" s="13" t="s">
        <v>616</v>
      </c>
      <c r="BP242" s="200">
        <v>4</v>
      </c>
      <c r="BQ242" s="201"/>
      <c r="BR242" s="202"/>
      <c r="BS242" s="187">
        <v>1000000000</v>
      </c>
      <c r="BT242" s="203">
        <v>6</v>
      </c>
      <c r="BU242" s="204">
        <v>0</v>
      </c>
      <c r="BV242" s="203">
        <v>0</v>
      </c>
      <c r="BW242" s="205">
        <v>0</v>
      </c>
      <c r="BX242" s="205">
        <v>0</v>
      </c>
      <c r="BY242" s="205">
        <v>0</v>
      </c>
      <c r="BZ242" s="203">
        <v>0</v>
      </c>
      <c r="CA242" s="203">
        <v>0</v>
      </c>
      <c r="CB242" s="203">
        <v>6</v>
      </c>
      <c r="CC242" s="204">
        <v>0</v>
      </c>
      <c r="CD242" s="203">
        <v>0</v>
      </c>
      <c r="CE242" s="203">
        <v>0</v>
      </c>
      <c r="CF242" s="13">
        <v>0</v>
      </c>
      <c r="CG242" s="206">
        <v>0</v>
      </c>
      <c r="CH242" s="207">
        <v>0</v>
      </c>
      <c r="CI242" s="201"/>
      <c r="CJ242" s="208"/>
      <c r="CK242" s="209" t="s">
        <v>615</v>
      </c>
      <c r="CL242" s="210" t="s">
        <v>615</v>
      </c>
      <c r="CM242" s="207">
        <v>0</v>
      </c>
      <c r="CN242" s="207">
        <v>0</v>
      </c>
      <c r="CO242" s="204">
        <v>0</v>
      </c>
      <c r="CP242" s="204">
        <v>0</v>
      </c>
      <c r="CQ242" s="211"/>
      <c r="CR242" s="204">
        <v>1</v>
      </c>
      <c r="CS242" s="212">
        <v>42558</v>
      </c>
      <c r="CT242" s="212">
        <v>42780</v>
      </c>
      <c r="CU242" s="213">
        <v>42780</v>
      </c>
      <c r="CV242" s="214">
        <v>42829</v>
      </c>
      <c r="CW242" s="214" t="s">
        <v>615</v>
      </c>
      <c r="CX242" s="214" t="s">
        <v>615</v>
      </c>
      <c r="CY242" s="204">
        <v>0</v>
      </c>
      <c r="CZ242" s="204">
        <v>0.97959183673469385</v>
      </c>
      <c r="DA242" s="203">
        <v>0</v>
      </c>
      <c r="DB242" s="204">
        <v>0</v>
      </c>
      <c r="DC242" s="204">
        <v>0</v>
      </c>
      <c r="DD242" s="204">
        <v>0</v>
      </c>
      <c r="DE242" s="204">
        <v>0</v>
      </c>
      <c r="DF242" s="215">
        <v>0.97959183673469385</v>
      </c>
      <c r="DG242" s="13" t="s">
        <v>615</v>
      </c>
      <c r="DH242" s="86">
        <v>240</v>
      </c>
      <c r="DI242" s="86"/>
      <c r="DJ242" s="86">
        <v>11</v>
      </c>
      <c r="DK242" s="86" t="s">
        <v>1467</v>
      </c>
      <c r="DL242" s="86" t="e">
        <v>#N/A</v>
      </c>
      <c r="DM242" s="86">
        <v>8</v>
      </c>
      <c r="DN242" s="86" t="e">
        <v>#N/A</v>
      </c>
      <c r="DO242" s="86">
        <v>12</v>
      </c>
      <c r="DP242" s="86">
        <v>2</v>
      </c>
      <c r="DQ242" s="86">
        <v>49</v>
      </c>
      <c r="DR242" s="152">
        <v>6</v>
      </c>
      <c r="DS242" s="152">
        <v>6</v>
      </c>
      <c r="DT242" s="152">
        <v>6</v>
      </c>
      <c r="DU242" s="152">
        <v>6</v>
      </c>
      <c r="DV242" s="152">
        <v>6</v>
      </c>
      <c r="DW242" s="152">
        <v>6</v>
      </c>
      <c r="DX242" s="152">
        <v>6</v>
      </c>
      <c r="DY242" s="152">
        <v>6</v>
      </c>
      <c r="DZ242" s="152">
        <v>6</v>
      </c>
      <c r="EA242" s="152">
        <v>6</v>
      </c>
      <c r="EB242" s="152">
        <v>6</v>
      </c>
      <c r="EC242" s="152">
        <v>6</v>
      </c>
      <c r="ED242" s="152">
        <v>6</v>
      </c>
      <c r="EE242" s="152">
        <v>6</v>
      </c>
      <c r="EF242" s="152">
        <v>6</v>
      </c>
      <c r="EG242" s="152">
        <v>6</v>
      </c>
      <c r="EH242" s="152">
        <v>6</v>
      </c>
      <c r="EI242" s="152">
        <v>6</v>
      </c>
      <c r="EJ242" s="152">
        <v>6</v>
      </c>
      <c r="EK242" s="152">
        <v>6</v>
      </c>
      <c r="EL242" s="152">
        <v>6</v>
      </c>
      <c r="EM242" s="152">
        <v>6</v>
      </c>
      <c r="EN242" s="152">
        <v>6</v>
      </c>
      <c r="EO242" s="152">
        <v>6</v>
      </c>
      <c r="EP242" s="152">
        <v>6</v>
      </c>
      <c r="EQ242" s="152">
        <v>6</v>
      </c>
      <c r="ER242" s="152">
        <v>6</v>
      </c>
      <c r="ES242" s="152">
        <v>6</v>
      </c>
      <c r="ET242" s="152">
        <v>6</v>
      </c>
      <c r="EU242" s="152">
        <v>6</v>
      </c>
      <c r="EV242" s="152">
        <v>6</v>
      </c>
      <c r="EW242" s="152">
        <v>6</v>
      </c>
      <c r="EX242" s="152">
        <v>6</v>
      </c>
      <c r="EY242" s="152">
        <v>6</v>
      </c>
      <c r="EZ242" s="152">
        <v>6</v>
      </c>
      <c r="FA242" s="152">
        <v>6</v>
      </c>
      <c r="FB242" s="152">
        <v>6</v>
      </c>
      <c r="FC242" s="152">
        <v>6</v>
      </c>
      <c r="FD242" s="152">
        <v>6</v>
      </c>
      <c r="FE242" s="152">
        <v>6</v>
      </c>
      <c r="FF242" s="152">
        <v>6</v>
      </c>
      <c r="FG242" s="152">
        <v>6</v>
      </c>
      <c r="FH242" s="152">
        <v>6</v>
      </c>
      <c r="FI242" s="152">
        <v>6</v>
      </c>
      <c r="FJ242" s="152">
        <v>6</v>
      </c>
      <c r="FK242" s="152">
        <v>6</v>
      </c>
      <c r="FL242" s="152">
        <v>6</v>
      </c>
      <c r="FM242" s="152">
        <v>6</v>
      </c>
      <c r="FN242" s="152">
        <v>6</v>
      </c>
      <c r="FO242" s="152">
        <v>6</v>
      </c>
      <c r="FP242" s="152">
        <v>6</v>
      </c>
      <c r="FQ242" s="152">
        <v>6</v>
      </c>
      <c r="FR242" s="152">
        <v>6</v>
      </c>
      <c r="FS242" s="167">
        <v>6</v>
      </c>
      <c r="FT242" s="167">
        <v>6</v>
      </c>
      <c r="FU242" s="167">
        <v>6</v>
      </c>
      <c r="FV242" s="167">
        <v>6</v>
      </c>
      <c r="FW242" s="167">
        <v>6</v>
      </c>
      <c r="FX242" s="167">
        <v>6</v>
      </c>
      <c r="FY242" s="167">
        <v>6</v>
      </c>
      <c r="FZ242" s="167">
        <v>6</v>
      </c>
      <c r="GA242" s="167">
        <v>6</v>
      </c>
      <c r="GB242" s="167">
        <v>6</v>
      </c>
      <c r="GC242" s="167">
        <v>6</v>
      </c>
      <c r="GD242" s="167">
        <v>6</v>
      </c>
      <c r="GE242" s="167">
        <v>6</v>
      </c>
      <c r="GF242" s="167">
        <v>6</v>
      </c>
      <c r="GG242" s="167">
        <v>6</v>
      </c>
      <c r="GH242" s="167">
        <v>6</v>
      </c>
      <c r="GI242" s="167">
        <v>6</v>
      </c>
      <c r="GJ242" s="167">
        <v>6</v>
      </c>
      <c r="GK242" s="167">
        <v>6</v>
      </c>
      <c r="GL242" s="167">
        <v>6</v>
      </c>
      <c r="GM242" s="167">
        <v>6</v>
      </c>
      <c r="GN242" s="167">
        <v>6</v>
      </c>
      <c r="GO242" s="167">
        <v>6</v>
      </c>
      <c r="GP242" s="167">
        <v>6</v>
      </c>
      <c r="GQ242" s="167">
        <v>6</v>
      </c>
      <c r="GR242" s="167">
        <v>6</v>
      </c>
      <c r="GS242" s="167">
        <v>6</v>
      </c>
      <c r="GT242" s="167">
        <v>6</v>
      </c>
      <c r="GU242" s="167">
        <v>6</v>
      </c>
      <c r="GV242" s="167">
        <v>6</v>
      </c>
      <c r="GW242" s="167">
        <v>6</v>
      </c>
      <c r="GX242" s="167">
        <v>6</v>
      </c>
      <c r="GY242" s="167">
        <v>6</v>
      </c>
      <c r="GZ242" s="167">
        <v>6</v>
      </c>
      <c r="HA242" s="167">
        <v>6</v>
      </c>
      <c r="HB242" s="167">
        <v>6</v>
      </c>
      <c r="HC242" s="167">
        <v>6</v>
      </c>
      <c r="HD242" s="167">
        <v>6</v>
      </c>
      <c r="HE242" s="167">
        <v>6</v>
      </c>
      <c r="HF242" s="167">
        <v>6</v>
      </c>
      <c r="HG242" s="167">
        <v>6</v>
      </c>
      <c r="HH242" s="167">
        <v>6</v>
      </c>
      <c r="HI242" s="152">
        <v>6</v>
      </c>
      <c r="HJ242" s="152">
        <v>6</v>
      </c>
      <c r="HK242" s="152">
        <v>6</v>
      </c>
      <c r="HL242" s="152">
        <v>6</v>
      </c>
      <c r="HM242" s="152">
        <v>6</v>
      </c>
      <c r="HN242" s="152">
        <v>6</v>
      </c>
      <c r="HO242" s="152">
        <v>6</v>
      </c>
      <c r="HP242" s="152">
        <v>6</v>
      </c>
      <c r="HQ242" s="152">
        <v>6</v>
      </c>
      <c r="HR242" s="152">
        <v>6</v>
      </c>
      <c r="HS242" s="152">
        <v>6</v>
      </c>
      <c r="HT242" s="152">
        <v>6</v>
      </c>
      <c r="HU242" s="216"/>
      <c r="HV242" s="152">
        <v>6</v>
      </c>
      <c r="HW242" s="216"/>
      <c r="HX242" s="216"/>
      <c r="HY242" s="216"/>
      <c r="HZ242" s="216"/>
      <c r="IA242" s="216"/>
      <c r="IB242" s="216"/>
      <c r="IC242" s="216"/>
      <c r="ID242" s="216"/>
      <c r="IE242" s="216"/>
      <c r="IF242" s="216"/>
      <c r="IG242" s="216"/>
      <c r="IH242" s="216"/>
      <c r="II242" s="216"/>
      <c r="IJ242" s="216"/>
      <c r="IK242" s="216"/>
      <c r="IL242" s="216"/>
      <c r="IM242" s="216"/>
      <c r="IN242" s="216"/>
      <c r="IO242" s="216"/>
      <c r="IP242" s="216"/>
      <c r="IQ242" s="216"/>
      <c r="IR242" s="216"/>
      <c r="IS242" s="216"/>
      <c r="IT242" s="216"/>
      <c r="IU242" s="216"/>
      <c r="IV242" s="216"/>
      <c r="IW242" s="216"/>
      <c r="IX242" s="216"/>
      <c r="IY242" s="216"/>
      <c r="IZ242" s="216"/>
      <c r="JA242" s="216"/>
      <c r="JB242" s="216"/>
      <c r="JC242" s="216"/>
      <c r="JD242" s="216"/>
      <c r="JE242" s="216"/>
      <c r="JF242" s="216"/>
      <c r="JG242" s="216"/>
      <c r="JH242" s="216"/>
      <c r="JI242" s="216"/>
      <c r="JJ242" s="216"/>
      <c r="JK242" s="216"/>
      <c r="JL242" s="216"/>
      <c r="JM242" s="216"/>
      <c r="JN242" s="216"/>
      <c r="JO242" s="216"/>
      <c r="JP242" s="216"/>
      <c r="JQ242" s="216"/>
      <c r="JR242" s="216"/>
      <c r="JS242" s="216"/>
      <c r="JT242" s="216"/>
      <c r="JU242" s="216"/>
      <c r="JV242" s="216"/>
      <c r="JW242" s="216"/>
      <c r="JX242" s="216"/>
      <c r="JY242" s="216"/>
      <c r="JZ242" s="216"/>
      <c r="KA242" s="216"/>
      <c r="KB242" s="216"/>
      <c r="KC242" s="216"/>
      <c r="KD242" s="216"/>
      <c r="KE242" s="216"/>
      <c r="KF242" s="216"/>
      <c r="KG242" s="216"/>
      <c r="KH242" s="216"/>
      <c r="KI242" s="216"/>
      <c r="KJ242" s="216"/>
      <c r="KK242" s="216"/>
      <c r="KL242" s="216"/>
      <c r="KM242" s="216"/>
      <c r="KN242" s="216"/>
      <c r="KO242" s="216"/>
      <c r="KP242" s="216"/>
      <c r="KQ242" s="216"/>
      <c r="KR242" s="216"/>
      <c r="KS242" s="216"/>
      <c r="KT242" s="216"/>
      <c r="KU242" s="216"/>
      <c r="KV242" s="216"/>
      <c r="KW242" s="216"/>
      <c r="KX242" s="216"/>
      <c r="KY242" s="216"/>
      <c r="KZ242" s="216"/>
      <c r="LA242" s="216"/>
      <c r="LB242" s="216"/>
      <c r="LC242" s="216"/>
      <c r="LD242" s="216"/>
      <c r="LE242" s="216"/>
    </row>
    <row r="243" spans="1:317" x14ac:dyDescent="0.2">
      <c r="A243" s="179" t="s">
        <v>849</v>
      </c>
      <c r="B243" s="180" t="s">
        <v>1142</v>
      </c>
      <c r="C243" s="181"/>
      <c r="D243" s="182">
        <v>0</v>
      </c>
      <c r="E243" s="182">
        <v>0</v>
      </c>
      <c r="F243" s="183" t="s">
        <v>1330</v>
      </c>
      <c r="G243" s="183">
        <v>0</v>
      </c>
      <c r="H243" s="183">
        <v>0</v>
      </c>
      <c r="I243" s="183">
        <v>0</v>
      </c>
      <c r="J243" s="183">
        <v>0</v>
      </c>
      <c r="K243" s="183" t="s">
        <v>1390</v>
      </c>
      <c r="L243" s="183">
        <v>0</v>
      </c>
      <c r="M243" s="183">
        <v>0</v>
      </c>
      <c r="N243" s="183" t="s">
        <v>872</v>
      </c>
      <c r="O243" s="183">
        <v>0</v>
      </c>
      <c r="P243" s="183">
        <v>0</v>
      </c>
      <c r="Q243" s="183"/>
      <c r="R243" s="183"/>
      <c r="S243" s="183"/>
      <c r="T243" s="183"/>
      <c r="U243" s="183"/>
      <c r="V243" s="183">
        <v>0</v>
      </c>
      <c r="W243" s="183">
        <v>0</v>
      </c>
      <c r="X243" s="183">
        <v>0</v>
      </c>
      <c r="Y243" s="184">
        <v>26.79</v>
      </c>
      <c r="Z243" s="184">
        <v>0</v>
      </c>
      <c r="AA243" s="184">
        <v>0</v>
      </c>
      <c r="AB243" s="185" t="s">
        <v>615</v>
      </c>
      <c r="AC243" s="185" t="s">
        <v>615</v>
      </c>
      <c r="AD243" s="186" t="s">
        <v>872</v>
      </c>
      <c r="AE243" s="186" t="s">
        <v>852</v>
      </c>
      <c r="AF243" s="187">
        <v>7</v>
      </c>
      <c r="AG243" s="187">
        <v>3</v>
      </c>
      <c r="AH243" s="187">
        <v>4</v>
      </c>
      <c r="AI243" s="188">
        <v>1</v>
      </c>
      <c r="AJ243" s="188" t="s">
        <v>615</v>
      </c>
      <c r="AK243" s="187" t="s">
        <v>1738</v>
      </c>
      <c r="AL243" s="87" t="s">
        <v>615</v>
      </c>
      <c r="AM243" s="189"/>
      <c r="AN243" s="187" t="s">
        <v>615</v>
      </c>
      <c r="AO243" s="13" t="s">
        <v>615</v>
      </c>
      <c r="AP243" s="187">
        <v>0</v>
      </c>
      <c r="AQ243" s="187">
        <v>0</v>
      </c>
      <c r="AR243" s="190">
        <v>0</v>
      </c>
      <c r="AS243" s="190">
        <v>0</v>
      </c>
      <c r="AT243" s="190">
        <v>0</v>
      </c>
      <c r="AU243" s="187">
        <v>0</v>
      </c>
      <c r="AV243" s="187">
        <v>0</v>
      </c>
      <c r="AW243" s="191"/>
      <c r="AX243" s="192"/>
      <c r="AY243" s="193">
        <v>42666</v>
      </c>
      <c r="AZ243" s="193"/>
      <c r="BA243" s="193"/>
      <c r="BB243" s="194"/>
      <c r="BC243" s="194"/>
      <c r="BD243" s="195"/>
      <c r="BE243" s="195" t="s">
        <v>532</v>
      </c>
      <c r="BF243" s="195"/>
      <c r="BG243" s="195">
        <v>4</v>
      </c>
      <c r="BH243" s="196" t="s">
        <v>547</v>
      </c>
      <c r="BI243" s="197">
        <v>1</v>
      </c>
      <c r="BJ243" s="198"/>
      <c r="BK243" s="199">
        <v>0</v>
      </c>
      <c r="BL243" s="13">
        <v>0</v>
      </c>
      <c r="BM243" s="13">
        <v>0</v>
      </c>
      <c r="BN243" s="13" t="s">
        <v>616</v>
      </c>
      <c r="BO243" s="13" t="s">
        <v>616</v>
      </c>
      <c r="BP243" s="200">
        <v>2</v>
      </c>
      <c r="BQ243" s="201"/>
      <c r="BR243" s="202"/>
      <c r="BS243" s="187">
        <v>1000000000</v>
      </c>
      <c r="BT243" s="203">
        <v>4</v>
      </c>
      <c r="BU243" s="204">
        <v>0</v>
      </c>
      <c r="BV243" s="203">
        <v>0</v>
      </c>
      <c r="BW243" s="205">
        <v>0</v>
      </c>
      <c r="BX243" s="205">
        <v>0</v>
      </c>
      <c r="BY243" s="205">
        <v>0</v>
      </c>
      <c r="BZ243" s="203">
        <v>0</v>
      </c>
      <c r="CA243" s="203">
        <v>0</v>
      </c>
      <c r="CB243" s="203">
        <v>4</v>
      </c>
      <c r="CC243" s="204">
        <v>0</v>
      </c>
      <c r="CD243" s="203">
        <v>0</v>
      </c>
      <c r="CE243" s="203">
        <v>0</v>
      </c>
      <c r="CF243" s="13">
        <v>0</v>
      </c>
      <c r="CG243" s="206">
        <v>0</v>
      </c>
      <c r="CH243" s="207">
        <v>0</v>
      </c>
      <c r="CI243" s="201"/>
      <c r="CJ243" s="208"/>
      <c r="CK243" s="209" t="s">
        <v>615</v>
      </c>
      <c r="CL243" s="210" t="s">
        <v>615</v>
      </c>
      <c r="CM243" s="207">
        <v>0</v>
      </c>
      <c r="CN243" s="207">
        <v>0</v>
      </c>
      <c r="CO243" s="204">
        <v>0</v>
      </c>
      <c r="CP243" s="204">
        <v>0</v>
      </c>
      <c r="CQ243" s="211"/>
      <c r="CR243" s="204">
        <v>1</v>
      </c>
      <c r="CS243" s="212">
        <v>42558</v>
      </c>
      <c r="CT243" s="212">
        <v>42780</v>
      </c>
      <c r="CU243" s="213">
        <v>42780</v>
      </c>
      <c r="CV243" s="214">
        <v>42829</v>
      </c>
      <c r="CW243" s="214" t="s">
        <v>615</v>
      </c>
      <c r="CX243" s="214" t="s">
        <v>615</v>
      </c>
      <c r="CY243" s="204">
        <v>0</v>
      </c>
      <c r="CZ243" s="204">
        <v>0.97959183673469385</v>
      </c>
      <c r="DA243" s="203">
        <v>0</v>
      </c>
      <c r="DB243" s="204">
        <v>0</v>
      </c>
      <c r="DC243" s="204">
        <v>0</v>
      </c>
      <c r="DD243" s="204">
        <v>0</v>
      </c>
      <c r="DE243" s="204">
        <v>0</v>
      </c>
      <c r="DF243" s="215">
        <v>0.97959183673469385</v>
      </c>
      <c r="DG243" s="13" t="s">
        <v>615</v>
      </c>
      <c r="DH243" s="86">
        <v>241</v>
      </c>
      <c r="DI243" s="86"/>
      <c r="DJ243" s="86">
        <v>16</v>
      </c>
      <c r="DK243" s="86" t="s">
        <v>1471</v>
      </c>
      <c r="DL243" s="86" t="e">
        <v>#N/A</v>
      </c>
      <c r="DM243" s="86">
        <v>12</v>
      </c>
      <c r="DN243" s="86" t="e">
        <v>#N/A</v>
      </c>
      <c r="DO243" s="86">
        <v>17</v>
      </c>
      <c r="DP243" s="86">
        <v>2</v>
      </c>
      <c r="DQ243" s="86">
        <v>49</v>
      </c>
      <c r="DR243" s="146">
        <v>4</v>
      </c>
      <c r="DS243" s="146">
        <v>4</v>
      </c>
      <c r="DT243" s="146">
        <v>4</v>
      </c>
      <c r="DU243" s="146">
        <v>4</v>
      </c>
      <c r="DV243" s="146">
        <v>4</v>
      </c>
      <c r="DW243" s="146">
        <v>4</v>
      </c>
      <c r="DX243" s="146">
        <v>4</v>
      </c>
      <c r="DY243" s="146">
        <v>4</v>
      </c>
      <c r="DZ243" s="146">
        <v>4</v>
      </c>
      <c r="EA243" s="146">
        <v>4</v>
      </c>
      <c r="EB243" s="146">
        <v>4</v>
      </c>
      <c r="EC243" s="146">
        <v>4</v>
      </c>
      <c r="ED243" s="146">
        <v>4</v>
      </c>
      <c r="EE243" s="146">
        <v>4</v>
      </c>
      <c r="EF243" s="146">
        <v>4</v>
      </c>
      <c r="EG243" s="146">
        <v>4</v>
      </c>
      <c r="EH243" s="146">
        <v>4</v>
      </c>
      <c r="EI243" s="146">
        <v>4</v>
      </c>
      <c r="EJ243" s="146">
        <v>4</v>
      </c>
      <c r="EK243" s="146">
        <v>4</v>
      </c>
      <c r="EL243" s="146">
        <v>4</v>
      </c>
      <c r="EM243" s="146">
        <v>4</v>
      </c>
      <c r="EN243" s="146">
        <v>4</v>
      </c>
      <c r="EO243" s="146">
        <v>4</v>
      </c>
      <c r="EP243" s="146">
        <v>4</v>
      </c>
      <c r="EQ243" s="146">
        <v>4</v>
      </c>
      <c r="ER243" s="146">
        <v>4</v>
      </c>
      <c r="ES243" s="146">
        <v>4</v>
      </c>
      <c r="ET243" s="146">
        <v>4</v>
      </c>
      <c r="EU243" s="146">
        <v>4</v>
      </c>
      <c r="EV243" s="146">
        <v>4</v>
      </c>
      <c r="EW243" s="146">
        <v>4</v>
      </c>
      <c r="EX243" s="146">
        <v>4</v>
      </c>
      <c r="EY243" s="146">
        <v>4</v>
      </c>
      <c r="EZ243" s="146">
        <v>4</v>
      </c>
      <c r="FA243" s="146">
        <v>4</v>
      </c>
      <c r="FB243" s="146">
        <v>4</v>
      </c>
      <c r="FC243" s="146">
        <v>4</v>
      </c>
      <c r="FD243" s="146">
        <v>4</v>
      </c>
      <c r="FE243" s="146">
        <v>4</v>
      </c>
      <c r="FF243" s="146">
        <v>4</v>
      </c>
      <c r="FG243" s="146">
        <v>4</v>
      </c>
      <c r="FH243" s="146">
        <v>4</v>
      </c>
      <c r="FI243" s="146">
        <v>4</v>
      </c>
      <c r="FJ243" s="146">
        <v>4</v>
      </c>
      <c r="FK243" s="146">
        <v>4</v>
      </c>
      <c r="FL243" s="146">
        <v>4</v>
      </c>
      <c r="FM243" s="146">
        <v>4</v>
      </c>
      <c r="FN243" s="146">
        <v>4</v>
      </c>
      <c r="FO243" s="146">
        <v>4</v>
      </c>
      <c r="FP243" s="146">
        <v>4</v>
      </c>
      <c r="FQ243" s="146">
        <v>4</v>
      </c>
      <c r="FR243" s="146">
        <v>4</v>
      </c>
      <c r="FS243" s="162">
        <v>4</v>
      </c>
      <c r="FT243" s="162">
        <v>4</v>
      </c>
      <c r="FU243" s="162">
        <v>4</v>
      </c>
      <c r="FV243" s="162">
        <v>4</v>
      </c>
      <c r="FW243" s="162">
        <v>4</v>
      </c>
      <c r="FX243" s="162">
        <v>4</v>
      </c>
      <c r="FY243" s="162">
        <v>4</v>
      </c>
      <c r="FZ243" s="162">
        <v>4</v>
      </c>
      <c r="GA243" s="162">
        <v>4</v>
      </c>
      <c r="GB243" s="162">
        <v>4</v>
      </c>
      <c r="GC243" s="162">
        <v>4</v>
      </c>
      <c r="GD243" s="162">
        <v>4</v>
      </c>
      <c r="GE243" s="162">
        <v>4</v>
      </c>
      <c r="GF243" s="162">
        <v>4</v>
      </c>
      <c r="GG243" s="162">
        <v>4</v>
      </c>
      <c r="GH243" s="162">
        <v>4</v>
      </c>
      <c r="GI243" s="162">
        <v>4</v>
      </c>
      <c r="GJ243" s="162">
        <v>4</v>
      </c>
      <c r="GK243" s="162">
        <v>4</v>
      </c>
      <c r="GL243" s="162">
        <v>4</v>
      </c>
      <c r="GM243" s="162">
        <v>4</v>
      </c>
      <c r="GN243" s="162">
        <v>4</v>
      </c>
      <c r="GO243" s="162">
        <v>4</v>
      </c>
      <c r="GP243" s="162">
        <v>4</v>
      </c>
      <c r="GQ243" s="162">
        <v>4</v>
      </c>
      <c r="GR243" s="162">
        <v>4</v>
      </c>
      <c r="GS243" s="162">
        <v>4</v>
      </c>
      <c r="GT243" s="162">
        <v>4</v>
      </c>
      <c r="GU243" s="162">
        <v>4</v>
      </c>
      <c r="GV243" s="162">
        <v>4</v>
      </c>
      <c r="GW243" s="162">
        <v>4</v>
      </c>
      <c r="GX243" s="162">
        <v>4</v>
      </c>
      <c r="GY243" s="162">
        <v>4</v>
      </c>
      <c r="GZ243" s="162">
        <v>4</v>
      </c>
      <c r="HA243" s="162">
        <v>4</v>
      </c>
      <c r="HB243" s="162">
        <v>4</v>
      </c>
      <c r="HC243" s="162">
        <v>4</v>
      </c>
      <c r="HD243" s="162">
        <v>4</v>
      </c>
      <c r="HE243" s="162">
        <v>4</v>
      </c>
      <c r="HF243" s="162">
        <v>4</v>
      </c>
      <c r="HG243" s="161">
        <v>4</v>
      </c>
      <c r="HH243" s="161">
        <v>4</v>
      </c>
      <c r="HI243" s="146">
        <v>4</v>
      </c>
      <c r="HJ243" s="146">
        <v>4</v>
      </c>
      <c r="HK243" s="146">
        <v>4</v>
      </c>
      <c r="HL243" s="146">
        <v>4</v>
      </c>
      <c r="HM243" s="146">
        <v>4</v>
      </c>
      <c r="HN243" s="146">
        <v>4</v>
      </c>
      <c r="HO243" s="146">
        <v>4</v>
      </c>
      <c r="HP243" s="146">
        <v>4</v>
      </c>
      <c r="HQ243" s="146">
        <v>4</v>
      </c>
      <c r="HR243" s="146">
        <v>4</v>
      </c>
      <c r="HS243" s="146">
        <v>4</v>
      </c>
      <c r="HT243" s="146">
        <v>4</v>
      </c>
      <c r="HU243" s="151"/>
      <c r="HV243" s="146">
        <v>4</v>
      </c>
      <c r="HW243" s="151"/>
      <c r="HX243" s="151"/>
      <c r="HY243" s="151"/>
      <c r="HZ243" s="151"/>
      <c r="IA243" s="151"/>
      <c r="IB243" s="151"/>
      <c r="IC243" s="151"/>
      <c r="ID243" s="151"/>
      <c r="IE243" s="151"/>
      <c r="IF243" s="151"/>
      <c r="IG243" s="151"/>
      <c r="IH243" s="151"/>
      <c r="II243" s="151"/>
      <c r="IJ243" s="151"/>
      <c r="IK243" s="151"/>
      <c r="IL243" s="151"/>
      <c r="IM243" s="151"/>
      <c r="IN243" s="151"/>
      <c r="IO243" s="151"/>
      <c r="IP243" s="151"/>
      <c r="IQ243" s="151"/>
      <c r="IR243" s="151"/>
      <c r="IS243" s="151"/>
      <c r="IT243" s="151"/>
      <c r="IU243" s="151"/>
      <c r="IV243" s="151"/>
      <c r="IW243" s="151"/>
      <c r="IX243" s="151"/>
      <c r="IY243" s="151"/>
      <c r="IZ243" s="151"/>
      <c r="JA243" s="151"/>
      <c r="JB243" s="151"/>
      <c r="JC243" s="151"/>
      <c r="JD243" s="151"/>
      <c r="JE243" s="151"/>
      <c r="JF243" s="151"/>
      <c r="JG243" s="151"/>
      <c r="JH243" s="151"/>
      <c r="JI243" s="151"/>
      <c r="JJ243" s="151"/>
      <c r="JK243" s="151"/>
      <c r="JL243" s="151"/>
      <c r="JM243" s="151"/>
      <c r="JN243" s="151"/>
      <c r="JO243" s="151"/>
      <c r="JP243" s="151"/>
      <c r="JQ243" s="151"/>
      <c r="JR243" s="151"/>
      <c r="JS243" s="151"/>
      <c r="JT243" s="151"/>
      <c r="JU243" s="151"/>
      <c r="JV243" s="151"/>
      <c r="JW243" s="151"/>
      <c r="JX243" s="151"/>
      <c r="JY243" s="151"/>
      <c r="JZ243" s="151"/>
      <c r="KA243" s="151"/>
      <c r="KB243" s="151"/>
      <c r="KC243" s="151"/>
      <c r="KD243" s="151"/>
      <c r="KE243" s="151"/>
      <c r="KF243" s="151"/>
      <c r="KG243" s="151"/>
      <c r="KH243" s="151"/>
      <c r="KI243" s="151"/>
      <c r="KJ243" s="151"/>
      <c r="KK243" s="151"/>
      <c r="KL243" s="151"/>
      <c r="KM243" s="151"/>
      <c r="KN243" s="151"/>
      <c r="KO243" s="151"/>
      <c r="KP243" s="151"/>
      <c r="KQ243" s="151"/>
      <c r="KR243" s="151"/>
      <c r="KS243" s="151"/>
      <c r="KT243" s="151"/>
      <c r="KU243" s="151"/>
      <c r="KV243" s="151"/>
      <c r="KW243" s="151"/>
      <c r="KX243" s="151"/>
      <c r="KY243" s="151"/>
      <c r="KZ243" s="151"/>
      <c r="LA243" s="151"/>
      <c r="LB243" s="151"/>
      <c r="LC243" s="151"/>
      <c r="LD243" s="151"/>
      <c r="LE243" s="151"/>
    </row>
    <row r="244" spans="1:317" x14ac:dyDescent="0.2">
      <c r="A244" s="179" t="s">
        <v>849</v>
      </c>
      <c r="B244" s="180" t="s">
        <v>1143</v>
      </c>
      <c r="C244" s="181"/>
      <c r="D244" s="182">
        <v>0</v>
      </c>
      <c r="E244" s="182">
        <v>0</v>
      </c>
      <c r="F244" s="183" t="s">
        <v>1331</v>
      </c>
      <c r="G244" s="183">
        <v>0</v>
      </c>
      <c r="H244" s="183">
        <v>0</v>
      </c>
      <c r="I244" s="183">
        <v>0</v>
      </c>
      <c r="J244" s="183">
        <v>0</v>
      </c>
      <c r="K244" s="183" t="s">
        <v>1399</v>
      </c>
      <c r="L244" s="183">
        <v>0</v>
      </c>
      <c r="M244" s="183">
        <v>0</v>
      </c>
      <c r="N244" s="183" t="s">
        <v>872</v>
      </c>
      <c r="O244" s="183">
        <v>0</v>
      </c>
      <c r="P244" s="183">
        <v>0</v>
      </c>
      <c r="Q244" s="183"/>
      <c r="R244" s="183"/>
      <c r="S244" s="183"/>
      <c r="T244" s="183"/>
      <c r="U244" s="183"/>
      <c r="V244" s="183">
        <v>0</v>
      </c>
      <c r="W244" s="183">
        <v>0</v>
      </c>
      <c r="X244" s="183">
        <v>0</v>
      </c>
      <c r="Y244" s="184">
        <v>7.26</v>
      </c>
      <c r="Z244" s="184">
        <v>13.58</v>
      </c>
      <c r="AA244" s="184">
        <v>0</v>
      </c>
      <c r="AB244" s="185" t="s">
        <v>615</v>
      </c>
      <c r="AC244" s="185" t="s">
        <v>615</v>
      </c>
      <c r="AD244" s="186" t="s">
        <v>872</v>
      </c>
      <c r="AE244" s="186" t="s">
        <v>852</v>
      </c>
      <c r="AF244" s="187">
        <v>7</v>
      </c>
      <c r="AG244" s="187">
        <v>3</v>
      </c>
      <c r="AH244" s="187">
        <v>4</v>
      </c>
      <c r="AI244" s="188">
        <v>1</v>
      </c>
      <c r="AJ244" s="188" t="s">
        <v>615</v>
      </c>
      <c r="AK244" s="187" t="s">
        <v>1737</v>
      </c>
      <c r="AL244" s="87" t="s">
        <v>615</v>
      </c>
      <c r="AM244" s="189"/>
      <c r="AN244" s="187" t="s">
        <v>615</v>
      </c>
      <c r="AO244" s="13" t="s">
        <v>615</v>
      </c>
      <c r="AP244" s="187">
        <v>0.36</v>
      </c>
      <c r="AQ244" s="187">
        <v>4</v>
      </c>
      <c r="AR244" s="190">
        <v>138.88888888888889</v>
      </c>
      <c r="AS244" s="190">
        <v>187.5</v>
      </c>
      <c r="AT244" s="190">
        <v>0</v>
      </c>
      <c r="AU244" s="187">
        <v>0</v>
      </c>
      <c r="AV244" s="187">
        <v>0</v>
      </c>
      <c r="AW244" s="191"/>
      <c r="AX244" s="192"/>
      <c r="AY244" s="193">
        <v>42845</v>
      </c>
      <c r="AZ244" s="193">
        <v>42796</v>
      </c>
      <c r="BA244" s="193"/>
      <c r="BB244" s="194"/>
      <c r="BC244" s="194"/>
      <c r="BD244" s="195"/>
      <c r="BE244" s="195" t="s">
        <v>532</v>
      </c>
      <c r="BF244" s="195"/>
      <c r="BG244" s="195">
        <v>10</v>
      </c>
      <c r="BH244" s="196" t="s">
        <v>547</v>
      </c>
      <c r="BI244" s="197">
        <v>1</v>
      </c>
      <c r="BJ244" s="198"/>
      <c r="BK244" s="199">
        <v>200</v>
      </c>
      <c r="BL244" s="13">
        <v>133</v>
      </c>
      <c r="BM244" s="13">
        <v>66</v>
      </c>
      <c r="BN244" s="13" t="s">
        <v>620</v>
      </c>
      <c r="BO244" s="13" t="s">
        <v>620</v>
      </c>
      <c r="BP244" s="200">
        <v>0</v>
      </c>
      <c r="BQ244" s="201"/>
      <c r="BR244" s="202"/>
      <c r="BS244" s="187">
        <v>1000000000</v>
      </c>
      <c r="BT244" s="203">
        <v>270</v>
      </c>
      <c r="BU244" s="204">
        <v>-0.35</v>
      </c>
      <c r="BV244" s="203">
        <v>0</v>
      </c>
      <c r="BW244" s="205">
        <v>0</v>
      </c>
      <c r="BX244" s="205">
        <v>0</v>
      </c>
      <c r="BY244" s="205">
        <v>0</v>
      </c>
      <c r="BZ244" s="203">
        <v>0</v>
      </c>
      <c r="CA244" s="203">
        <v>0</v>
      </c>
      <c r="CB244" s="203">
        <v>270</v>
      </c>
      <c r="CC244" s="204">
        <v>-0.35</v>
      </c>
      <c r="CD244" s="203">
        <v>0</v>
      </c>
      <c r="CE244" s="203">
        <v>0</v>
      </c>
      <c r="CF244" s="13">
        <v>0</v>
      </c>
      <c r="CG244" s="206">
        <v>0</v>
      </c>
      <c r="CH244" s="207">
        <v>114</v>
      </c>
      <c r="CI244" s="201"/>
      <c r="CJ244" s="208"/>
      <c r="CK244" s="209" t="s">
        <v>615</v>
      </c>
      <c r="CL244" s="210" t="s">
        <v>615</v>
      </c>
      <c r="CM244" s="207">
        <v>0</v>
      </c>
      <c r="CN244" s="207">
        <v>508.2</v>
      </c>
      <c r="CO244" s="204">
        <v>0</v>
      </c>
      <c r="CP244" s="204">
        <v>5.9693034238488787</v>
      </c>
      <c r="CQ244" s="211"/>
      <c r="CR244" s="204">
        <v>1</v>
      </c>
      <c r="CS244" s="212">
        <v>42709</v>
      </c>
      <c r="CT244" s="212">
        <v>42780</v>
      </c>
      <c r="CU244" s="213">
        <v>42780</v>
      </c>
      <c r="CV244" s="214">
        <v>42829</v>
      </c>
      <c r="CW244" s="214" t="s">
        <v>615</v>
      </c>
      <c r="CX244" s="214" t="s">
        <v>615</v>
      </c>
      <c r="CY244" s="204">
        <v>7.7484375779159398E-2</v>
      </c>
      <c r="CZ244" s="204">
        <v>0.97959183673469385</v>
      </c>
      <c r="DA244" s="203">
        <v>0</v>
      </c>
      <c r="DB244" s="204">
        <v>0</v>
      </c>
      <c r="DC244" s="204">
        <v>0</v>
      </c>
      <c r="DD244" s="204">
        <v>0</v>
      </c>
      <c r="DE244" s="204">
        <v>0</v>
      </c>
      <c r="DF244" s="215">
        <v>0.97959183673469385</v>
      </c>
      <c r="DG244" s="13" t="s">
        <v>615</v>
      </c>
      <c r="DH244" s="86">
        <v>242</v>
      </c>
      <c r="DI244" s="86"/>
      <c r="DJ244" s="86">
        <v>26</v>
      </c>
      <c r="DK244" s="86" t="s">
        <v>1450</v>
      </c>
      <c r="DL244" s="86">
        <v>6</v>
      </c>
      <c r="DM244" s="86">
        <v>18</v>
      </c>
      <c r="DN244" s="86" t="e">
        <v>#N/A</v>
      </c>
      <c r="DO244" s="86">
        <v>27</v>
      </c>
      <c r="DP244" s="86">
        <v>2</v>
      </c>
      <c r="DQ244" s="86">
        <v>49</v>
      </c>
      <c r="DR244" s="152">
        <v>285</v>
      </c>
      <c r="DS244" s="152">
        <v>285</v>
      </c>
      <c r="DT244" s="152">
        <v>285</v>
      </c>
      <c r="DU244" s="152">
        <v>280</v>
      </c>
      <c r="DV244" s="152">
        <v>278</v>
      </c>
      <c r="DW244" s="152">
        <v>278</v>
      </c>
      <c r="DX244" s="152">
        <v>278</v>
      </c>
      <c r="DY244" s="152">
        <v>278</v>
      </c>
      <c r="DZ244" s="152">
        <v>278</v>
      </c>
      <c r="EA244" s="167">
        <v>278</v>
      </c>
      <c r="EB244" s="167">
        <v>270</v>
      </c>
      <c r="EC244" s="167">
        <v>270</v>
      </c>
      <c r="ED244" s="167">
        <v>270</v>
      </c>
      <c r="EE244" s="167">
        <v>270</v>
      </c>
      <c r="EF244" s="167">
        <v>270</v>
      </c>
      <c r="EG244" s="167">
        <v>270</v>
      </c>
      <c r="EH244" s="167">
        <v>270</v>
      </c>
      <c r="EI244" s="167">
        <v>270</v>
      </c>
      <c r="EJ244" s="167">
        <v>270</v>
      </c>
      <c r="EK244" s="167">
        <v>270</v>
      </c>
      <c r="EL244" s="167">
        <v>270</v>
      </c>
      <c r="EM244" s="167">
        <v>270</v>
      </c>
      <c r="EN244" s="167">
        <v>270</v>
      </c>
      <c r="EO244" s="167">
        <v>270</v>
      </c>
      <c r="EP244" s="167">
        <v>270</v>
      </c>
      <c r="EQ244" s="167">
        <v>270</v>
      </c>
      <c r="ER244" s="167">
        <v>270</v>
      </c>
      <c r="ES244" s="167">
        <v>270</v>
      </c>
      <c r="ET244" s="167">
        <v>270</v>
      </c>
      <c r="EU244" s="167">
        <v>270</v>
      </c>
      <c r="EV244" s="167">
        <v>270</v>
      </c>
      <c r="EW244" s="167">
        <v>270</v>
      </c>
      <c r="EX244" s="167">
        <v>270</v>
      </c>
      <c r="EY244" s="167">
        <v>270</v>
      </c>
      <c r="EZ244" s="167">
        <v>270</v>
      </c>
      <c r="FA244" s="167">
        <v>270</v>
      </c>
      <c r="FB244" s="167">
        <v>270</v>
      </c>
      <c r="FC244" s="167">
        <v>270</v>
      </c>
      <c r="FD244" s="167">
        <v>270</v>
      </c>
      <c r="FE244" s="167">
        <v>270</v>
      </c>
      <c r="FF244" s="167">
        <v>270</v>
      </c>
      <c r="FG244" s="167">
        <v>270</v>
      </c>
      <c r="FH244" s="167">
        <v>270</v>
      </c>
      <c r="FI244" s="167">
        <v>270</v>
      </c>
      <c r="FJ244" s="167">
        <v>270</v>
      </c>
      <c r="FK244" s="167">
        <v>270</v>
      </c>
      <c r="FL244" s="167">
        <v>270</v>
      </c>
      <c r="FM244" s="167">
        <v>270</v>
      </c>
      <c r="FN244" s="167">
        <v>270</v>
      </c>
      <c r="FO244" s="167">
        <v>270</v>
      </c>
      <c r="FP244" s="167">
        <v>270</v>
      </c>
      <c r="FQ244" s="167">
        <v>270</v>
      </c>
      <c r="FR244" s="167">
        <v>270</v>
      </c>
      <c r="FS244" s="167">
        <v>270</v>
      </c>
      <c r="FT244" s="167">
        <v>270</v>
      </c>
      <c r="FU244" s="167">
        <v>270</v>
      </c>
      <c r="FV244" s="167">
        <v>270</v>
      </c>
      <c r="FW244" s="167">
        <v>270</v>
      </c>
      <c r="FX244" s="167">
        <v>270</v>
      </c>
      <c r="FY244" s="167">
        <v>270</v>
      </c>
      <c r="FZ244" s="167">
        <v>270</v>
      </c>
      <c r="GA244" s="167">
        <v>270</v>
      </c>
      <c r="GB244" s="167">
        <v>270</v>
      </c>
      <c r="GC244" s="167">
        <v>270</v>
      </c>
      <c r="GD244" s="167">
        <v>270</v>
      </c>
      <c r="GE244" s="167">
        <v>270</v>
      </c>
      <c r="GF244" s="167">
        <v>270</v>
      </c>
      <c r="GG244" s="167">
        <v>270</v>
      </c>
      <c r="GH244" s="167">
        <v>270</v>
      </c>
      <c r="GI244" s="167">
        <v>269</v>
      </c>
      <c r="GJ244" s="167">
        <v>269</v>
      </c>
      <c r="GK244" s="167">
        <v>269</v>
      </c>
      <c r="GL244" s="167">
        <v>269</v>
      </c>
      <c r="GM244" s="167">
        <v>269</v>
      </c>
      <c r="GN244" s="167">
        <v>269</v>
      </c>
      <c r="GO244" s="167">
        <v>269</v>
      </c>
      <c r="GP244" s="167">
        <v>269</v>
      </c>
      <c r="GQ244" s="167">
        <v>269</v>
      </c>
      <c r="GR244" s="167">
        <v>269</v>
      </c>
      <c r="GS244" s="167">
        <v>269</v>
      </c>
      <c r="GT244" s="167">
        <v>269</v>
      </c>
      <c r="GU244" s="167">
        <v>269</v>
      </c>
      <c r="GV244" s="167">
        <v>269</v>
      </c>
      <c r="GW244" s="167">
        <v>269</v>
      </c>
      <c r="GX244" s="167">
        <v>269</v>
      </c>
      <c r="GY244" s="167">
        <v>269</v>
      </c>
      <c r="GZ244" s="167">
        <v>269</v>
      </c>
      <c r="HA244" s="167">
        <v>269</v>
      </c>
      <c r="HB244" s="167">
        <v>269</v>
      </c>
      <c r="HC244" s="167">
        <v>269</v>
      </c>
      <c r="HD244" s="167">
        <v>257</v>
      </c>
      <c r="HE244" s="167">
        <v>237</v>
      </c>
      <c r="HF244" s="167">
        <v>237</v>
      </c>
      <c r="HG244" s="167">
        <v>237</v>
      </c>
      <c r="HH244" s="167">
        <v>237</v>
      </c>
      <c r="HI244" s="167">
        <v>237</v>
      </c>
      <c r="HJ244" s="167">
        <v>237</v>
      </c>
      <c r="HK244" s="167">
        <v>237</v>
      </c>
      <c r="HL244" s="167">
        <v>237</v>
      </c>
      <c r="HM244" s="167">
        <v>237</v>
      </c>
      <c r="HN244" s="167">
        <v>237</v>
      </c>
      <c r="HO244" s="167">
        <v>237</v>
      </c>
      <c r="HP244" s="167">
        <v>233</v>
      </c>
      <c r="HQ244" s="167">
        <v>203</v>
      </c>
      <c r="HR244" s="167">
        <v>203</v>
      </c>
      <c r="HS244" s="167">
        <v>203</v>
      </c>
      <c r="HT244" s="167">
        <v>270</v>
      </c>
      <c r="HU244" s="216"/>
      <c r="HV244" s="167">
        <v>270</v>
      </c>
      <c r="HW244" s="216"/>
      <c r="HX244" s="216"/>
      <c r="HY244" s="216"/>
      <c r="HZ244" s="216"/>
      <c r="IA244" s="216"/>
      <c r="IB244" s="216"/>
      <c r="IC244" s="216"/>
      <c r="ID244" s="216"/>
      <c r="IE244" s="216"/>
      <c r="IF244" s="216"/>
      <c r="IG244" s="216"/>
      <c r="IH244" s="216"/>
      <c r="II244" s="216"/>
      <c r="IJ244" s="216"/>
      <c r="IK244" s="216"/>
      <c r="IL244" s="216"/>
      <c r="IM244" s="216"/>
      <c r="IN244" s="216"/>
      <c r="IO244" s="216"/>
      <c r="IP244" s="216"/>
      <c r="IQ244" s="216"/>
      <c r="IR244" s="216"/>
      <c r="IS244" s="216"/>
      <c r="IT244" s="216"/>
      <c r="IU244" s="216"/>
      <c r="IV244" s="216"/>
      <c r="IW244" s="216"/>
      <c r="IX244" s="216"/>
      <c r="IY244" s="216"/>
      <c r="IZ244" s="216"/>
      <c r="JA244" s="216"/>
      <c r="JB244" s="216"/>
      <c r="JC244" s="216"/>
      <c r="JD244" s="216"/>
      <c r="JE244" s="216"/>
      <c r="JF244" s="216"/>
      <c r="JG244" s="216"/>
      <c r="JH244" s="216"/>
      <c r="JI244" s="216"/>
      <c r="JJ244" s="216"/>
      <c r="JK244" s="216"/>
      <c r="JL244" s="216"/>
      <c r="JM244" s="216"/>
      <c r="JN244" s="216"/>
      <c r="JO244" s="216"/>
      <c r="JP244" s="216"/>
      <c r="JQ244" s="216"/>
      <c r="JR244" s="216"/>
      <c r="JS244" s="216"/>
      <c r="JT244" s="216"/>
      <c r="JU244" s="216"/>
      <c r="JV244" s="216"/>
      <c r="JW244" s="216"/>
      <c r="JX244" s="216"/>
      <c r="JY244" s="216"/>
      <c r="JZ244" s="216"/>
      <c r="KA244" s="216"/>
      <c r="KB244" s="216"/>
      <c r="KC244" s="216"/>
      <c r="KD244" s="216"/>
      <c r="KE244" s="216"/>
      <c r="KF244" s="216"/>
      <c r="KG244" s="216"/>
      <c r="KH244" s="216"/>
      <c r="KI244" s="216"/>
      <c r="KJ244" s="216"/>
      <c r="KK244" s="216"/>
      <c r="KL244" s="216"/>
      <c r="KM244" s="216"/>
      <c r="KN244" s="216"/>
      <c r="KO244" s="216"/>
      <c r="KP244" s="216"/>
      <c r="KQ244" s="216"/>
      <c r="KR244" s="216"/>
      <c r="KS244" s="216"/>
      <c r="KT244" s="216"/>
      <c r="KU244" s="216"/>
      <c r="KV244" s="216"/>
      <c r="KW244" s="216"/>
      <c r="KX244" s="216"/>
      <c r="KY244" s="216"/>
      <c r="KZ244" s="216"/>
      <c r="LA244" s="216"/>
      <c r="LB244" s="216"/>
      <c r="LC244" s="216"/>
      <c r="LD244" s="216"/>
      <c r="LE244" s="216"/>
    </row>
    <row r="245" spans="1:317" x14ac:dyDescent="0.2">
      <c r="A245" s="179" t="s">
        <v>849</v>
      </c>
      <c r="B245" s="180" t="s">
        <v>1144</v>
      </c>
      <c r="C245" s="181"/>
      <c r="D245" s="182">
        <v>0</v>
      </c>
      <c r="E245" s="182">
        <v>0</v>
      </c>
      <c r="F245" s="183" t="s">
        <v>1332</v>
      </c>
      <c r="G245" s="183">
        <v>0</v>
      </c>
      <c r="H245" s="183">
        <v>0</v>
      </c>
      <c r="I245" s="183">
        <v>0</v>
      </c>
      <c r="J245" s="183">
        <v>0</v>
      </c>
      <c r="K245" s="183" t="s">
        <v>1399</v>
      </c>
      <c r="L245" s="183">
        <v>0</v>
      </c>
      <c r="M245" s="183">
        <v>0</v>
      </c>
      <c r="N245" s="183" t="s">
        <v>872</v>
      </c>
      <c r="O245" s="183">
        <v>0</v>
      </c>
      <c r="P245" s="183">
        <v>0</v>
      </c>
      <c r="Q245" s="183"/>
      <c r="R245" s="183"/>
      <c r="S245" s="183"/>
      <c r="T245" s="183"/>
      <c r="U245" s="183"/>
      <c r="V245" s="183">
        <v>0</v>
      </c>
      <c r="W245" s="183">
        <v>0</v>
      </c>
      <c r="X245" s="183">
        <v>0</v>
      </c>
      <c r="Y245" s="184">
        <v>8.32</v>
      </c>
      <c r="Z245" s="184">
        <v>15.61</v>
      </c>
      <c r="AA245" s="184">
        <v>0</v>
      </c>
      <c r="AB245" s="185" t="s">
        <v>615</v>
      </c>
      <c r="AC245" s="185" t="s">
        <v>615</v>
      </c>
      <c r="AD245" s="186" t="s">
        <v>872</v>
      </c>
      <c r="AE245" s="186" t="s">
        <v>852</v>
      </c>
      <c r="AF245" s="187">
        <v>7</v>
      </c>
      <c r="AG245" s="187">
        <v>3</v>
      </c>
      <c r="AH245" s="187">
        <v>4</v>
      </c>
      <c r="AI245" s="188">
        <v>1</v>
      </c>
      <c r="AJ245" s="188" t="s">
        <v>617</v>
      </c>
      <c r="AK245" s="187" t="s">
        <v>1737</v>
      </c>
      <c r="AL245" s="87">
        <v>14</v>
      </c>
      <c r="AM245" s="189"/>
      <c r="AN245" s="187" t="s">
        <v>615</v>
      </c>
      <c r="AO245" s="13" t="s">
        <v>615</v>
      </c>
      <c r="AP245" s="187">
        <v>0</v>
      </c>
      <c r="AQ245" s="187">
        <v>0</v>
      </c>
      <c r="AR245" s="190">
        <v>0</v>
      </c>
      <c r="AS245" s="190">
        <v>0</v>
      </c>
      <c r="AT245" s="190">
        <v>0</v>
      </c>
      <c r="AU245" s="187">
        <v>26</v>
      </c>
      <c r="AV245" s="187">
        <v>0</v>
      </c>
      <c r="AW245" s="191"/>
      <c r="AX245" s="192"/>
      <c r="AY245" s="193">
        <v>42666</v>
      </c>
      <c r="AZ245" s="193"/>
      <c r="BA245" s="193">
        <v>42845</v>
      </c>
      <c r="BB245" s="194"/>
      <c r="BC245" s="194"/>
      <c r="BD245" s="195"/>
      <c r="BE245" s="195" t="s">
        <v>532</v>
      </c>
      <c r="BF245" s="195"/>
      <c r="BG245" s="195">
        <v>10</v>
      </c>
      <c r="BH245" s="196" t="s">
        <v>547</v>
      </c>
      <c r="BI245" s="197">
        <v>1</v>
      </c>
      <c r="BJ245" s="198"/>
      <c r="BK245" s="199">
        <v>10</v>
      </c>
      <c r="BL245" s="13">
        <v>7</v>
      </c>
      <c r="BM245" s="13">
        <v>3</v>
      </c>
      <c r="BN245" s="13" t="s">
        <v>621</v>
      </c>
      <c r="BO245" s="13" t="s">
        <v>620</v>
      </c>
      <c r="BP245" s="200">
        <v>20</v>
      </c>
      <c r="BQ245" s="201"/>
      <c r="BR245" s="202"/>
      <c r="BS245" s="187">
        <v>1000000000</v>
      </c>
      <c r="BT245" s="203">
        <v>0</v>
      </c>
      <c r="BU245" s="204">
        <v>1</v>
      </c>
      <c r="BV245" s="203">
        <v>20</v>
      </c>
      <c r="BW245" s="205">
        <v>0</v>
      </c>
      <c r="BX245" s="205">
        <v>0</v>
      </c>
      <c r="BY245" s="205">
        <v>0</v>
      </c>
      <c r="BZ245" s="203">
        <v>0</v>
      </c>
      <c r="CA245" s="203">
        <v>0</v>
      </c>
      <c r="CB245" s="203">
        <v>20</v>
      </c>
      <c r="CC245" s="204">
        <v>-1</v>
      </c>
      <c r="CD245" s="203">
        <v>0</v>
      </c>
      <c r="CE245" s="203">
        <v>0</v>
      </c>
      <c r="CF245" s="13">
        <v>0</v>
      </c>
      <c r="CG245" s="206">
        <v>0</v>
      </c>
      <c r="CH245" s="207">
        <v>6</v>
      </c>
      <c r="CI245" s="201"/>
      <c r="CJ245" s="208"/>
      <c r="CK245" s="209" t="s">
        <v>615</v>
      </c>
      <c r="CL245" s="210" t="s">
        <v>615</v>
      </c>
      <c r="CM245" s="207">
        <v>21.869999999999997</v>
      </c>
      <c r="CN245" s="207">
        <v>0</v>
      </c>
      <c r="CO245" s="204">
        <v>0</v>
      </c>
      <c r="CP245" s="204">
        <v>6.0082417582417573</v>
      </c>
      <c r="CQ245" s="211"/>
      <c r="CR245" s="204">
        <v>1</v>
      </c>
      <c r="CS245" s="212">
        <v>42709</v>
      </c>
      <c r="CT245" s="212">
        <v>42780</v>
      </c>
      <c r="CU245" s="213">
        <v>42780</v>
      </c>
      <c r="CV245" s="214">
        <v>42829</v>
      </c>
      <c r="CW245" s="214" t="s">
        <v>615</v>
      </c>
      <c r="CX245" s="214" t="s">
        <v>615</v>
      </c>
      <c r="CY245" s="204">
        <v>4.8465824765630119</v>
      </c>
      <c r="CZ245" s="204">
        <v>0.97959183673469397</v>
      </c>
      <c r="DA245" s="203">
        <v>138</v>
      </c>
      <c r="DB245" s="204">
        <v>0.93877551020408168</v>
      </c>
      <c r="DC245" s="204">
        <v>0</v>
      </c>
      <c r="DD245" s="204">
        <v>0</v>
      </c>
      <c r="DE245" s="204">
        <v>4.0816326530612242E-2</v>
      </c>
      <c r="DF245" s="215">
        <v>0</v>
      </c>
      <c r="DG245" s="13" t="s">
        <v>615</v>
      </c>
      <c r="DH245" s="86">
        <v>243</v>
      </c>
      <c r="DI245" s="86"/>
      <c r="DJ245" s="86">
        <v>27</v>
      </c>
      <c r="DK245" s="86" t="s">
        <v>1527</v>
      </c>
      <c r="DL245" s="86" t="e">
        <v>#N/A</v>
      </c>
      <c r="DM245" s="86" t="e">
        <v>#N/A</v>
      </c>
      <c r="DN245" s="86" t="e">
        <v>#N/A</v>
      </c>
      <c r="DO245" s="86">
        <v>28</v>
      </c>
      <c r="DP245" s="86">
        <v>2</v>
      </c>
      <c r="DQ245" s="86">
        <v>49</v>
      </c>
      <c r="DR245" s="146">
        <v>3</v>
      </c>
      <c r="DS245" s="146">
        <v>3</v>
      </c>
      <c r="DT245" s="146">
        <v>3</v>
      </c>
      <c r="DU245" s="146">
        <v>2</v>
      </c>
      <c r="DV245" s="146">
        <v>2</v>
      </c>
      <c r="DW245" s="146">
        <v>2</v>
      </c>
      <c r="DX245" s="146">
        <v>2</v>
      </c>
      <c r="DY245" s="146">
        <v>2</v>
      </c>
      <c r="DZ245" s="146">
        <v>2</v>
      </c>
      <c r="EA245" s="140">
        <v>2</v>
      </c>
      <c r="EB245" s="140">
        <v>2</v>
      </c>
      <c r="EC245" s="140">
        <v>2</v>
      </c>
      <c r="ED245" s="140">
        <v>2</v>
      </c>
      <c r="EE245" s="140">
        <v>2</v>
      </c>
      <c r="EF245" s="140">
        <v>2</v>
      </c>
      <c r="EG245" s="140">
        <v>2</v>
      </c>
      <c r="EH245" s="140">
        <v>2</v>
      </c>
      <c r="EI245" s="140">
        <v>2</v>
      </c>
      <c r="EJ245" s="140">
        <v>2</v>
      </c>
      <c r="EK245" s="140">
        <v>2</v>
      </c>
      <c r="EL245" s="140">
        <v>2</v>
      </c>
      <c r="EM245" s="140">
        <v>2</v>
      </c>
      <c r="EN245" s="140">
        <v>2</v>
      </c>
      <c r="EO245" s="140">
        <v>2</v>
      </c>
      <c r="EP245" s="140">
        <v>2</v>
      </c>
      <c r="EQ245" s="140">
        <v>2</v>
      </c>
      <c r="ER245" s="140">
        <v>2</v>
      </c>
      <c r="ES245" s="140">
        <v>2</v>
      </c>
      <c r="ET245" s="140">
        <v>2</v>
      </c>
      <c r="EU245" s="140">
        <v>2</v>
      </c>
      <c r="EV245" s="140">
        <v>2</v>
      </c>
      <c r="EW245" s="140">
        <v>2</v>
      </c>
      <c r="EX245" s="160">
        <v>0</v>
      </c>
      <c r="EY245" s="160">
        <v>0</v>
      </c>
      <c r="EZ245" s="160">
        <v>0</v>
      </c>
      <c r="FA245" s="160">
        <v>0</v>
      </c>
      <c r="FB245" s="160">
        <v>0</v>
      </c>
      <c r="FC245" s="160">
        <v>0</v>
      </c>
      <c r="FD245" s="160">
        <v>0</v>
      </c>
      <c r="FE245" s="160">
        <v>0</v>
      </c>
      <c r="FF245" s="160">
        <v>0</v>
      </c>
      <c r="FG245" s="160">
        <v>0</v>
      </c>
      <c r="FH245" s="160">
        <v>0</v>
      </c>
      <c r="FI245" s="160">
        <v>0</v>
      </c>
      <c r="FJ245" s="160">
        <v>0</v>
      </c>
      <c r="FK245" s="160">
        <v>0</v>
      </c>
      <c r="FL245" s="160">
        <v>0</v>
      </c>
      <c r="FM245" s="160">
        <v>0</v>
      </c>
      <c r="FN245" s="160">
        <v>0</v>
      </c>
      <c r="FO245" s="160">
        <v>0</v>
      </c>
      <c r="FP245" s="160">
        <v>0</v>
      </c>
      <c r="FQ245" s="160">
        <v>0</v>
      </c>
      <c r="FR245" s="160">
        <v>0</v>
      </c>
      <c r="FS245" s="160">
        <v>0</v>
      </c>
      <c r="FT245" s="160">
        <v>0</v>
      </c>
      <c r="FU245" s="160">
        <v>0</v>
      </c>
      <c r="FV245" s="160">
        <v>0</v>
      </c>
      <c r="FW245" s="160">
        <v>0</v>
      </c>
      <c r="FX245" s="160">
        <v>0</v>
      </c>
      <c r="FY245" s="160">
        <v>0</v>
      </c>
      <c r="FZ245" s="160">
        <v>0</v>
      </c>
      <c r="GA245" s="160">
        <v>0</v>
      </c>
      <c r="GB245" s="160">
        <v>0</v>
      </c>
      <c r="GC245" s="160">
        <v>0</v>
      </c>
      <c r="GD245" s="160">
        <v>0</v>
      </c>
      <c r="GE245" s="160">
        <v>0</v>
      </c>
      <c r="GF245" s="160">
        <v>0</v>
      </c>
      <c r="GG245" s="160">
        <v>0</v>
      </c>
      <c r="GH245" s="160">
        <v>0</v>
      </c>
      <c r="GI245" s="160">
        <v>0</v>
      </c>
      <c r="GJ245" s="160">
        <v>0</v>
      </c>
      <c r="GK245" s="160">
        <v>0</v>
      </c>
      <c r="GL245" s="160">
        <v>0</v>
      </c>
      <c r="GM245" s="160">
        <v>0</v>
      </c>
      <c r="GN245" s="160">
        <v>0</v>
      </c>
      <c r="GO245" s="160">
        <v>0</v>
      </c>
      <c r="GP245" s="160">
        <v>0</v>
      </c>
      <c r="GQ245" s="160">
        <v>0</v>
      </c>
      <c r="GR245" s="160">
        <v>0</v>
      </c>
      <c r="GS245" s="160">
        <v>0</v>
      </c>
      <c r="GT245" s="160">
        <v>0</v>
      </c>
      <c r="GU245" s="160">
        <v>0</v>
      </c>
      <c r="GV245" s="160">
        <v>0</v>
      </c>
      <c r="GW245" s="160">
        <v>0</v>
      </c>
      <c r="GX245" s="160">
        <v>0</v>
      </c>
      <c r="GY245" s="160">
        <v>0</v>
      </c>
      <c r="GZ245" s="160">
        <v>0</v>
      </c>
      <c r="HA245" s="160">
        <v>0</v>
      </c>
      <c r="HB245" s="160">
        <v>0</v>
      </c>
      <c r="HC245" s="160">
        <v>0</v>
      </c>
      <c r="HD245" s="160">
        <v>0</v>
      </c>
      <c r="HE245" s="160">
        <v>0</v>
      </c>
      <c r="HF245" s="160">
        <v>0</v>
      </c>
      <c r="HG245" s="160">
        <v>0</v>
      </c>
      <c r="HH245" s="160">
        <v>0</v>
      </c>
      <c r="HI245" s="160">
        <v>0</v>
      </c>
      <c r="HJ245" s="160">
        <v>0</v>
      </c>
      <c r="HK245" s="160">
        <v>0</v>
      </c>
      <c r="HL245" s="160">
        <v>0</v>
      </c>
      <c r="HM245" s="160">
        <v>0</v>
      </c>
      <c r="HN245" s="160">
        <v>0</v>
      </c>
      <c r="HO245" s="160">
        <v>0</v>
      </c>
      <c r="HP245" s="160">
        <v>0</v>
      </c>
      <c r="HQ245" s="160">
        <v>0</v>
      </c>
      <c r="HR245" s="162">
        <v>10</v>
      </c>
      <c r="HS245" s="162">
        <v>10</v>
      </c>
      <c r="HT245" s="160">
        <v>0</v>
      </c>
      <c r="HU245" s="151"/>
      <c r="HV245" s="160">
        <v>0</v>
      </c>
      <c r="HW245" s="151"/>
      <c r="HX245" s="151"/>
      <c r="HY245" s="151"/>
      <c r="HZ245" s="151"/>
      <c r="IA245" s="151"/>
      <c r="IB245" s="151"/>
      <c r="IC245" s="151"/>
      <c r="ID245" s="151"/>
      <c r="IE245" s="151"/>
      <c r="IF245" s="151"/>
      <c r="IG245" s="151"/>
      <c r="IH245" s="151"/>
      <c r="II245" s="151"/>
      <c r="IJ245" s="151"/>
      <c r="IK245" s="151"/>
      <c r="IL245" s="151"/>
      <c r="IM245" s="151"/>
      <c r="IN245" s="151"/>
      <c r="IO245" s="151"/>
      <c r="IP245" s="151"/>
      <c r="IQ245" s="151"/>
      <c r="IR245" s="151"/>
      <c r="IS245" s="151"/>
      <c r="IT245" s="151"/>
      <c r="IU245" s="151"/>
      <c r="IV245" s="151"/>
      <c r="IW245" s="151"/>
      <c r="IX245" s="151"/>
      <c r="IY245" s="151"/>
      <c r="IZ245" s="151"/>
      <c r="JA245" s="151"/>
      <c r="JB245" s="151"/>
      <c r="JC245" s="151"/>
      <c r="JD245" s="151"/>
      <c r="JE245" s="151"/>
      <c r="JF245" s="151"/>
      <c r="JG245" s="151"/>
      <c r="JH245" s="151"/>
      <c r="JI245" s="151"/>
      <c r="JJ245" s="151"/>
      <c r="JK245" s="151"/>
      <c r="JL245" s="151"/>
      <c r="JM245" s="151"/>
      <c r="JN245" s="151"/>
      <c r="JO245" s="151"/>
      <c r="JP245" s="151"/>
      <c r="JQ245" s="151"/>
      <c r="JR245" s="151"/>
      <c r="JS245" s="151"/>
      <c r="JT245" s="151"/>
      <c r="JU245" s="151"/>
      <c r="JV245" s="151"/>
      <c r="JW245" s="151"/>
      <c r="JX245" s="151"/>
      <c r="JY245" s="151"/>
      <c r="JZ245" s="151"/>
      <c r="KA245" s="151"/>
      <c r="KB245" s="151"/>
      <c r="KC245" s="151"/>
      <c r="KD245" s="151"/>
      <c r="KE245" s="151"/>
      <c r="KF245" s="151"/>
      <c r="KG245" s="151"/>
      <c r="KH245" s="151"/>
      <c r="KI245" s="151"/>
      <c r="KJ245" s="151"/>
      <c r="KK245" s="151"/>
      <c r="KL245" s="151"/>
      <c r="KM245" s="151"/>
      <c r="KN245" s="151"/>
      <c r="KO245" s="151"/>
      <c r="KP245" s="151"/>
      <c r="KQ245" s="151"/>
      <c r="KR245" s="151"/>
      <c r="KS245" s="151"/>
      <c r="KT245" s="151"/>
      <c r="KU245" s="151"/>
      <c r="KV245" s="151"/>
      <c r="KW245" s="151"/>
      <c r="KX245" s="151"/>
      <c r="KY245" s="151"/>
      <c r="KZ245" s="151"/>
      <c r="LA245" s="151"/>
      <c r="LB245" s="151"/>
      <c r="LC245" s="151"/>
      <c r="LD245" s="151"/>
      <c r="LE245" s="151"/>
    </row>
    <row r="246" spans="1:317" x14ac:dyDescent="0.2">
      <c r="A246" s="179" t="s">
        <v>849</v>
      </c>
      <c r="B246" s="180" t="s">
        <v>1145</v>
      </c>
      <c r="C246" s="181"/>
      <c r="D246" s="182">
        <v>0</v>
      </c>
      <c r="E246" s="182">
        <v>0</v>
      </c>
      <c r="F246" s="183" t="s">
        <v>1333</v>
      </c>
      <c r="G246" s="183">
        <v>0</v>
      </c>
      <c r="H246" s="183">
        <v>0</v>
      </c>
      <c r="I246" s="183">
        <v>0</v>
      </c>
      <c r="J246" s="183">
        <v>0</v>
      </c>
      <c r="K246" s="183" t="s">
        <v>1383</v>
      </c>
      <c r="L246" s="183">
        <v>0</v>
      </c>
      <c r="M246" s="183">
        <v>0</v>
      </c>
      <c r="N246" s="183" t="s">
        <v>872</v>
      </c>
      <c r="O246" s="183">
        <v>0</v>
      </c>
      <c r="P246" s="183">
        <v>0</v>
      </c>
      <c r="Q246" s="183"/>
      <c r="R246" s="183"/>
      <c r="S246" s="183"/>
      <c r="T246" s="183"/>
      <c r="U246" s="183"/>
      <c r="V246" s="183">
        <v>0</v>
      </c>
      <c r="W246" s="183">
        <v>0</v>
      </c>
      <c r="X246" s="183">
        <v>0</v>
      </c>
      <c r="Y246" s="184">
        <v>6.34</v>
      </c>
      <c r="Z246" s="184">
        <v>0</v>
      </c>
      <c r="AA246" s="184">
        <v>0</v>
      </c>
      <c r="AB246" s="185" t="s">
        <v>615</v>
      </c>
      <c r="AC246" s="185" t="s">
        <v>615</v>
      </c>
      <c r="AD246" s="186" t="s">
        <v>872</v>
      </c>
      <c r="AE246" s="186" t="s">
        <v>852</v>
      </c>
      <c r="AF246" s="187">
        <v>7</v>
      </c>
      <c r="AG246" s="187">
        <v>3</v>
      </c>
      <c r="AH246" s="187">
        <v>4</v>
      </c>
      <c r="AI246" s="188">
        <v>1</v>
      </c>
      <c r="AJ246" s="188" t="s">
        <v>615</v>
      </c>
      <c r="AK246" s="187" t="s">
        <v>1738</v>
      </c>
      <c r="AL246" s="87" t="s">
        <v>615</v>
      </c>
      <c r="AM246" s="189"/>
      <c r="AN246" s="187" t="s">
        <v>615</v>
      </c>
      <c r="AO246" s="13" t="s">
        <v>615</v>
      </c>
      <c r="AP246" s="187">
        <v>0</v>
      </c>
      <c r="AQ246" s="187">
        <v>0</v>
      </c>
      <c r="AR246" s="190">
        <v>0</v>
      </c>
      <c r="AS246" s="190">
        <v>0</v>
      </c>
      <c r="AT246" s="190">
        <v>0</v>
      </c>
      <c r="AU246" s="187">
        <v>0</v>
      </c>
      <c r="AV246" s="187">
        <v>0</v>
      </c>
      <c r="AW246" s="191"/>
      <c r="AX246" s="192"/>
      <c r="AY246" s="193">
        <v>42666</v>
      </c>
      <c r="AZ246" s="193"/>
      <c r="BA246" s="193"/>
      <c r="BB246" s="194"/>
      <c r="BC246" s="194"/>
      <c r="BD246" s="195"/>
      <c r="BE246" s="195" t="s">
        <v>532</v>
      </c>
      <c r="BF246" s="195"/>
      <c r="BG246" s="195">
        <v>20</v>
      </c>
      <c r="BH246" s="196" t="s">
        <v>547</v>
      </c>
      <c r="BI246" s="197">
        <v>1</v>
      </c>
      <c r="BJ246" s="198"/>
      <c r="BK246" s="199">
        <v>0</v>
      </c>
      <c r="BL246" s="13">
        <v>0</v>
      </c>
      <c r="BM246" s="13">
        <v>0</v>
      </c>
      <c r="BN246" s="13" t="s">
        <v>616</v>
      </c>
      <c r="BO246" s="13" t="s">
        <v>616</v>
      </c>
      <c r="BP246" s="200">
        <v>14</v>
      </c>
      <c r="BQ246" s="201"/>
      <c r="BR246" s="202"/>
      <c r="BS246" s="187">
        <v>1000000000</v>
      </c>
      <c r="BT246" s="203">
        <v>19</v>
      </c>
      <c r="BU246" s="204">
        <v>0</v>
      </c>
      <c r="BV246" s="203">
        <v>0</v>
      </c>
      <c r="BW246" s="205">
        <v>0</v>
      </c>
      <c r="BX246" s="205">
        <v>0</v>
      </c>
      <c r="BY246" s="205">
        <v>0</v>
      </c>
      <c r="BZ246" s="203">
        <v>0</v>
      </c>
      <c r="CA246" s="203">
        <v>0</v>
      </c>
      <c r="CB246" s="203">
        <v>19</v>
      </c>
      <c r="CC246" s="204">
        <v>0</v>
      </c>
      <c r="CD246" s="203">
        <v>0</v>
      </c>
      <c r="CE246" s="203">
        <v>0</v>
      </c>
      <c r="CF246" s="13">
        <v>0</v>
      </c>
      <c r="CG246" s="206">
        <v>0</v>
      </c>
      <c r="CH246" s="207">
        <v>0</v>
      </c>
      <c r="CI246" s="201"/>
      <c r="CJ246" s="208"/>
      <c r="CK246" s="209" t="s">
        <v>615</v>
      </c>
      <c r="CL246" s="210" t="s">
        <v>615</v>
      </c>
      <c r="CM246" s="207">
        <v>0</v>
      </c>
      <c r="CN246" s="207">
        <v>0</v>
      </c>
      <c r="CO246" s="204">
        <v>0</v>
      </c>
      <c r="CP246" s="204">
        <v>0</v>
      </c>
      <c r="CQ246" s="211"/>
      <c r="CR246" s="204">
        <v>1</v>
      </c>
      <c r="CS246" s="212">
        <v>42558</v>
      </c>
      <c r="CT246" s="212">
        <v>42780</v>
      </c>
      <c r="CU246" s="213">
        <v>42780</v>
      </c>
      <c r="CV246" s="214">
        <v>42829</v>
      </c>
      <c r="CW246" s="214" t="s">
        <v>615</v>
      </c>
      <c r="CX246" s="214" t="s">
        <v>615</v>
      </c>
      <c r="CY246" s="204">
        <v>0</v>
      </c>
      <c r="CZ246" s="204">
        <v>0.97959183673469385</v>
      </c>
      <c r="DA246" s="203">
        <v>0</v>
      </c>
      <c r="DB246" s="204">
        <v>0</v>
      </c>
      <c r="DC246" s="204">
        <v>0</v>
      </c>
      <c r="DD246" s="204">
        <v>0</v>
      </c>
      <c r="DE246" s="204">
        <v>0</v>
      </c>
      <c r="DF246" s="215">
        <v>0.97959183673469385</v>
      </c>
      <c r="DG246" s="13" t="s">
        <v>615</v>
      </c>
      <c r="DH246" s="86">
        <v>244</v>
      </c>
      <c r="DI246" s="86"/>
      <c r="DJ246" s="86">
        <v>32</v>
      </c>
      <c r="DK246" s="86" t="s">
        <v>1480</v>
      </c>
      <c r="DL246" s="86" t="e">
        <v>#N/A</v>
      </c>
      <c r="DM246" s="86">
        <v>23</v>
      </c>
      <c r="DN246" s="86" t="e">
        <v>#N/A</v>
      </c>
      <c r="DO246" s="86">
        <v>33</v>
      </c>
      <c r="DP246" s="86">
        <v>2</v>
      </c>
      <c r="DQ246" s="86">
        <v>49</v>
      </c>
      <c r="DR246" s="152">
        <v>19</v>
      </c>
      <c r="DS246" s="152">
        <v>19</v>
      </c>
      <c r="DT246" s="152">
        <v>19</v>
      </c>
      <c r="DU246" s="152">
        <v>19</v>
      </c>
      <c r="DV246" s="152">
        <v>19</v>
      </c>
      <c r="DW246" s="152">
        <v>19</v>
      </c>
      <c r="DX246" s="152">
        <v>19</v>
      </c>
      <c r="DY246" s="152">
        <v>19</v>
      </c>
      <c r="DZ246" s="152">
        <v>19</v>
      </c>
      <c r="EA246" s="152">
        <v>19</v>
      </c>
      <c r="EB246" s="152">
        <v>19</v>
      </c>
      <c r="EC246" s="152">
        <v>19</v>
      </c>
      <c r="ED246" s="152">
        <v>19</v>
      </c>
      <c r="EE246" s="152">
        <v>19</v>
      </c>
      <c r="EF246" s="152">
        <v>19</v>
      </c>
      <c r="EG246" s="152">
        <v>19</v>
      </c>
      <c r="EH246" s="152">
        <v>19</v>
      </c>
      <c r="EI246" s="152">
        <v>19</v>
      </c>
      <c r="EJ246" s="152">
        <v>19</v>
      </c>
      <c r="EK246" s="152">
        <v>19</v>
      </c>
      <c r="EL246" s="152">
        <v>19</v>
      </c>
      <c r="EM246" s="152">
        <v>19</v>
      </c>
      <c r="EN246" s="152">
        <v>19</v>
      </c>
      <c r="EO246" s="152">
        <v>19</v>
      </c>
      <c r="EP246" s="152">
        <v>19</v>
      </c>
      <c r="EQ246" s="152">
        <v>19</v>
      </c>
      <c r="ER246" s="152">
        <v>19</v>
      </c>
      <c r="ES246" s="152">
        <v>19</v>
      </c>
      <c r="ET246" s="152">
        <v>19</v>
      </c>
      <c r="EU246" s="152">
        <v>19</v>
      </c>
      <c r="EV246" s="152">
        <v>19</v>
      </c>
      <c r="EW246" s="152">
        <v>19</v>
      </c>
      <c r="EX246" s="152">
        <v>19</v>
      </c>
      <c r="EY246" s="152">
        <v>19</v>
      </c>
      <c r="EZ246" s="152">
        <v>19</v>
      </c>
      <c r="FA246" s="152">
        <v>19</v>
      </c>
      <c r="FB246" s="152">
        <v>19</v>
      </c>
      <c r="FC246" s="152">
        <v>19</v>
      </c>
      <c r="FD246" s="152">
        <v>19</v>
      </c>
      <c r="FE246" s="152">
        <v>19</v>
      </c>
      <c r="FF246" s="152">
        <v>19</v>
      </c>
      <c r="FG246" s="152">
        <v>19</v>
      </c>
      <c r="FH246" s="152">
        <v>19</v>
      </c>
      <c r="FI246" s="152">
        <v>19</v>
      </c>
      <c r="FJ246" s="152">
        <v>19</v>
      </c>
      <c r="FK246" s="152">
        <v>19</v>
      </c>
      <c r="FL246" s="152">
        <v>19</v>
      </c>
      <c r="FM246" s="152">
        <v>19</v>
      </c>
      <c r="FN246" s="152">
        <v>19</v>
      </c>
      <c r="FO246" s="152">
        <v>19</v>
      </c>
      <c r="FP246" s="152">
        <v>19</v>
      </c>
      <c r="FQ246" s="152">
        <v>19</v>
      </c>
      <c r="FR246" s="152">
        <v>19</v>
      </c>
      <c r="FS246" s="164">
        <v>19</v>
      </c>
      <c r="FT246" s="164">
        <v>19</v>
      </c>
      <c r="FU246" s="164">
        <v>19</v>
      </c>
      <c r="FV246" s="164">
        <v>19</v>
      </c>
      <c r="FW246" s="164">
        <v>19</v>
      </c>
      <c r="FX246" s="164">
        <v>19</v>
      </c>
      <c r="FY246" s="164">
        <v>19</v>
      </c>
      <c r="FZ246" s="164">
        <v>19</v>
      </c>
      <c r="GA246" s="164">
        <v>19</v>
      </c>
      <c r="GB246" s="164">
        <v>19</v>
      </c>
      <c r="GC246" s="164">
        <v>19</v>
      </c>
      <c r="GD246" s="164">
        <v>19</v>
      </c>
      <c r="GE246" s="164">
        <v>19</v>
      </c>
      <c r="GF246" s="164">
        <v>19</v>
      </c>
      <c r="GG246" s="164">
        <v>19</v>
      </c>
      <c r="GH246" s="164">
        <v>19</v>
      </c>
      <c r="GI246" s="164">
        <v>19</v>
      </c>
      <c r="GJ246" s="164">
        <v>19</v>
      </c>
      <c r="GK246" s="164">
        <v>19</v>
      </c>
      <c r="GL246" s="164">
        <v>19</v>
      </c>
      <c r="GM246" s="164">
        <v>19</v>
      </c>
      <c r="GN246" s="164">
        <v>19</v>
      </c>
      <c r="GO246" s="164">
        <v>19</v>
      </c>
      <c r="GP246" s="164">
        <v>19</v>
      </c>
      <c r="GQ246" s="164">
        <v>19</v>
      </c>
      <c r="GR246" s="164">
        <v>19</v>
      </c>
      <c r="GS246" s="164">
        <v>19</v>
      </c>
      <c r="GT246" s="164">
        <v>19</v>
      </c>
      <c r="GU246" s="164">
        <v>19</v>
      </c>
      <c r="GV246" s="164">
        <v>19</v>
      </c>
      <c r="GW246" s="164">
        <v>19</v>
      </c>
      <c r="GX246" s="164">
        <v>19</v>
      </c>
      <c r="GY246" s="164">
        <v>19</v>
      </c>
      <c r="GZ246" s="164">
        <v>19</v>
      </c>
      <c r="HA246" s="164">
        <v>19</v>
      </c>
      <c r="HB246" s="164">
        <v>19</v>
      </c>
      <c r="HC246" s="164">
        <v>19</v>
      </c>
      <c r="HD246" s="164">
        <v>19</v>
      </c>
      <c r="HE246" s="164">
        <v>19</v>
      </c>
      <c r="HF246" s="164">
        <v>19</v>
      </c>
      <c r="HG246" s="167">
        <v>19</v>
      </c>
      <c r="HH246" s="167">
        <v>19</v>
      </c>
      <c r="HI246" s="152">
        <v>19</v>
      </c>
      <c r="HJ246" s="152">
        <v>19</v>
      </c>
      <c r="HK246" s="152">
        <v>19</v>
      </c>
      <c r="HL246" s="152">
        <v>19</v>
      </c>
      <c r="HM246" s="152">
        <v>19</v>
      </c>
      <c r="HN246" s="152">
        <v>19</v>
      </c>
      <c r="HO246" s="152">
        <v>19</v>
      </c>
      <c r="HP246" s="152">
        <v>19</v>
      </c>
      <c r="HQ246" s="152">
        <v>19</v>
      </c>
      <c r="HR246" s="152">
        <v>19</v>
      </c>
      <c r="HS246" s="152">
        <v>19</v>
      </c>
      <c r="HT246" s="152">
        <v>19</v>
      </c>
      <c r="HU246" s="216"/>
      <c r="HV246" s="152">
        <v>19</v>
      </c>
      <c r="HW246" s="216"/>
      <c r="HX246" s="216"/>
      <c r="HY246" s="216"/>
      <c r="HZ246" s="216"/>
      <c r="IA246" s="216"/>
      <c r="IB246" s="216"/>
      <c r="IC246" s="216"/>
      <c r="ID246" s="216"/>
      <c r="IE246" s="216"/>
      <c r="IF246" s="216"/>
      <c r="IG246" s="216"/>
      <c r="IH246" s="216"/>
      <c r="II246" s="216"/>
      <c r="IJ246" s="216"/>
      <c r="IK246" s="216"/>
      <c r="IL246" s="216"/>
      <c r="IM246" s="216"/>
      <c r="IN246" s="216"/>
      <c r="IO246" s="216"/>
      <c r="IP246" s="216"/>
      <c r="IQ246" s="216"/>
      <c r="IR246" s="216"/>
      <c r="IS246" s="216"/>
      <c r="IT246" s="216"/>
      <c r="IU246" s="216"/>
      <c r="IV246" s="216"/>
      <c r="IW246" s="216"/>
      <c r="IX246" s="216"/>
      <c r="IY246" s="216"/>
      <c r="IZ246" s="216"/>
      <c r="JA246" s="216"/>
      <c r="JB246" s="216"/>
      <c r="JC246" s="216"/>
      <c r="JD246" s="216"/>
      <c r="JE246" s="216"/>
      <c r="JF246" s="216"/>
      <c r="JG246" s="216"/>
      <c r="JH246" s="216"/>
      <c r="JI246" s="216"/>
      <c r="JJ246" s="216"/>
      <c r="JK246" s="216"/>
      <c r="JL246" s="216"/>
      <c r="JM246" s="216"/>
      <c r="JN246" s="216"/>
      <c r="JO246" s="216"/>
      <c r="JP246" s="216"/>
      <c r="JQ246" s="216"/>
      <c r="JR246" s="216"/>
      <c r="JS246" s="216"/>
      <c r="JT246" s="216"/>
      <c r="JU246" s="216"/>
      <c r="JV246" s="216"/>
      <c r="JW246" s="216"/>
      <c r="JX246" s="216"/>
      <c r="JY246" s="216"/>
      <c r="JZ246" s="216"/>
      <c r="KA246" s="216"/>
      <c r="KB246" s="216"/>
      <c r="KC246" s="216"/>
      <c r="KD246" s="216"/>
      <c r="KE246" s="216"/>
      <c r="KF246" s="216"/>
      <c r="KG246" s="216"/>
      <c r="KH246" s="216"/>
      <c r="KI246" s="216"/>
      <c r="KJ246" s="216"/>
      <c r="KK246" s="216"/>
      <c r="KL246" s="216"/>
      <c r="KM246" s="216"/>
      <c r="KN246" s="216"/>
      <c r="KO246" s="216"/>
      <c r="KP246" s="216"/>
      <c r="KQ246" s="216"/>
      <c r="KR246" s="216"/>
      <c r="KS246" s="216"/>
      <c r="KT246" s="216"/>
      <c r="KU246" s="216"/>
      <c r="KV246" s="216"/>
      <c r="KW246" s="216"/>
      <c r="KX246" s="216"/>
      <c r="KY246" s="216"/>
      <c r="KZ246" s="216"/>
      <c r="LA246" s="216"/>
      <c r="LB246" s="216"/>
      <c r="LC246" s="216"/>
      <c r="LD246" s="216"/>
      <c r="LE246" s="216"/>
    </row>
    <row r="247" spans="1:317" x14ac:dyDescent="0.2">
      <c r="A247" s="179" t="s">
        <v>849</v>
      </c>
      <c r="B247" s="180" t="s">
        <v>1146</v>
      </c>
      <c r="C247" s="181"/>
      <c r="D247" s="182">
        <v>0</v>
      </c>
      <c r="E247" s="182">
        <v>0</v>
      </c>
      <c r="F247" s="183" t="s">
        <v>1334</v>
      </c>
      <c r="G247" s="183">
        <v>0</v>
      </c>
      <c r="H247" s="183">
        <v>0</v>
      </c>
      <c r="I247" s="183">
        <v>0</v>
      </c>
      <c r="J247" s="183">
        <v>0</v>
      </c>
      <c r="K247" s="183" t="s">
        <v>1400</v>
      </c>
      <c r="L247" s="183">
        <v>0</v>
      </c>
      <c r="M247" s="183">
        <v>0</v>
      </c>
      <c r="N247" s="183" t="s">
        <v>878</v>
      </c>
      <c r="O247" s="183">
        <v>0</v>
      </c>
      <c r="P247" s="183">
        <v>0</v>
      </c>
      <c r="Q247" s="183"/>
      <c r="R247" s="183"/>
      <c r="S247" s="183"/>
      <c r="T247" s="183"/>
      <c r="U247" s="183"/>
      <c r="V247" s="183">
        <v>0</v>
      </c>
      <c r="W247" s="183">
        <v>0</v>
      </c>
      <c r="X247" s="183">
        <v>0</v>
      </c>
      <c r="Y247" s="184">
        <v>2.76</v>
      </c>
      <c r="Z247" s="184">
        <v>4.5199999999999996</v>
      </c>
      <c r="AA247" s="184">
        <v>0</v>
      </c>
      <c r="AB247" s="185" t="s">
        <v>615</v>
      </c>
      <c r="AC247" s="185" t="s">
        <v>615</v>
      </c>
      <c r="AD247" s="186" t="s">
        <v>878</v>
      </c>
      <c r="AE247" s="186" t="s">
        <v>866</v>
      </c>
      <c r="AF247" s="187">
        <v>11</v>
      </c>
      <c r="AG247" s="187">
        <v>5</v>
      </c>
      <c r="AH247" s="187">
        <v>6</v>
      </c>
      <c r="AI247" s="188">
        <v>1</v>
      </c>
      <c r="AJ247" s="188" t="s">
        <v>615</v>
      </c>
      <c r="AK247" s="187" t="s">
        <v>1740</v>
      </c>
      <c r="AL247" s="87" t="s">
        <v>615</v>
      </c>
      <c r="AM247" s="189"/>
      <c r="AN247" s="187" t="s">
        <v>615</v>
      </c>
      <c r="AO247" s="13" t="s">
        <v>615</v>
      </c>
      <c r="AP247" s="187">
        <v>0.36</v>
      </c>
      <c r="AQ247" s="187">
        <v>6</v>
      </c>
      <c r="AR247" s="190">
        <v>83.333333333333343</v>
      </c>
      <c r="AS247" s="190">
        <v>313.88888888888891</v>
      </c>
      <c r="AT247" s="190">
        <v>0</v>
      </c>
      <c r="AU247" s="187">
        <v>0</v>
      </c>
      <c r="AV247" s="187">
        <v>0</v>
      </c>
      <c r="AW247" s="191"/>
      <c r="AX247" s="192"/>
      <c r="AY247" s="193">
        <v>42840</v>
      </c>
      <c r="AZ247" s="193"/>
      <c r="BA247" s="193"/>
      <c r="BB247" s="194"/>
      <c r="BC247" s="194"/>
      <c r="BD247" s="195"/>
      <c r="BE247" s="195" t="s">
        <v>532</v>
      </c>
      <c r="BF247" s="195"/>
      <c r="BG247" s="195">
        <v>100</v>
      </c>
      <c r="BH247" s="196" t="s">
        <v>547</v>
      </c>
      <c r="BI247" s="197">
        <v>1</v>
      </c>
      <c r="BJ247" s="198"/>
      <c r="BK247" s="199">
        <v>120</v>
      </c>
      <c r="BL247" s="13">
        <v>80</v>
      </c>
      <c r="BM247" s="13">
        <v>40</v>
      </c>
      <c r="BN247" s="13" t="s">
        <v>620</v>
      </c>
      <c r="BO247" s="13" t="s">
        <v>620</v>
      </c>
      <c r="BP247" s="200">
        <v>0</v>
      </c>
      <c r="BQ247" s="201"/>
      <c r="BR247" s="202"/>
      <c r="BS247" s="187">
        <v>1000000000</v>
      </c>
      <c r="BT247" s="203">
        <v>452</v>
      </c>
      <c r="BU247" s="204">
        <v>-2.77</v>
      </c>
      <c r="BV247" s="203">
        <v>0</v>
      </c>
      <c r="BW247" s="205">
        <v>0</v>
      </c>
      <c r="BX247" s="205">
        <v>0</v>
      </c>
      <c r="BY247" s="205">
        <v>0</v>
      </c>
      <c r="BZ247" s="203">
        <v>0</v>
      </c>
      <c r="CA247" s="203">
        <v>0</v>
      </c>
      <c r="CB247" s="203">
        <v>452</v>
      </c>
      <c r="CC247" s="204">
        <v>-2.77</v>
      </c>
      <c r="CD247" s="203">
        <v>0</v>
      </c>
      <c r="CE247" s="203">
        <v>0</v>
      </c>
      <c r="CF247" s="13">
        <v>0</v>
      </c>
      <c r="CG247" s="206">
        <v>0</v>
      </c>
      <c r="CH247" s="207">
        <v>65</v>
      </c>
      <c r="CI247" s="201"/>
      <c r="CJ247" s="208"/>
      <c r="CK247" s="209" t="s">
        <v>615</v>
      </c>
      <c r="CL247" s="210" t="s">
        <v>615</v>
      </c>
      <c r="CM247" s="207">
        <v>0</v>
      </c>
      <c r="CN247" s="207">
        <v>916.31999999999994</v>
      </c>
      <c r="CO247" s="204">
        <v>0</v>
      </c>
      <c r="CP247" s="204">
        <v>2.7826086956521734</v>
      </c>
      <c r="CQ247" s="211"/>
      <c r="CR247" s="204">
        <v>1</v>
      </c>
      <c r="CS247" s="212">
        <v>42766</v>
      </c>
      <c r="CT247" s="212">
        <v>42766</v>
      </c>
      <c r="CU247" s="213">
        <v>42766</v>
      </c>
      <c r="CV247" s="214">
        <v>42843</v>
      </c>
      <c r="CW247" s="214" t="s">
        <v>615</v>
      </c>
      <c r="CX247" s="214" t="s">
        <v>615</v>
      </c>
      <c r="CY247" s="204">
        <v>5.7665275991179085E-3</v>
      </c>
      <c r="CZ247" s="204">
        <v>0.83561643835616439</v>
      </c>
      <c r="DA247" s="203">
        <v>0</v>
      </c>
      <c r="DB247" s="204">
        <v>0</v>
      </c>
      <c r="DC247" s="204">
        <v>0</v>
      </c>
      <c r="DD247" s="204">
        <v>0</v>
      </c>
      <c r="DE247" s="204">
        <v>0</v>
      </c>
      <c r="DF247" s="215">
        <v>0.83561643835616439</v>
      </c>
      <c r="DG247" s="13" t="s">
        <v>615</v>
      </c>
      <c r="DH247" s="86">
        <v>245</v>
      </c>
      <c r="DI247" s="86"/>
      <c r="DJ247" s="86">
        <v>1</v>
      </c>
      <c r="DK247" s="86" t="s">
        <v>1445</v>
      </c>
      <c r="DL247" s="86">
        <v>1</v>
      </c>
      <c r="DM247" s="86">
        <v>1</v>
      </c>
      <c r="DN247" s="86" t="e">
        <v>#N/A</v>
      </c>
      <c r="DO247" s="86">
        <v>1</v>
      </c>
      <c r="DP247" s="86">
        <v>9</v>
      </c>
      <c r="DQ247" s="86">
        <v>73</v>
      </c>
      <c r="DR247" s="151"/>
      <c r="DS247" s="152"/>
      <c r="DT247" s="151"/>
      <c r="DU247" s="151"/>
      <c r="DV247" s="151"/>
      <c r="DW247" s="151"/>
      <c r="DX247" s="151"/>
      <c r="DY247" s="152"/>
      <c r="DZ247" s="151"/>
      <c r="EA247" s="151"/>
      <c r="EB247" s="151"/>
      <c r="EC247" s="151"/>
      <c r="ED247" s="151"/>
      <c r="EE247" s="151"/>
      <c r="EF247" s="226"/>
      <c r="EG247" s="226"/>
      <c r="EH247" s="151"/>
      <c r="EI247" s="151"/>
      <c r="EJ247" s="151"/>
      <c r="EK247" s="151"/>
      <c r="EL247" s="151"/>
      <c r="EM247" s="226"/>
      <c r="EN247" s="151"/>
      <c r="EO247" s="151"/>
      <c r="EP247" s="151"/>
      <c r="EQ247" s="151"/>
      <c r="ER247" s="226"/>
      <c r="ES247" s="226"/>
      <c r="ET247" s="151"/>
      <c r="EU247" s="151"/>
      <c r="EV247" s="151"/>
      <c r="EW247" s="151"/>
      <c r="EX247" s="151"/>
      <c r="EY247" s="226"/>
      <c r="EZ247" s="151"/>
      <c r="FA247" s="151"/>
      <c r="FB247" s="151"/>
      <c r="FC247" s="151"/>
      <c r="FD247" s="151"/>
      <c r="FE247" s="226"/>
      <c r="FF247" s="151"/>
      <c r="FG247" s="151"/>
      <c r="FH247" s="151"/>
      <c r="FI247" s="226"/>
      <c r="FJ247" s="226"/>
      <c r="FK247" s="151"/>
      <c r="FL247" s="151"/>
      <c r="FM247" s="167">
        <v>452</v>
      </c>
      <c r="FN247" s="167">
        <v>452</v>
      </c>
      <c r="FO247" s="161">
        <v>447</v>
      </c>
      <c r="FP247" s="161">
        <v>447</v>
      </c>
      <c r="FQ247" s="161">
        <v>447</v>
      </c>
      <c r="FR247" s="161">
        <v>447</v>
      </c>
      <c r="FS247" s="161">
        <v>447</v>
      </c>
      <c r="FT247" s="161">
        <v>447</v>
      </c>
      <c r="FU247" s="161">
        <v>447</v>
      </c>
      <c r="FV247" s="161">
        <v>447</v>
      </c>
      <c r="FW247" s="161">
        <v>447</v>
      </c>
      <c r="FX247" s="161">
        <v>447</v>
      </c>
      <c r="FY247" s="161">
        <v>447</v>
      </c>
      <c r="FZ247" s="161">
        <v>447</v>
      </c>
      <c r="GA247" s="161">
        <v>447</v>
      </c>
      <c r="GB247" s="161">
        <v>447</v>
      </c>
      <c r="GC247" s="161">
        <v>447</v>
      </c>
      <c r="GD247" s="161">
        <v>447</v>
      </c>
      <c r="GE247" s="161">
        <v>447</v>
      </c>
      <c r="GF247" s="161">
        <v>447</v>
      </c>
      <c r="GG247" s="161">
        <v>447</v>
      </c>
      <c r="GH247" s="161">
        <v>447</v>
      </c>
      <c r="GI247" s="161">
        <v>447</v>
      </c>
      <c r="GJ247" s="161">
        <v>447</v>
      </c>
      <c r="GK247" s="161">
        <v>447</v>
      </c>
      <c r="GL247" s="161">
        <v>447</v>
      </c>
      <c r="GM247" s="161">
        <v>447</v>
      </c>
      <c r="GN247" s="161">
        <v>447</v>
      </c>
      <c r="GO247" s="161">
        <v>447</v>
      </c>
      <c r="GP247" s="161">
        <v>447</v>
      </c>
      <c r="GQ247" s="161">
        <v>447</v>
      </c>
      <c r="GR247" s="161">
        <v>447</v>
      </c>
      <c r="GS247" s="161">
        <v>447</v>
      </c>
      <c r="GT247" s="161">
        <v>447</v>
      </c>
      <c r="GU247" s="161">
        <v>447</v>
      </c>
      <c r="GV247" s="161">
        <v>447</v>
      </c>
      <c r="GW247" s="161">
        <v>447</v>
      </c>
      <c r="GX247" s="161">
        <v>447</v>
      </c>
      <c r="GY247" s="161">
        <v>447</v>
      </c>
      <c r="GZ247" s="161">
        <v>447</v>
      </c>
      <c r="HA247" s="161">
        <v>447</v>
      </c>
      <c r="HB247" s="161">
        <v>447</v>
      </c>
      <c r="HC247" s="161">
        <v>447</v>
      </c>
      <c r="HD247" s="161">
        <v>447</v>
      </c>
      <c r="HE247" s="161">
        <v>447</v>
      </c>
      <c r="HF247" s="161">
        <v>447</v>
      </c>
      <c r="HG247" s="161">
        <v>447</v>
      </c>
      <c r="HH247" s="161">
        <v>447</v>
      </c>
      <c r="HI247" s="161">
        <v>447</v>
      </c>
      <c r="HJ247" s="161">
        <v>447</v>
      </c>
      <c r="HK247" s="161">
        <v>447</v>
      </c>
      <c r="HL247" s="161">
        <v>447</v>
      </c>
      <c r="HM247" s="161">
        <v>447</v>
      </c>
      <c r="HN247" s="161">
        <v>447</v>
      </c>
      <c r="HO247" s="161">
        <v>447</v>
      </c>
      <c r="HP247" s="161">
        <v>447</v>
      </c>
      <c r="HQ247" s="161">
        <v>437</v>
      </c>
      <c r="HR247" s="161">
        <v>437</v>
      </c>
      <c r="HS247" s="161">
        <v>437</v>
      </c>
      <c r="HT247" s="161">
        <v>452</v>
      </c>
      <c r="HU247" s="151"/>
      <c r="HV247" s="161">
        <v>452</v>
      </c>
      <c r="HW247" s="151"/>
      <c r="HX247" s="151"/>
      <c r="HY247" s="151"/>
      <c r="HZ247" s="151"/>
      <c r="IA247" s="151"/>
      <c r="IB247" s="151"/>
      <c r="IC247" s="151"/>
      <c r="ID247" s="151"/>
      <c r="IE247" s="151"/>
      <c r="IF247" s="151"/>
      <c r="IG247" s="151"/>
      <c r="IH247" s="151"/>
      <c r="II247" s="151"/>
      <c r="IJ247" s="151"/>
      <c r="IK247" s="151"/>
      <c r="IL247" s="151"/>
      <c r="IM247" s="151"/>
      <c r="IN247" s="151"/>
      <c r="IO247" s="151"/>
      <c r="IP247" s="151"/>
      <c r="IQ247" s="151"/>
      <c r="IR247" s="151"/>
      <c r="IS247" s="151"/>
      <c r="IT247" s="151"/>
      <c r="IU247" s="151"/>
      <c r="IV247" s="151"/>
      <c r="IW247" s="151"/>
      <c r="IX247" s="151"/>
      <c r="IY247" s="151"/>
      <c r="IZ247" s="151"/>
      <c r="JA247" s="151"/>
      <c r="JB247" s="151"/>
      <c r="JC247" s="151"/>
      <c r="JD247" s="151"/>
      <c r="JE247" s="151"/>
      <c r="JF247" s="151"/>
      <c r="JG247" s="151"/>
      <c r="JH247" s="151"/>
      <c r="JI247" s="151"/>
      <c r="JJ247" s="151"/>
      <c r="JK247" s="151"/>
      <c r="JL247" s="151"/>
      <c r="JM247" s="151"/>
      <c r="JN247" s="151"/>
      <c r="JO247" s="151"/>
      <c r="JP247" s="151"/>
      <c r="JQ247" s="151"/>
      <c r="JR247" s="151"/>
      <c r="JS247" s="151"/>
      <c r="JT247" s="151"/>
      <c r="JU247" s="151"/>
      <c r="JV247" s="151"/>
      <c r="JW247" s="151"/>
      <c r="JX247" s="151"/>
      <c r="JY247" s="151"/>
      <c r="JZ247" s="151"/>
      <c r="KA247" s="151"/>
      <c r="KB247" s="151"/>
      <c r="KC247" s="151"/>
      <c r="KD247" s="151"/>
      <c r="KE247" s="151"/>
      <c r="KF247" s="151"/>
      <c r="KG247" s="151"/>
      <c r="KH247" s="151"/>
      <c r="KI247" s="151"/>
      <c r="KJ247" s="151"/>
      <c r="KK247" s="151"/>
      <c r="KL247" s="151"/>
      <c r="KM247" s="151"/>
      <c r="KN247" s="151"/>
      <c r="KO247" s="151"/>
      <c r="KP247" s="151"/>
      <c r="KQ247" s="151"/>
      <c r="KR247" s="151"/>
      <c r="KS247" s="151"/>
      <c r="KT247" s="151"/>
      <c r="KU247" s="151"/>
      <c r="KV247" s="151"/>
      <c r="KW247" s="151"/>
      <c r="KX247" s="151"/>
      <c r="KY247" s="151"/>
      <c r="KZ247" s="151"/>
      <c r="LA247" s="151"/>
      <c r="LB247" s="151"/>
      <c r="LC247" s="151"/>
      <c r="LD247" s="151"/>
      <c r="LE247" s="151"/>
    </row>
    <row r="248" spans="1:317" x14ac:dyDescent="0.2">
      <c r="A248" s="179" t="s">
        <v>849</v>
      </c>
      <c r="B248" s="180" t="s">
        <v>1147</v>
      </c>
      <c r="C248" s="181"/>
      <c r="D248" s="182">
        <v>0</v>
      </c>
      <c r="E248" s="182">
        <v>0</v>
      </c>
      <c r="F248" s="183" t="s">
        <v>1335</v>
      </c>
      <c r="G248" s="183">
        <v>0</v>
      </c>
      <c r="H248" s="183">
        <v>0</v>
      </c>
      <c r="I248" s="183">
        <v>0</v>
      </c>
      <c r="J248" s="183">
        <v>0</v>
      </c>
      <c r="K248" s="183" t="s">
        <v>1399</v>
      </c>
      <c r="L248" s="183">
        <v>0</v>
      </c>
      <c r="M248" s="183">
        <v>0</v>
      </c>
      <c r="N248" s="183" t="s">
        <v>872</v>
      </c>
      <c r="O248" s="183">
        <v>0</v>
      </c>
      <c r="P248" s="183">
        <v>0</v>
      </c>
      <c r="Q248" s="183"/>
      <c r="R248" s="183"/>
      <c r="S248" s="183"/>
      <c r="T248" s="183"/>
      <c r="U248" s="183"/>
      <c r="V248" s="183">
        <v>0</v>
      </c>
      <c r="W248" s="183">
        <v>0</v>
      </c>
      <c r="X248" s="183">
        <v>0</v>
      </c>
      <c r="Y248" s="184">
        <v>9.91</v>
      </c>
      <c r="Z248" s="184">
        <v>18.45</v>
      </c>
      <c r="AA248" s="184">
        <v>0</v>
      </c>
      <c r="AB248" s="185" t="s">
        <v>615</v>
      </c>
      <c r="AC248" s="185" t="s">
        <v>615</v>
      </c>
      <c r="AD248" s="186" t="s">
        <v>872</v>
      </c>
      <c r="AE248" s="186" t="s">
        <v>852</v>
      </c>
      <c r="AF248" s="187">
        <v>7</v>
      </c>
      <c r="AG248" s="187">
        <v>3</v>
      </c>
      <c r="AH248" s="187">
        <v>4</v>
      </c>
      <c r="AI248" s="188">
        <v>1</v>
      </c>
      <c r="AJ248" s="188" t="s">
        <v>615</v>
      </c>
      <c r="AK248" s="187" t="s">
        <v>1741</v>
      </c>
      <c r="AL248" s="87" t="s">
        <v>615</v>
      </c>
      <c r="AM248" s="189"/>
      <c r="AN248" s="187" t="s">
        <v>615</v>
      </c>
      <c r="AO248" s="13" t="s">
        <v>615</v>
      </c>
      <c r="AP248" s="187">
        <v>0.05</v>
      </c>
      <c r="AQ248" s="187">
        <v>1</v>
      </c>
      <c r="AR248" s="190">
        <v>50</v>
      </c>
      <c r="AS248" s="190">
        <v>80</v>
      </c>
      <c r="AT248" s="190">
        <v>0</v>
      </c>
      <c r="AU248" s="187">
        <v>0</v>
      </c>
      <c r="AV248" s="187">
        <v>0</v>
      </c>
      <c r="AW248" s="191"/>
      <c r="AX248" s="192"/>
      <c r="AY248" s="193">
        <v>42845</v>
      </c>
      <c r="AZ248" s="193">
        <v>42796</v>
      </c>
      <c r="BA248" s="193"/>
      <c r="BB248" s="194"/>
      <c r="BC248" s="194"/>
      <c r="BD248" s="195"/>
      <c r="BE248" s="195" t="s">
        <v>532</v>
      </c>
      <c r="BF248" s="195"/>
      <c r="BG248" s="195">
        <v>10</v>
      </c>
      <c r="BH248" s="196" t="s">
        <v>547</v>
      </c>
      <c r="BI248" s="197">
        <v>1</v>
      </c>
      <c r="BJ248" s="198"/>
      <c r="BK248" s="199">
        <v>10</v>
      </c>
      <c r="BL248" s="13">
        <v>7</v>
      </c>
      <c r="BM248" s="13">
        <v>3</v>
      </c>
      <c r="BN248" s="13" t="s">
        <v>620</v>
      </c>
      <c r="BO248" s="13" t="s">
        <v>620</v>
      </c>
      <c r="BP248" s="200">
        <v>20</v>
      </c>
      <c r="BQ248" s="201"/>
      <c r="BR248" s="202"/>
      <c r="BS248" s="187">
        <v>1000000000</v>
      </c>
      <c r="BT248" s="203">
        <v>16</v>
      </c>
      <c r="BU248" s="204">
        <v>-0.6</v>
      </c>
      <c r="BV248" s="203">
        <v>0</v>
      </c>
      <c r="BW248" s="205">
        <v>0</v>
      </c>
      <c r="BX248" s="205">
        <v>0</v>
      </c>
      <c r="BY248" s="205">
        <v>0</v>
      </c>
      <c r="BZ248" s="203">
        <v>0</v>
      </c>
      <c r="CA248" s="203">
        <v>0</v>
      </c>
      <c r="CB248" s="203">
        <v>16</v>
      </c>
      <c r="CC248" s="204">
        <v>-0.6</v>
      </c>
      <c r="CD248" s="203">
        <v>0</v>
      </c>
      <c r="CE248" s="203">
        <v>0</v>
      </c>
      <c r="CF248" s="13">
        <v>0</v>
      </c>
      <c r="CG248" s="206">
        <v>0</v>
      </c>
      <c r="CH248" s="207">
        <v>6</v>
      </c>
      <c r="CI248" s="201"/>
      <c r="CJ248" s="208"/>
      <c r="CK248" s="209" t="s">
        <v>615</v>
      </c>
      <c r="CL248" s="210" t="s">
        <v>615</v>
      </c>
      <c r="CM248" s="207">
        <v>0</v>
      </c>
      <c r="CN248" s="207">
        <v>59.46</v>
      </c>
      <c r="CO248" s="204">
        <v>0</v>
      </c>
      <c r="CP248" s="204">
        <v>5.9091826437941464</v>
      </c>
      <c r="CQ248" s="211"/>
      <c r="CR248" s="204">
        <v>1</v>
      </c>
      <c r="CS248" s="212">
        <v>42766</v>
      </c>
      <c r="CT248" s="212">
        <v>42780</v>
      </c>
      <c r="CU248" s="213">
        <v>42780</v>
      </c>
      <c r="CV248" s="214">
        <v>42829</v>
      </c>
      <c r="CW248" s="214" t="s">
        <v>615</v>
      </c>
      <c r="CX248" s="214" t="s">
        <v>615</v>
      </c>
      <c r="CY248" s="204">
        <v>6.3363521480734694E-2</v>
      </c>
      <c r="CZ248" s="204">
        <v>0.97959183673469385</v>
      </c>
      <c r="DA248" s="203">
        <v>0</v>
      </c>
      <c r="DB248" s="204">
        <v>0</v>
      </c>
      <c r="DC248" s="204">
        <v>0</v>
      </c>
      <c r="DD248" s="204">
        <v>0</v>
      </c>
      <c r="DE248" s="204">
        <v>0</v>
      </c>
      <c r="DF248" s="215">
        <v>0.97959183673469385</v>
      </c>
      <c r="DG248" s="13" t="s">
        <v>615</v>
      </c>
      <c r="DH248" s="86">
        <v>246</v>
      </c>
      <c r="DI248" s="86"/>
      <c r="DJ248" s="86">
        <v>28</v>
      </c>
      <c r="DK248" s="86" t="s">
        <v>1451</v>
      </c>
      <c r="DL248" s="86">
        <v>7</v>
      </c>
      <c r="DM248" s="86">
        <v>19</v>
      </c>
      <c r="DN248" s="86" t="e">
        <v>#N/A</v>
      </c>
      <c r="DO248" s="86">
        <v>29</v>
      </c>
      <c r="DP248" s="86">
        <v>2</v>
      </c>
      <c r="DQ248" s="86">
        <v>49</v>
      </c>
      <c r="DR248" s="216"/>
      <c r="DS248" s="152"/>
      <c r="DT248" s="216"/>
      <c r="DU248" s="216"/>
      <c r="DV248" s="216"/>
      <c r="DW248" s="216"/>
      <c r="DX248" s="216"/>
      <c r="DY248" s="152"/>
      <c r="DZ248" s="216"/>
      <c r="EA248" s="216"/>
      <c r="EB248" s="216"/>
      <c r="EC248" s="216"/>
      <c r="ED248" s="216"/>
      <c r="EE248" s="216"/>
      <c r="EF248" s="225"/>
      <c r="EG248" s="225"/>
      <c r="EH248" s="216"/>
      <c r="EI248" s="216"/>
      <c r="EJ248" s="216"/>
      <c r="EK248" s="216"/>
      <c r="EL248" s="216"/>
      <c r="EM248" s="225"/>
      <c r="EN248" s="216"/>
      <c r="EO248" s="216"/>
      <c r="EP248" s="216"/>
      <c r="EQ248" s="216"/>
      <c r="ER248" s="225"/>
      <c r="ES248" s="225"/>
      <c r="ET248" s="216"/>
      <c r="EU248" s="216"/>
      <c r="EV248" s="216"/>
      <c r="EW248" s="216"/>
      <c r="EX248" s="216"/>
      <c r="EY248" s="225"/>
      <c r="EZ248" s="216"/>
      <c r="FA248" s="216"/>
      <c r="FB248" s="216"/>
      <c r="FC248" s="216"/>
      <c r="FD248" s="216"/>
      <c r="FE248" s="225"/>
      <c r="FF248" s="216"/>
      <c r="FG248" s="216"/>
      <c r="FH248" s="216"/>
      <c r="FI248" s="225"/>
      <c r="FJ248" s="225"/>
      <c r="FK248" s="216"/>
      <c r="FL248" s="216"/>
      <c r="FM248" s="164">
        <v>16</v>
      </c>
      <c r="FN248" s="164">
        <v>16</v>
      </c>
      <c r="FO248" s="164">
        <v>16</v>
      </c>
      <c r="FP248" s="164">
        <v>16</v>
      </c>
      <c r="FQ248" s="164">
        <v>16</v>
      </c>
      <c r="FR248" s="164">
        <v>16</v>
      </c>
      <c r="FS248" s="167">
        <v>16</v>
      </c>
      <c r="FT248" s="167">
        <v>16</v>
      </c>
      <c r="FU248" s="167">
        <v>16</v>
      </c>
      <c r="FV248" s="167">
        <v>16</v>
      </c>
      <c r="FW248" s="167">
        <v>16</v>
      </c>
      <c r="FX248" s="167">
        <v>16</v>
      </c>
      <c r="FY248" s="167">
        <v>16</v>
      </c>
      <c r="FZ248" s="167">
        <v>16</v>
      </c>
      <c r="GA248" s="167">
        <v>16</v>
      </c>
      <c r="GB248" s="167">
        <v>16</v>
      </c>
      <c r="GC248" s="167">
        <v>16</v>
      </c>
      <c r="GD248" s="167">
        <v>16</v>
      </c>
      <c r="GE248" s="167">
        <v>16</v>
      </c>
      <c r="GF248" s="167">
        <v>16</v>
      </c>
      <c r="GG248" s="167">
        <v>16</v>
      </c>
      <c r="GH248" s="167">
        <v>16</v>
      </c>
      <c r="GI248" s="167">
        <v>15</v>
      </c>
      <c r="GJ248" s="167">
        <v>15</v>
      </c>
      <c r="GK248" s="167">
        <v>15</v>
      </c>
      <c r="GL248" s="167">
        <v>15</v>
      </c>
      <c r="GM248" s="167">
        <v>15</v>
      </c>
      <c r="GN248" s="167">
        <v>15</v>
      </c>
      <c r="GO248" s="167">
        <v>15</v>
      </c>
      <c r="GP248" s="167">
        <v>15</v>
      </c>
      <c r="GQ248" s="167">
        <v>15</v>
      </c>
      <c r="GR248" s="167">
        <v>15</v>
      </c>
      <c r="GS248" s="167">
        <v>15</v>
      </c>
      <c r="GT248" s="167">
        <v>15</v>
      </c>
      <c r="GU248" s="167">
        <v>15</v>
      </c>
      <c r="GV248" s="167">
        <v>15</v>
      </c>
      <c r="GW248" s="167">
        <v>15</v>
      </c>
      <c r="GX248" s="167">
        <v>15</v>
      </c>
      <c r="GY248" s="167">
        <v>15</v>
      </c>
      <c r="GZ248" s="167">
        <v>15</v>
      </c>
      <c r="HA248" s="167">
        <v>15</v>
      </c>
      <c r="HB248" s="167">
        <v>15</v>
      </c>
      <c r="HC248" s="167">
        <v>15</v>
      </c>
      <c r="HD248" s="167">
        <v>15</v>
      </c>
      <c r="HE248" s="167">
        <v>15</v>
      </c>
      <c r="HF248" s="167">
        <v>15</v>
      </c>
      <c r="HG248" s="167">
        <v>15</v>
      </c>
      <c r="HH248" s="167">
        <v>15</v>
      </c>
      <c r="HI248" s="167">
        <v>15</v>
      </c>
      <c r="HJ248" s="167">
        <v>15</v>
      </c>
      <c r="HK248" s="167">
        <v>15</v>
      </c>
      <c r="HL248" s="167">
        <v>15</v>
      </c>
      <c r="HM248" s="167">
        <v>15</v>
      </c>
      <c r="HN248" s="167">
        <v>15</v>
      </c>
      <c r="HO248" s="167">
        <v>15</v>
      </c>
      <c r="HP248" s="167">
        <v>15</v>
      </c>
      <c r="HQ248" s="167">
        <v>15</v>
      </c>
      <c r="HR248" s="167">
        <v>11</v>
      </c>
      <c r="HS248" s="167">
        <v>11</v>
      </c>
      <c r="HT248" s="167">
        <v>16</v>
      </c>
      <c r="HU248" s="216"/>
      <c r="HV248" s="167">
        <v>16</v>
      </c>
      <c r="HW248" s="216"/>
      <c r="HX248" s="216"/>
      <c r="HY248" s="216"/>
      <c r="HZ248" s="216"/>
      <c r="IA248" s="216"/>
      <c r="IB248" s="216"/>
      <c r="IC248" s="216"/>
      <c r="ID248" s="216"/>
      <c r="IE248" s="216"/>
      <c r="IF248" s="216"/>
      <c r="IG248" s="216"/>
      <c r="IH248" s="216"/>
      <c r="II248" s="216"/>
      <c r="IJ248" s="216"/>
      <c r="IK248" s="216"/>
      <c r="IL248" s="216"/>
      <c r="IM248" s="216"/>
      <c r="IN248" s="216"/>
      <c r="IO248" s="216"/>
      <c r="IP248" s="216"/>
      <c r="IQ248" s="216"/>
      <c r="IR248" s="216"/>
      <c r="IS248" s="216"/>
      <c r="IT248" s="216"/>
      <c r="IU248" s="216"/>
      <c r="IV248" s="216"/>
      <c r="IW248" s="216"/>
      <c r="IX248" s="216"/>
      <c r="IY248" s="216"/>
      <c r="IZ248" s="216"/>
      <c r="JA248" s="216"/>
      <c r="JB248" s="216"/>
      <c r="JC248" s="216"/>
      <c r="JD248" s="216"/>
      <c r="JE248" s="216"/>
      <c r="JF248" s="216"/>
      <c r="JG248" s="216"/>
      <c r="JH248" s="216"/>
      <c r="JI248" s="216"/>
      <c r="JJ248" s="216"/>
      <c r="JK248" s="216"/>
      <c r="JL248" s="216"/>
      <c r="JM248" s="216"/>
      <c r="JN248" s="216"/>
      <c r="JO248" s="216"/>
      <c r="JP248" s="216"/>
      <c r="JQ248" s="216"/>
      <c r="JR248" s="216"/>
      <c r="JS248" s="216"/>
      <c r="JT248" s="216"/>
      <c r="JU248" s="216"/>
      <c r="JV248" s="216"/>
      <c r="JW248" s="216"/>
      <c r="JX248" s="216"/>
      <c r="JY248" s="216"/>
      <c r="JZ248" s="216"/>
      <c r="KA248" s="216"/>
      <c r="KB248" s="216"/>
      <c r="KC248" s="216"/>
      <c r="KD248" s="216"/>
      <c r="KE248" s="216"/>
      <c r="KF248" s="216"/>
      <c r="KG248" s="216"/>
      <c r="KH248" s="216"/>
      <c r="KI248" s="216"/>
      <c r="KJ248" s="216"/>
      <c r="KK248" s="216"/>
      <c r="KL248" s="216"/>
      <c r="KM248" s="216"/>
      <c r="KN248" s="216"/>
      <c r="KO248" s="216"/>
      <c r="KP248" s="216"/>
      <c r="KQ248" s="216"/>
      <c r="KR248" s="216"/>
      <c r="KS248" s="216"/>
      <c r="KT248" s="216"/>
      <c r="KU248" s="216"/>
      <c r="KV248" s="216"/>
      <c r="KW248" s="216"/>
      <c r="KX248" s="216"/>
      <c r="KY248" s="216"/>
      <c r="KZ248" s="216"/>
      <c r="LA248" s="216"/>
      <c r="LB248" s="216"/>
      <c r="LC248" s="216"/>
      <c r="LD248" s="216"/>
      <c r="LE248" s="216"/>
    </row>
    <row r="249" spans="1:317" x14ac:dyDescent="0.2">
      <c r="A249" s="179" t="s">
        <v>849</v>
      </c>
      <c r="B249" s="180" t="s">
        <v>1148</v>
      </c>
      <c r="C249" s="181"/>
      <c r="D249" s="182">
        <v>0</v>
      </c>
      <c r="E249" s="182">
        <v>0</v>
      </c>
      <c r="F249" s="183" t="s">
        <v>1336</v>
      </c>
      <c r="G249" s="183">
        <v>0</v>
      </c>
      <c r="H249" s="183">
        <v>0</v>
      </c>
      <c r="I249" s="183">
        <v>0</v>
      </c>
      <c r="J249" s="183">
        <v>0</v>
      </c>
      <c r="K249" s="183" t="s">
        <v>1336</v>
      </c>
      <c r="L249" s="183">
        <v>0</v>
      </c>
      <c r="M249" s="183">
        <v>0</v>
      </c>
      <c r="N249" s="183" t="s">
        <v>878</v>
      </c>
      <c r="O249" s="183">
        <v>0</v>
      </c>
      <c r="P249" s="183">
        <v>0</v>
      </c>
      <c r="Q249" s="183"/>
      <c r="R249" s="183"/>
      <c r="S249" s="183"/>
      <c r="T249" s="183"/>
      <c r="U249" s="183"/>
      <c r="V249" s="183">
        <v>0</v>
      </c>
      <c r="W249" s="183">
        <v>0</v>
      </c>
      <c r="X249" s="183">
        <v>0</v>
      </c>
      <c r="Y249" s="184">
        <v>7.16</v>
      </c>
      <c r="Z249" s="184">
        <v>26.53</v>
      </c>
      <c r="AA249" s="184">
        <v>0</v>
      </c>
      <c r="AB249" s="185" t="s">
        <v>615</v>
      </c>
      <c r="AC249" s="185" t="s">
        <v>615</v>
      </c>
      <c r="AD249" s="186" t="s">
        <v>878</v>
      </c>
      <c r="AE249" s="186" t="s">
        <v>866</v>
      </c>
      <c r="AF249" s="187">
        <v>11</v>
      </c>
      <c r="AG249" s="187">
        <v>5</v>
      </c>
      <c r="AH249" s="187">
        <v>6</v>
      </c>
      <c r="AI249" s="188">
        <v>1</v>
      </c>
      <c r="AJ249" s="188" t="s">
        <v>560</v>
      </c>
      <c r="AK249" s="187" t="s">
        <v>1740</v>
      </c>
      <c r="AL249" s="87">
        <v>70</v>
      </c>
      <c r="AM249" s="189"/>
      <c r="AN249" s="187">
        <v>70</v>
      </c>
      <c r="AO249" s="13" t="s">
        <v>615</v>
      </c>
      <c r="AP249" s="187">
        <v>0.23</v>
      </c>
      <c r="AQ249" s="187">
        <v>4</v>
      </c>
      <c r="AR249" s="190">
        <v>108.69565217391303</v>
      </c>
      <c r="AS249" s="190">
        <v>84.782608695652172</v>
      </c>
      <c r="AT249" s="190">
        <v>0</v>
      </c>
      <c r="AU249" s="187">
        <v>0</v>
      </c>
      <c r="AV249" s="187">
        <v>0</v>
      </c>
      <c r="AW249" s="191"/>
      <c r="AX249" s="192"/>
      <c r="AY249" s="193">
        <v>42840</v>
      </c>
      <c r="AZ249" s="193"/>
      <c r="BA249" s="193"/>
      <c r="BB249" s="194"/>
      <c r="BC249" s="194"/>
      <c r="BD249" s="195"/>
      <c r="BE249" s="195" t="s">
        <v>532</v>
      </c>
      <c r="BF249" s="195"/>
      <c r="BG249" s="195">
        <v>12</v>
      </c>
      <c r="BH249" s="196" t="s">
        <v>547</v>
      </c>
      <c r="BI249" s="197">
        <v>1</v>
      </c>
      <c r="BJ249" s="198"/>
      <c r="BK249" s="199">
        <v>100</v>
      </c>
      <c r="BL249" s="13">
        <v>67</v>
      </c>
      <c r="BM249" s="13">
        <v>33</v>
      </c>
      <c r="BN249" s="13" t="s">
        <v>618</v>
      </c>
      <c r="BO249" s="13" t="s">
        <v>618</v>
      </c>
      <c r="BP249" s="200">
        <v>0</v>
      </c>
      <c r="BQ249" s="201"/>
      <c r="BR249" s="202"/>
      <c r="BS249" s="187">
        <v>1000000000</v>
      </c>
      <c r="BT249" s="203">
        <v>78</v>
      </c>
      <c r="BU249" s="204">
        <v>0.22</v>
      </c>
      <c r="BV249" s="203">
        <v>0</v>
      </c>
      <c r="BW249" s="205">
        <v>0</v>
      </c>
      <c r="BX249" s="205">
        <v>0</v>
      </c>
      <c r="BY249" s="205">
        <v>0</v>
      </c>
      <c r="BZ249" s="203">
        <v>0</v>
      </c>
      <c r="CA249" s="203">
        <v>0</v>
      </c>
      <c r="CB249" s="203">
        <v>78</v>
      </c>
      <c r="CC249" s="204">
        <v>0.22</v>
      </c>
      <c r="CD249" s="203">
        <v>0</v>
      </c>
      <c r="CE249" s="203">
        <v>0</v>
      </c>
      <c r="CF249" s="13">
        <v>22</v>
      </c>
      <c r="CG249" s="206">
        <v>24</v>
      </c>
      <c r="CH249" s="207">
        <v>55</v>
      </c>
      <c r="CI249" s="201"/>
      <c r="CJ249" s="208"/>
      <c r="CK249" s="209" t="s">
        <v>615</v>
      </c>
      <c r="CL249" s="210" t="s">
        <v>615</v>
      </c>
      <c r="CM249" s="207">
        <v>0</v>
      </c>
      <c r="CN249" s="207">
        <v>0</v>
      </c>
      <c r="CO249" s="204">
        <v>0</v>
      </c>
      <c r="CP249" s="204">
        <v>11.80497714575927</v>
      </c>
      <c r="CQ249" s="211"/>
      <c r="CR249" s="204">
        <v>1</v>
      </c>
      <c r="CS249" s="212">
        <v>42766</v>
      </c>
      <c r="CT249" s="212">
        <v>42766</v>
      </c>
      <c r="CU249" s="213">
        <v>42766</v>
      </c>
      <c r="CV249" s="214">
        <v>42843</v>
      </c>
      <c r="CW249" s="214" t="s">
        <v>615</v>
      </c>
      <c r="CX249" s="214" t="s">
        <v>615</v>
      </c>
      <c r="CY249" s="204">
        <v>9.9058404417428463E-3</v>
      </c>
      <c r="CZ249" s="204">
        <v>0.83561643835616439</v>
      </c>
      <c r="DA249" s="203">
        <v>0</v>
      </c>
      <c r="DB249" s="204">
        <v>0</v>
      </c>
      <c r="DC249" s="204">
        <v>0</v>
      </c>
      <c r="DD249" s="204">
        <v>0</v>
      </c>
      <c r="DE249" s="204">
        <v>0.83561643835616439</v>
      </c>
      <c r="DF249" s="215">
        <v>0</v>
      </c>
      <c r="DG249" s="13" t="s">
        <v>615</v>
      </c>
      <c r="DH249" s="86">
        <v>247</v>
      </c>
      <c r="DI249" s="86"/>
      <c r="DJ249" s="86">
        <v>82</v>
      </c>
      <c r="DK249" s="86" t="s">
        <v>1456</v>
      </c>
      <c r="DL249" s="86">
        <v>17</v>
      </c>
      <c r="DM249" s="86">
        <v>41</v>
      </c>
      <c r="DN249" s="86" t="e">
        <v>#N/A</v>
      </c>
      <c r="DO249" s="86">
        <v>84</v>
      </c>
      <c r="DP249" s="86">
        <v>9</v>
      </c>
      <c r="DQ249" s="86">
        <v>73</v>
      </c>
      <c r="DR249" s="151"/>
      <c r="DS249" s="152"/>
      <c r="DT249" s="151"/>
      <c r="DU249" s="151"/>
      <c r="DV249" s="151"/>
      <c r="DW249" s="151"/>
      <c r="DX249" s="151"/>
      <c r="DY249" s="152"/>
      <c r="DZ249" s="151"/>
      <c r="EA249" s="151"/>
      <c r="EB249" s="151"/>
      <c r="EC249" s="151"/>
      <c r="ED249" s="151"/>
      <c r="EE249" s="151"/>
      <c r="EF249" s="226"/>
      <c r="EG249" s="226"/>
      <c r="EH249" s="151"/>
      <c r="EI249" s="151"/>
      <c r="EJ249" s="151"/>
      <c r="EK249" s="151"/>
      <c r="EL249" s="151"/>
      <c r="EM249" s="226"/>
      <c r="EN249" s="151"/>
      <c r="EO249" s="151"/>
      <c r="EP249" s="151"/>
      <c r="EQ249" s="151"/>
      <c r="ER249" s="226"/>
      <c r="ES249" s="226"/>
      <c r="ET249" s="151"/>
      <c r="EU249" s="151"/>
      <c r="EV249" s="151"/>
      <c r="EW249" s="151"/>
      <c r="EX249" s="151"/>
      <c r="EY249" s="226"/>
      <c r="EZ249" s="151"/>
      <c r="FA249" s="151"/>
      <c r="FB249" s="151"/>
      <c r="FC249" s="151"/>
      <c r="FD249" s="151"/>
      <c r="FE249" s="226"/>
      <c r="FF249" s="151"/>
      <c r="FG249" s="151"/>
      <c r="FH249" s="151"/>
      <c r="FI249" s="226"/>
      <c r="FJ249" s="226"/>
      <c r="FK249" s="151"/>
      <c r="FL249" s="151"/>
      <c r="FM249" s="164">
        <v>78</v>
      </c>
      <c r="FN249" s="164">
        <v>78</v>
      </c>
      <c r="FO249" s="162">
        <v>78</v>
      </c>
      <c r="FP249" s="162">
        <v>78</v>
      </c>
      <c r="FQ249" s="162">
        <v>78</v>
      </c>
      <c r="FR249" s="162">
        <v>78</v>
      </c>
      <c r="FS249" s="162">
        <v>78</v>
      </c>
      <c r="FT249" s="162">
        <v>78</v>
      </c>
      <c r="FU249" s="162">
        <v>78</v>
      </c>
      <c r="FV249" s="162">
        <v>78</v>
      </c>
      <c r="FW249" s="162">
        <v>78</v>
      </c>
      <c r="FX249" s="162">
        <v>78</v>
      </c>
      <c r="FY249" s="162">
        <v>78</v>
      </c>
      <c r="FZ249" s="162">
        <v>78</v>
      </c>
      <c r="GA249" s="162">
        <v>78</v>
      </c>
      <c r="GB249" s="162">
        <v>78</v>
      </c>
      <c r="GC249" s="162">
        <v>78</v>
      </c>
      <c r="GD249" s="162">
        <v>78</v>
      </c>
      <c r="GE249" s="162">
        <v>78</v>
      </c>
      <c r="GF249" s="162">
        <v>78</v>
      </c>
      <c r="GG249" s="162">
        <v>78</v>
      </c>
      <c r="GH249" s="162">
        <v>78</v>
      </c>
      <c r="GI249" s="162">
        <v>78</v>
      </c>
      <c r="GJ249" s="162">
        <v>78</v>
      </c>
      <c r="GK249" s="162">
        <v>78</v>
      </c>
      <c r="GL249" s="162">
        <v>78</v>
      </c>
      <c r="GM249" s="162">
        <v>78</v>
      </c>
      <c r="GN249" s="162">
        <v>78</v>
      </c>
      <c r="GO249" s="162">
        <v>78</v>
      </c>
      <c r="GP249" s="162">
        <v>78</v>
      </c>
      <c r="GQ249" s="162">
        <v>78</v>
      </c>
      <c r="GR249" s="162">
        <v>78</v>
      </c>
      <c r="GS249" s="162">
        <v>78</v>
      </c>
      <c r="GT249" s="162">
        <v>78</v>
      </c>
      <c r="GU249" s="162">
        <v>78</v>
      </c>
      <c r="GV249" s="162">
        <v>78</v>
      </c>
      <c r="GW249" s="162">
        <v>78</v>
      </c>
      <c r="GX249" s="162">
        <v>78</v>
      </c>
      <c r="GY249" s="162">
        <v>78</v>
      </c>
      <c r="GZ249" s="162">
        <v>78</v>
      </c>
      <c r="HA249" s="162">
        <v>78</v>
      </c>
      <c r="HB249" s="162">
        <v>78</v>
      </c>
      <c r="HC249" s="162">
        <v>78</v>
      </c>
      <c r="HD249" s="162">
        <v>78</v>
      </c>
      <c r="HE249" s="162">
        <v>78</v>
      </c>
      <c r="HF249" s="162">
        <v>78</v>
      </c>
      <c r="HG249" s="162">
        <v>78</v>
      </c>
      <c r="HH249" s="162">
        <v>78</v>
      </c>
      <c r="HI249" s="162">
        <v>78</v>
      </c>
      <c r="HJ249" s="162">
        <v>78</v>
      </c>
      <c r="HK249" s="162">
        <v>78</v>
      </c>
      <c r="HL249" s="162">
        <v>78</v>
      </c>
      <c r="HM249" s="162">
        <v>78</v>
      </c>
      <c r="HN249" s="162">
        <v>78</v>
      </c>
      <c r="HO249" s="162">
        <v>77</v>
      </c>
      <c r="HP249" s="162">
        <v>77</v>
      </c>
      <c r="HQ249" s="162">
        <v>76</v>
      </c>
      <c r="HR249" s="162">
        <v>74</v>
      </c>
      <c r="HS249" s="162">
        <v>74</v>
      </c>
      <c r="HT249" s="162">
        <v>78</v>
      </c>
      <c r="HU249" s="151"/>
      <c r="HV249" s="162">
        <v>78</v>
      </c>
      <c r="HW249" s="151"/>
      <c r="HX249" s="151"/>
      <c r="HY249" s="151"/>
      <c r="HZ249" s="151"/>
      <c r="IA249" s="151"/>
      <c r="IB249" s="151"/>
      <c r="IC249" s="151"/>
      <c r="ID249" s="151"/>
      <c r="IE249" s="151"/>
      <c r="IF249" s="151"/>
      <c r="IG249" s="151"/>
      <c r="IH249" s="151"/>
      <c r="II249" s="151"/>
      <c r="IJ249" s="151"/>
      <c r="IK249" s="151"/>
      <c r="IL249" s="151"/>
      <c r="IM249" s="151"/>
      <c r="IN249" s="151"/>
      <c r="IO249" s="151"/>
      <c r="IP249" s="151"/>
      <c r="IQ249" s="151"/>
      <c r="IR249" s="151"/>
      <c r="IS249" s="151"/>
      <c r="IT249" s="151"/>
      <c r="IU249" s="151"/>
      <c r="IV249" s="151"/>
      <c r="IW249" s="151"/>
      <c r="IX249" s="151"/>
      <c r="IY249" s="151"/>
      <c r="IZ249" s="151"/>
      <c r="JA249" s="151"/>
      <c r="JB249" s="151"/>
      <c r="JC249" s="151"/>
      <c r="JD249" s="151"/>
      <c r="JE249" s="151"/>
      <c r="JF249" s="151"/>
      <c r="JG249" s="151"/>
      <c r="JH249" s="151"/>
      <c r="JI249" s="151"/>
      <c r="JJ249" s="151"/>
      <c r="JK249" s="151"/>
      <c r="JL249" s="151"/>
      <c r="JM249" s="151"/>
      <c r="JN249" s="151"/>
      <c r="JO249" s="151"/>
      <c r="JP249" s="151"/>
      <c r="JQ249" s="151"/>
      <c r="JR249" s="151"/>
      <c r="JS249" s="151"/>
      <c r="JT249" s="151"/>
      <c r="JU249" s="151"/>
      <c r="JV249" s="151"/>
      <c r="JW249" s="151"/>
      <c r="JX249" s="151"/>
      <c r="JY249" s="151"/>
      <c r="JZ249" s="151"/>
      <c r="KA249" s="151"/>
      <c r="KB249" s="151"/>
      <c r="KC249" s="151"/>
      <c r="KD249" s="151"/>
      <c r="KE249" s="151"/>
      <c r="KF249" s="151"/>
      <c r="KG249" s="151"/>
      <c r="KH249" s="151"/>
      <c r="KI249" s="151"/>
      <c r="KJ249" s="151"/>
      <c r="KK249" s="151"/>
      <c r="KL249" s="151"/>
      <c r="KM249" s="151"/>
      <c r="KN249" s="151"/>
      <c r="KO249" s="151"/>
      <c r="KP249" s="151"/>
      <c r="KQ249" s="151"/>
      <c r="KR249" s="151"/>
      <c r="KS249" s="151"/>
      <c r="KT249" s="151"/>
      <c r="KU249" s="151"/>
      <c r="KV249" s="151"/>
      <c r="KW249" s="151"/>
      <c r="KX249" s="151"/>
      <c r="KY249" s="151"/>
      <c r="KZ249" s="151"/>
      <c r="LA249" s="151"/>
      <c r="LB249" s="151"/>
      <c r="LC249" s="151"/>
      <c r="LD249" s="151"/>
      <c r="LE249" s="151"/>
    </row>
    <row r="250" spans="1:317" x14ac:dyDescent="0.2">
      <c r="A250" s="179" t="s">
        <v>849</v>
      </c>
      <c r="B250" s="180" t="s">
        <v>1149</v>
      </c>
      <c r="C250" s="181"/>
      <c r="D250" s="182">
        <v>0</v>
      </c>
      <c r="E250" s="182">
        <v>0</v>
      </c>
      <c r="F250" s="183" t="s">
        <v>1337</v>
      </c>
      <c r="G250" s="183">
        <v>0</v>
      </c>
      <c r="H250" s="183">
        <v>0</v>
      </c>
      <c r="I250" s="183">
        <v>0</v>
      </c>
      <c r="J250" s="183">
        <v>0</v>
      </c>
      <c r="K250" s="183" t="s">
        <v>1336</v>
      </c>
      <c r="L250" s="183">
        <v>0</v>
      </c>
      <c r="M250" s="183">
        <v>0</v>
      </c>
      <c r="N250" s="183" t="s">
        <v>878</v>
      </c>
      <c r="O250" s="183">
        <v>0</v>
      </c>
      <c r="P250" s="183">
        <v>0</v>
      </c>
      <c r="Q250" s="183"/>
      <c r="R250" s="183"/>
      <c r="S250" s="183"/>
      <c r="T250" s="183"/>
      <c r="U250" s="183"/>
      <c r="V250" s="183">
        <v>0</v>
      </c>
      <c r="W250" s="183">
        <v>0</v>
      </c>
      <c r="X250" s="183">
        <v>0</v>
      </c>
      <c r="Y250" s="184">
        <v>8.57</v>
      </c>
      <c r="Z250" s="184">
        <v>28.68</v>
      </c>
      <c r="AA250" s="184">
        <v>0</v>
      </c>
      <c r="AB250" s="185" t="s">
        <v>615</v>
      </c>
      <c r="AC250" s="185" t="s">
        <v>615</v>
      </c>
      <c r="AD250" s="186" t="s">
        <v>878</v>
      </c>
      <c r="AE250" s="186" t="s">
        <v>866</v>
      </c>
      <c r="AF250" s="187">
        <v>11</v>
      </c>
      <c r="AG250" s="187">
        <v>5</v>
      </c>
      <c r="AH250" s="187">
        <v>6</v>
      </c>
      <c r="AI250" s="188">
        <v>1</v>
      </c>
      <c r="AJ250" s="188" t="s">
        <v>560</v>
      </c>
      <c r="AK250" s="187" t="s">
        <v>1740</v>
      </c>
      <c r="AL250" s="87">
        <v>70</v>
      </c>
      <c r="AM250" s="189"/>
      <c r="AN250" s="187">
        <v>70</v>
      </c>
      <c r="AO250" s="13" t="s">
        <v>615</v>
      </c>
      <c r="AP250" s="187">
        <v>0</v>
      </c>
      <c r="AQ250" s="187">
        <v>0</v>
      </c>
      <c r="AR250" s="190">
        <v>0</v>
      </c>
      <c r="AS250" s="190">
        <v>0</v>
      </c>
      <c r="AT250" s="190">
        <v>0</v>
      </c>
      <c r="AU250" s="187">
        <v>0</v>
      </c>
      <c r="AV250" s="187">
        <v>0</v>
      </c>
      <c r="AW250" s="191"/>
      <c r="AX250" s="192"/>
      <c r="AY250" s="193"/>
      <c r="AZ250" s="193"/>
      <c r="BA250" s="193"/>
      <c r="BB250" s="194"/>
      <c r="BC250" s="194"/>
      <c r="BD250" s="195"/>
      <c r="BE250" s="195" t="s">
        <v>532</v>
      </c>
      <c r="BF250" s="195"/>
      <c r="BG250" s="195">
        <v>12</v>
      </c>
      <c r="BH250" s="196" t="s">
        <v>547</v>
      </c>
      <c r="BI250" s="197">
        <v>1</v>
      </c>
      <c r="BJ250" s="198"/>
      <c r="BK250" s="199">
        <v>100</v>
      </c>
      <c r="BL250" s="13">
        <v>67</v>
      </c>
      <c r="BM250" s="13">
        <v>33</v>
      </c>
      <c r="BN250" s="13" t="s">
        <v>618</v>
      </c>
      <c r="BO250" s="13" t="s">
        <v>618</v>
      </c>
      <c r="BP250" s="200">
        <v>0</v>
      </c>
      <c r="BQ250" s="201"/>
      <c r="BR250" s="202"/>
      <c r="BS250" s="187">
        <v>1000000000</v>
      </c>
      <c r="BT250" s="203">
        <v>81</v>
      </c>
      <c r="BU250" s="204">
        <v>0.19</v>
      </c>
      <c r="BV250" s="203">
        <v>0</v>
      </c>
      <c r="BW250" s="205">
        <v>0</v>
      </c>
      <c r="BX250" s="205">
        <v>0</v>
      </c>
      <c r="BY250" s="205">
        <v>0</v>
      </c>
      <c r="BZ250" s="203">
        <v>0</v>
      </c>
      <c r="CA250" s="203">
        <v>0</v>
      </c>
      <c r="CB250" s="203">
        <v>81</v>
      </c>
      <c r="CC250" s="204">
        <v>0.19</v>
      </c>
      <c r="CD250" s="203">
        <v>0</v>
      </c>
      <c r="CE250" s="203">
        <v>0</v>
      </c>
      <c r="CF250" s="13">
        <v>19</v>
      </c>
      <c r="CG250" s="206">
        <v>24</v>
      </c>
      <c r="CH250" s="207">
        <v>55</v>
      </c>
      <c r="CI250" s="201"/>
      <c r="CJ250" s="208"/>
      <c r="CK250" s="209" t="s">
        <v>615</v>
      </c>
      <c r="CL250" s="210" t="s">
        <v>615</v>
      </c>
      <c r="CM250" s="207">
        <v>0</v>
      </c>
      <c r="CN250" s="207">
        <v>0</v>
      </c>
      <c r="CO250" s="204">
        <v>0</v>
      </c>
      <c r="CP250" s="204">
        <v>10.239524769279729</v>
      </c>
      <c r="CQ250" s="211"/>
      <c r="CR250" s="204">
        <v>1</v>
      </c>
      <c r="CS250" s="212">
        <v>42766</v>
      </c>
      <c r="CT250" s="212">
        <v>42766</v>
      </c>
      <c r="CU250" s="213">
        <v>42766</v>
      </c>
      <c r="CV250" s="214">
        <v>42843</v>
      </c>
      <c r="CW250" s="214" t="s">
        <v>615</v>
      </c>
      <c r="CX250" s="214" t="s">
        <v>615</v>
      </c>
      <c r="CY250" s="204">
        <v>3.4181660547930215E-3</v>
      </c>
      <c r="CZ250" s="204">
        <v>0.83561643835616439</v>
      </c>
      <c r="DA250" s="203">
        <v>0</v>
      </c>
      <c r="DB250" s="204">
        <v>0</v>
      </c>
      <c r="DC250" s="204">
        <v>0</v>
      </c>
      <c r="DD250" s="204">
        <v>0</v>
      </c>
      <c r="DE250" s="204">
        <v>0.83561643835616439</v>
      </c>
      <c r="DF250" s="215">
        <v>0</v>
      </c>
      <c r="DG250" s="13" t="s">
        <v>615</v>
      </c>
      <c r="DH250" s="86">
        <v>248</v>
      </c>
      <c r="DI250" s="86"/>
      <c r="DJ250" s="86">
        <v>83</v>
      </c>
      <c r="DK250" s="86" t="s">
        <v>1487</v>
      </c>
      <c r="DL250" s="86" t="e">
        <v>#N/A</v>
      </c>
      <c r="DM250" s="86">
        <v>42</v>
      </c>
      <c r="DN250" s="86" t="e">
        <v>#N/A</v>
      </c>
      <c r="DO250" s="86">
        <v>85</v>
      </c>
      <c r="DP250" s="86">
        <v>9</v>
      </c>
      <c r="DQ250" s="86">
        <v>73</v>
      </c>
      <c r="DR250" s="216"/>
      <c r="DS250" s="152"/>
      <c r="DT250" s="216"/>
      <c r="DU250" s="216"/>
      <c r="DV250" s="216"/>
      <c r="DW250" s="216"/>
      <c r="DX250" s="216"/>
      <c r="DY250" s="152"/>
      <c r="DZ250" s="216"/>
      <c r="EA250" s="216"/>
      <c r="EB250" s="216"/>
      <c r="EC250" s="216"/>
      <c r="ED250" s="216"/>
      <c r="EE250" s="216"/>
      <c r="EF250" s="225"/>
      <c r="EG250" s="225"/>
      <c r="EH250" s="216"/>
      <c r="EI250" s="216"/>
      <c r="EJ250" s="216"/>
      <c r="EK250" s="216"/>
      <c r="EL250" s="216"/>
      <c r="EM250" s="225"/>
      <c r="EN250" s="216"/>
      <c r="EO250" s="216"/>
      <c r="EP250" s="216"/>
      <c r="EQ250" s="216"/>
      <c r="ER250" s="225"/>
      <c r="ES250" s="225"/>
      <c r="ET250" s="216"/>
      <c r="EU250" s="216"/>
      <c r="EV250" s="216"/>
      <c r="EW250" s="216"/>
      <c r="EX250" s="216"/>
      <c r="EY250" s="225"/>
      <c r="EZ250" s="216"/>
      <c r="FA250" s="216"/>
      <c r="FB250" s="216"/>
      <c r="FC250" s="216"/>
      <c r="FD250" s="216"/>
      <c r="FE250" s="225"/>
      <c r="FF250" s="216"/>
      <c r="FG250" s="216"/>
      <c r="FH250" s="216"/>
      <c r="FI250" s="225"/>
      <c r="FJ250" s="225"/>
      <c r="FK250" s="216"/>
      <c r="FL250" s="216"/>
      <c r="FM250" s="164">
        <v>81</v>
      </c>
      <c r="FN250" s="164">
        <v>81</v>
      </c>
      <c r="FO250" s="164">
        <v>81</v>
      </c>
      <c r="FP250" s="164">
        <v>81</v>
      </c>
      <c r="FQ250" s="164">
        <v>81</v>
      </c>
      <c r="FR250" s="164">
        <v>81</v>
      </c>
      <c r="FS250" s="164">
        <v>81</v>
      </c>
      <c r="FT250" s="164">
        <v>81</v>
      </c>
      <c r="FU250" s="164">
        <v>81</v>
      </c>
      <c r="FV250" s="164">
        <v>81</v>
      </c>
      <c r="FW250" s="164">
        <v>81</v>
      </c>
      <c r="FX250" s="164">
        <v>81</v>
      </c>
      <c r="FY250" s="164">
        <v>81</v>
      </c>
      <c r="FZ250" s="164">
        <v>81</v>
      </c>
      <c r="GA250" s="164">
        <v>81</v>
      </c>
      <c r="GB250" s="164">
        <v>81</v>
      </c>
      <c r="GC250" s="164">
        <v>81</v>
      </c>
      <c r="GD250" s="164">
        <v>81</v>
      </c>
      <c r="GE250" s="164">
        <v>81</v>
      </c>
      <c r="GF250" s="164">
        <v>81</v>
      </c>
      <c r="GG250" s="164">
        <v>81</v>
      </c>
      <c r="GH250" s="164">
        <v>81</v>
      </c>
      <c r="GI250" s="164">
        <v>81</v>
      </c>
      <c r="GJ250" s="164">
        <v>81</v>
      </c>
      <c r="GK250" s="164">
        <v>81</v>
      </c>
      <c r="GL250" s="164">
        <v>81</v>
      </c>
      <c r="GM250" s="164">
        <v>81</v>
      </c>
      <c r="GN250" s="164">
        <v>81</v>
      </c>
      <c r="GO250" s="164">
        <v>81</v>
      </c>
      <c r="GP250" s="164">
        <v>81</v>
      </c>
      <c r="GQ250" s="164">
        <v>81</v>
      </c>
      <c r="GR250" s="164">
        <v>81</v>
      </c>
      <c r="GS250" s="164">
        <v>81</v>
      </c>
      <c r="GT250" s="164">
        <v>81</v>
      </c>
      <c r="GU250" s="164">
        <v>81</v>
      </c>
      <c r="GV250" s="164">
        <v>81</v>
      </c>
      <c r="GW250" s="164">
        <v>81</v>
      </c>
      <c r="GX250" s="164">
        <v>81</v>
      </c>
      <c r="GY250" s="164">
        <v>81</v>
      </c>
      <c r="GZ250" s="164">
        <v>81</v>
      </c>
      <c r="HA250" s="164">
        <v>81</v>
      </c>
      <c r="HB250" s="164">
        <v>81</v>
      </c>
      <c r="HC250" s="164">
        <v>81</v>
      </c>
      <c r="HD250" s="164">
        <v>81</v>
      </c>
      <c r="HE250" s="164">
        <v>81</v>
      </c>
      <c r="HF250" s="164">
        <v>81</v>
      </c>
      <c r="HG250" s="164">
        <v>81</v>
      </c>
      <c r="HH250" s="164">
        <v>81</v>
      </c>
      <c r="HI250" s="164">
        <v>81</v>
      </c>
      <c r="HJ250" s="164">
        <v>81</v>
      </c>
      <c r="HK250" s="164">
        <v>81</v>
      </c>
      <c r="HL250" s="164">
        <v>81</v>
      </c>
      <c r="HM250" s="164">
        <v>81</v>
      </c>
      <c r="HN250" s="164">
        <v>81</v>
      </c>
      <c r="HO250" s="164">
        <v>80</v>
      </c>
      <c r="HP250" s="164">
        <v>80</v>
      </c>
      <c r="HQ250" s="164">
        <v>80</v>
      </c>
      <c r="HR250" s="164">
        <v>80</v>
      </c>
      <c r="HS250" s="164">
        <v>80</v>
      </c>
      <c r="HT250" s="164">
        <v>81</v>
      </c>
      <c r="HU250" s="216"/>
      <c r="HV250" s="164">
        <v>81</v>
      </c>
      <c r="HW250" s="216"/>
      <c r="HX250" s="216"/>
      <c r="HY250" s="216"/>
      <c r="HZ250" s="216"/>
      <c r="IA250" s="216"/>
      <c r="IB250" s="216"/>
      <c r="IC250" s="216"/>
      <c r="ID250" s="216"/>
      <c r="IE250" s="216"/>
      <c r="IF250" s="216"/>
      <c r="IG250" s="216"/>
      <c r="IH250" s="216"/>
      <c r="II250" s="216"/>
      <c r="IJ250" s="216"/>
      <c r="IK250" s="216"/>
      <c r="IL250" s="216"/>
      <c r="IM250" s="216"/>
      <c r="IN250" s="216"/>
      <c r="IO250" s="216"/>
      <c r="IP250" s="216"/>
      <c r="IQ250" s="216"/>
      <c r="IR250" s="216"/>
      <c r="IS250" s="216"/>
      <c r="IT250" s="216"/>
      <c r="IU250" s="216"/>
      <c r="IV250" s="216"/>
      <c r="IW250" s="216"/>
      <c r="IX250" s="216"/>
      <c r="IY250" s="216"/>
      <c r="IZ250" s="216"/>
      <c r="JA250" s="216"/>
      <c r="JB250" s="216"/>
      <c r="JC250" s="216"/>
      <c r="JD250" s="216"/>
      <c r="JE250" s="216"/>
      <c r="JF250" s="216"/>
      <c r="JG250" s="216"/>
      <c r="JH250" s="216"/>
      <c r="JI250" s="216"/>
      <c r="JJ250" s="216"/>
      <c r="JK250" s="216"/>
      <c r="JL250" s="216"/>
      <c r="JM250" s="216"/>
      <c r="JN250" s="216"/>
      <c r="JO250" s="216"/>
      <c r="JP250" s="216"/>
      <c r="JQ250" s="216"/>
      <c r="JR250" s="216"/>
      <c r="JS250" s="216"/>
      <c r="JT250" s="216"/>
      <c r="JU250" s="216"/>
      <c r="JV250" s="216"/>
      <c r="JW250" s="216"/>
      <c r="JX250" s="216"/>
      <c r="JY250" s="216"/>
      <c r="JZ250" s="216"/>
      <c r="KA250" s="216"/>
      <c r="KB250" s="216"/>
      <c r="KC250" s="216"/>
      <c r="KD250" s="216"/>
      <c r="KE250" s="216"/>
      <c r="KF250" s="216"/>
      <c r="KG250" s="216"/>
      <c r="KH250" s="216"/>
      <c r="KI250" s="216"/>
      <c r="KJ250" s="216"/>
      <c r="KK250" s="216"/>
      <c r="KL250" s="216"/>
      <c r="KM250" s="216"/>
      <c r="KN250" s="216"/>
      <c r="KO250" s="216"/>
      <c r="KP250" s="216"/>
      <c r="KQ250" s="216"/>
      <c r="KR250" s="216"/>
      <c r="KS250" s="216"/>
      <c r="KT250" s="216"/>
      <c r="KU250" s="216"/>
      <c r="KV250" s="216"/>
      <c r="KW250" s="216"/>
      <c r="KX250" s="216"/>
      <c r="KY250" s="216"/>
      <c r="KZ250" s="216"/>
      <c r="LA250" s="216"/>
      <c r="LB250" s="216"/>
      <c r="LC250" s="216"/>
      <c r="LD250" s="216"/>
      <c r="LE250" s="216"/>
    </row>
    <row r="251" spans="1:317" x14ac:dyDescent="0.2">
      <c r="A251" s="179" t="s">
        <v>849</v>
      </c>
      <c r="B251" s="180" t="s">
        <v>1150</v>
      </c>
      <c r="C251" s="181"/>
      <c r="D251" s="182">
        <v>0</v>
      </c>
      <c r="E251" s="182">
        <v>0</v>
      </c>
      <c r="F251" s="183" t="s">
        <v>1338</v>
      </c>
      <c r="G251" s="183">
        <v>0</v>
      </c>
      <c r="H251" s="183">
        <v>0</v>
      </c>
      <c r="I251" s="183">
        <v>0</v>
      </c>
      <c r="J251" s="183">
        <v>0</v>
      </c>
      <c r="K251" s="183" t="s">
        <v>1337</v>
      </c>
      <c r="L251" s="183">
        <v>0</v>
      </c>
      <c r="M251" s="183">
        <v>0</v>
      </c>
      <c r="N251" s="183" t="s">
        <v>878</v>
      </c>
      <c r="O251" s="183">
        <v>0</v>
      </c>
      <c r="P251" s="183">
        <v>0</v>
      </c>
      <c r="Q251" s="183"/>
      <c r="R251" s="183"/>
      <c r="S251" s="183"/>
      <c r="T251" s="183"/>
      <c r="U251" s="183"/>
      <c r="V251" s="183">
        <v>0</v>
      </c>
      <c r="W251" s="183">
        <v>0</v>
      </c>
      <c r="X251" s="183">
        <v>0</v>
      </c>
      <c r="Y251" s="184">
        <v>0</v>
      </c>
      <c r="Z251" s="184">
        <v>0</v>
      </c>
      <c r="AA251" s="184">
        <v>0</v>
      </c>
      <c r="AB251" s="185" t="s">
        <v>615</v>
      </c>
      <c r="AC251" s="185" t="s">
        <v>615</v>
      </c>
      <c r="AD251" s="186" t="s">
        <v>878</v>
      </c>
      <c r="AE251" s="186" t="s">
        <v>866</v>
      </c>
      <c r="AF251" s="187">
        <v>11</v>
      </c>
      <c r="AG251" s="187">
        <v>5</v>
      </c>
      <c r="AH251" s="187">
        <v>6</v>
      </c>
      <c r="AI251" s="188">
        <v>1</v>
      </c>
      <c r="AJ251" s="188" t="s">
        <v>615</v>
      </c>
      <c r="AK251" s="187" t="s">
        <v>1740</v>
      </c>
      <c r="AL251" s="87" t="s">
        <v>615</v>
      </c>
      <c r="AM251" s="189"/>
      <c r="AN251" s="187" t="s">
        <v>615</v>
      </c>
      <c r="AO251" s="13" t="s">
        <v>615</v>
      </c>
      <c r="AP251" s="187">
        <v>0</v>
      </c>
      <c r="AQ251" s="187">
        <v>0</v>
      </c>
      <c r="AR251" s="190">
        <v>0</v>
      </c>
      <c r="AS251" s="190">
        <v>0</v>
      </c>
      <c r="AT251" s="190">
        <v>0</v>
      </c>
      <c r="AU251" s="187">
        <v>0</v>
      </c>
      <c r="AV251" s="187">
        <v>0</v>
      </c>
      <c r="AW251" s="191"/>
      <c r="AX251" s="192"/>
      <c r="AY251" s="193"/>
      <c r="AZ251" s="193"/>
      <c r="BA251" s="193"/>
      <c r="BB251" s="194"/>
      <c r="BC251" s="194"/>
      <c r="BD251" s="195"/>
      <c r="BE251" s="195" t="s">
        <v>532</v>
      </c>
      <c r="BF251" s="195"/>
      <c r="BG251" s="195">
        <v>300</v>
      </c>
      <c r="BH251" s="196" t="s">
        <v>547</v>
      </c>
      <c r="BI251" s="197">
        <v>1</v>
      </c>
      <c r="BJ251" s="198"/>
      <c r="BK251" s="199">
        <v>0</v>
      </c>
      <c r="BL251" s="13">
        <v>0</v>
      </c>
      <c r="BM251" s="13">
        <v>0</v>
      </c>
      <c r="BN251" s="13" t="s">
        <v>616</v>
      </c>
      <c r="BO251" s="13" t="s">
        <v>616</v>
      </c>
      <c r="BP251" s="200">
        <v>0</v>
      </c>
      <c r="BQ251" s="201"/>
      <c r="BR251" s="202"/>
      <c r="BS251" s="187">
        <v>1000000000</v>
      </c>
      <c r="BT251" s="203">
        <v>240</v>
      </c>
      <c r="BU251" s="204">
        <v>0</v>
      </c>
      <c r="BV251" s="203">
        <v>0</v>
      </c>
      <c r="BW251" s="205">
        <v>0</v>
      </c>
      <c r="BX251" s="205">
        <v>0</v>
      </c>
      <c r="BY251" s="205">
        <v>0</v>
      </c>
      <c r="BZ251" s="203">
        <v>0</v>
      </c>
      <c r="CA251" s="203">
        <v>0</v>
      </c>
      <c r="CB251" s="203">
        <v>240</v>
      </c>
      <c r="CC251" s="204">
        <v>0</v>
      </c>
      <c r="CD251" s="203">
        <v>0</v>
      </c>
      <c r="CE251" s="203">
        <v>0</v>
      </c>
      <c r="CF251" s="13">
        <v>0</v>
      </c>
      <c r="CG251" s="206">
        <v>0</v>
      </c>
      <c r="CH251" s="207">
        <v>0</v>
      </c>
      <c r="CI251" s="201"/>
      <c r="CJ251" s="208"/>
      <c r="CK251" s="209" t="s">
        <v>615</v>
      </c>
      <c r="CL251" s="210" t="s">
        <v>615</v>
      </c>
      <c r="CM251" s="207">
        <v>0</v>
      </c>
      <c r="CN251" s="207">
        <v>0</v>
      </c>
      <c r="CO251" s="204">
        <v>0</v>
      </c>
      <c r="CP251" s="204">
        <v>0</v>
      </c>
      <c r="CQ251" s="211"/>
      <c r="CR251" s="204">
        <v>1</v>
      </c>
      <c r="CS251" s="212">
        <v>42766</v>
      </c>
      <c r="CT251" s="212">
        <v>42766</v>
      </c>
      <c r="CU251" s="213">
        <v>42766</v>
      </c>
      <c r="CV251" s="214">
        <v>42843</v>
      </c>
      <c r="CW251" s="214" t="s">
        <v>615</v>
      </c>
      <c r="CX251" s="214" t="s">
        <v>615</v>
      </c>
      <c r="CY251" s="204">
        <v>2.2404932315275853E-2</v>
      </c>
      <c r="CZ251" s="204">
        <v>0.83561643835616439</v>
      </c>
      <c r="DA251" s="203">
        <v>0</v>
      </c>
      <c r="DB251" s="204">
        <v>0</v>
      </c>
      <c r="DC251" s="204">
        <v>0</v>
      </c>
      <c r="DD251" s="204">
        <v>0</v>
      </c>
      <c r="DE251" s="204">
        <v>0</v>
      </c>
      <c r="DF251" s="215">
        <v>0.83561643835616439</v>
      </c>
      <c r="DG251" s="13" t="s">
        <v>615</v>
      </c>
      <c r="DH251" s="86">
        <v>249</v>
      </c>
      <c r="DI251" s="86"/>
      <c r="DJ251" s="86">
        <v>84</v>
      </c>
      <c r="DK251" s="86" t="s">
        <v>1488</v>
      </c>
      <c r="DL251" s="86" t="e">
        <v>#N/A</v>
      </c>
      <c r="DM251" s="86">
        <v>43</v>
      </c>
      <c r="DN251" s="86" t="e">
        <v>#N/A</v>
      </c>
      <c r="DO251" s="86">
        <v>86</v>
      </c>
      <c r="DP251" s="86">
        <v>9</v>
      </c>
      <c r="DQ251" s="86">
        <v>73</v>
      </c>
      <c r="DR251" s="151"/>
      <c r="DS251" s="152"/>
      <c r="DT251" s="151"/>
      <c r="DU251" s="151"/>
      <c r="DV251" s="151"/>
      <c r="DW251" s="151"/>
      <c r="DX251" s="151"/>
      <c r="DY251" s="152"/>
      <c r="DZ251" s="151"/>
      <c r="EA251" s="151"/>
      <c r="EB251" s="151"/>
      <c r="EC251" s="151"/>
      <c r="ED251" s="151"/>
      <c r="EE251" s="151"/>
      <c r="EF251" s="226"/>
      <c r="EG251" s="226"/>
      <c r="EH251" s="151"/>
      <c r="EI251" s="151"/>
      <c r="EJ251" s="151"/>
      <c r="EK251" s="151"/>
      <c r="EL251" s="151"/>
      <c r="EM251" s="226"/>
      <c r="EN251" s="151"/>
      <c r="EO251" s="151"/>
      <c r="EP251" s="151"/>
      <c r="EQ251" s="151"/>
      <c r="ER251" s="226"/>
      <c r="ES251" s="226"/>
      <c r="ET251" s="151"/>
      <c r="EU251" s="151"/>
      <c r="EV251" s="151"/>
      <c r="EW251" s="151"/>
      <c r="EX251" s="151"/>
      <c r="EY251" s="226"/>
      <c r="EZ251" s="151"/>
      <c r="FA251" s="151"/>
      <c r="FB251" s="151"/>
      <c r="FC251" s="151"/>
      <c r="FD251" s="151"/>
      <c r="FE251" s="226"/>
      <c r="FF251" s="151"/>
      <c r="FG251" s="151"/>
      <c r="FH251" s="151"/>
      <c r="FI251" s="226"/>
      <c r="FJ251" s="226"/>
      <c r="FK251" s="151"/>
      <c r="FL251" s="151"/>
      <c r="FM251" s="152">
        <v>240</v>
      </c>
      <c r="FN251" s="152">
        <v>240</v>
      </c>
      <c r="FO251" s="146">
        <v>240</v>
      </c>
      <c r="FP251" s="146">
        <v>240</v>
      </c>
      <c r="FQ251" s="146">
        <v>240</v>
      </c>
      <c r="FR251" s="146">
        <v>240</v>
      </c>
      <c r="FS251" s="146">
        <v>240</v>
      </c>
      <c r="FT251" s="146">
        <v>240</v>
      </c>
      <c r="FU251" s="146">
        <v>240</v>
      </c>
      <c r="FV251" s="146">
        <v>240</v>
      </c>
      <c r="FW251" s="146">
        <v>240</v>
      </c>
      <c r="FX251" s="146">
        <v>240</v>
      </c>
      <c r="FY251" s="146">
        <v>240</v>
      </c>
      <c r="FZ251" s="146">
        <v>240</v>
      </c>
      <c r="GA251" s="146">
        <v>230</v>
      </c>
      <c r="GB251" s="146">
        <v>230</v>
      </c>
      <c r="GC251" s="146">
        <v>230</v>
      </c>
      <c r="GD251" s="146">
        <v>230</v>
      </c>
      <c r="GE251" s="146">
        <v>230</v>
      </c>
      <c r="GF251" s="146">
        <v>230</v>
      </c>
      <c r="GG251" s="146">
        <v>230</v>
      </c>
      <c r="GH251" s="146">
        <v>230</v>
      </c>
      <c r="GI251" s="146">
        <v>230</v>
      </c>
      <c r="GJ251" s="146">
        <v>230</v>
      </c>
      <c r="GK251" s="146">
        <v>230</v>
      </c>
      <c r="GL251" s="146">
        <v>230</v>
      </c>
      <c r="GM251" s="146">
        <v>230</v>
      </c>
      <c r="GN251" s="146">
        <v>230</v>
      </c>
      <c r="GO251" s="146">
        <v>230</v>
      </c>
      <c r="GP251" s="146">
        <v>230</v>
      </c>
      <c r="GQ251" s="146">
        <v>230</v>
      </c>
      <c r="GR251" s="146">
        <v>230</v>
      </c>
      <c r="GS251" s="146">
        <v>230</v>
      </c>
      <c r="GT251" s="146">
        <v>230</v>
      </c>
      <c r="GU251" s="146">
        <v>230</v>
      </c>
      <c r="GV251" s="146">
        <v>230</v>
      </c>
      <c r="GW251" s="146">
        <v>230</v>
      </c>
      <c r="GX251" s="146">
        <v>230</v>
      </c>
      <c r="GY251" s="146">
        <v>230</v>
      </c>
      <c r="GZ251" s="146">
        <v>230</v>
      </c>
      <c r="HA251" s="146">
        <v>230</v>
      </c>
      <c r="HB251" s="146">
        <v>230</v>
      </c>
      <c r="HC251" s="146">
        <v>230</v>
      </c>
      <c r="HD251" s="146">
        <v>230</v>
      </c>
      <c r="HE251" s="146">
        <v>230</v>
      </c>
      <c r="HF251" s="146">
        <v>230</v>
      </c>
      <c r="HG251" s="146">
        <v>230</v>
      </c>
      <c r="HH251" s="146">
        <v>230</v>
      </c>
      <c r="HI251" s="146">
        <v>230</v>
      </c>
      <c r="HJ251" s="146">
        <v>230</v>
      </c>
      <c r="HK251" s="146">
        <v>230</v>
      </c>
      <c r="HL251" s="146">
        <v>230</v>
      </c>
      <c r="HM251" s="146">
        <v>230</v>
      </c>
      <c r="HN251" s="146">
        <v>230</v>
      </c>
      <c r="HO251" s="146">
        <v>230</v>
      </c>
      <c r="HP251" s="146">
        <v>230</v>
      </c>
      <c r="HQ251" s="146">
        <v>220</v>
      </c>
      <c r="HR251" s="146">
        <v>220</v>
      </c>
      <c r="HS251" s="146">
        <v>220</v>
      </c>
      <c r="HT251" s="146">
        <v>240</v>
      </c>
      <c r="HU251" s="151"/>
      <c r="HV251" s="146">
        <v>240</v>
      </c>
      <c r="HW251" s="151"/>
      <c r="HX251" s="151"/>
      <c r="HY251" s="151"/>
      <c r="HZ251" s="151"/>
      <c r="IA251" s="151"/>
      <c r="IB251" s="151"/>
      <c r="IC251" s="151"/>
      <c r="ID251" s="151"/>
      <c r="IE251" s="151"/>
      <c r="IF251" s="151"/>
      <c r="IG251" s="151"/>
      <c r="IH251" s="151"/>
      <c r="II251" s="151"/>
      <c r="IJ251" s="151"/>
      <c r="IK251" s="151"/>
      <c r="IL251" s="151"/>
      <c r="IM251" s="151"/>
      <c r="IN251" s="151"/>
      <c r="IO251" s="151"/>
      <c r="IP251" s="151"/>
      <c r="IQ251" s="151"/>
      <c r="IR251" s="151"/>
      <c r="IS251" s="151"/>
      <c r="IT251" s="151"/>
      <c r="IU251" s="151"/>
      <c r="IV251" s="151"/>
      <c r="IW251" s="151"/>
      <c r="IX251" s="151"/>
      <c r="IY251" s="151"/>
      <c r="IZ251" s="151"/>
      <c r="JA251" s="151"/>
      <c r="JB251" s="151"/>
      <c r="JC251" s="151"/>
      <c r="JD251" s="151"/>
      <c r="JE251" s="151"/>
      <c r="JF251" s="151"/>
      <c r="JG251" s="151"/>
      <c r="JH251" s="151"/>
      <c r="JI251" s="151"/>
      <c r="JJ251" s="151"/>
      <c r="JK251" s="151"/>
      <c r="JL251" s="151"/>
      <c r="JM251" s="151"/>
      <c r="JN251" s="151"/>
      <c r="JO251" s="151"/>
      <c r="JP251" s="151"/>
      <c r="JQ251" s="151"/>
      <c r="JR251" s="151"/>
      <c r="JS251" s="151"/>
      <c r="JT251" s="151"/>
      <c r="JU251" s="151"/>
      <c r="JV251" s="151"/>
      <c r="JW251" s="151"/>
      <c r="JX251" s="151"/>
      <c r="JY251" s="151"/>
      <c r="JZ251" s="151"/>
      <c r="KA251" s="151"/>
      <c r="KB251" s="151"/>
      <c r="KC251" s="151"/>
      <c r="KD251" s="151"/>
      <c r="KE251" s="151"/>
      <c r="KF251" s="151"/>
      <c r="KG251" s="151"/>
      <c r="KH251" s="151"/>
      <c r="KI251" s="151"/>
      <c r="KJ251" s="151"/>
      <c r="KK251" s="151"/>
      <c r="KL251" s="151"/>
      <c r="KM251" s="151"/>
      <c r="KN251" s="151"/>
      <c r="KO251" s="151"/>
      <c r="KP251" s="151"/>
      <c r="KQ251" s="151"/>
      <c r="KR251" s="151"/>
      <c r="KS251" s="151"/>
      <c r="KT251" s="151"/>
      <c r="KU251" s="151"/>
      <c r="KV251" s="151"/>
      <c r="KW251" s="151"/>
      <c r="KX251" s="151"/>
      <c r="KY251" s="151"/>
      <c r="KZ251" s="151"/>
      <c r="LA251" s="151"/>
      <c r="LB251" s="151"/>
      <c r="LC251" s="151"/>
      <c r="LD251" s="151"/>
      <c r="LE251" s="151"/>
    </row>
    <row r="252" spans="1:317" x14ac:dyDescent="0.2">
      <c r="A252" s="179" t="s">
        <v>849</v>
      </c>
      <c r="B252" s="180" t="s">
        <v>1151</v>
      </c>
      <c r="C252" s="181"/>
      <c r="D252" s="182">
        <v>0</v>
      </c>
      <c r="E252" s="182">
        <v>0</v>
      </c>
      <c r="F252" s="183" t="s">
        <v>1339</v>
      </c>
      <c r="G252" s="183">
        <v>0</v>
      </c>
      <c r="H252" s="183">
        <v>0</v>
      </c>
      <c r="I252" s="183">
        <v>0</v>
      </c>
      <c r="J252" s="183">
        <v>0</v>
      </c>
      <c r="K252" s="183" t="s">
        <v>1401</v>
      </c>
      <c r="L252" s="183">
        <v>0</v>
      </c>
      <c r="M252" s="183">
        <v>0</v>
      </c>
      <c r="N252" s="183" t="s">
        <v>872</v>
      </c>
      <c r="O252" s="183">
        <v>0</v>
      </c>
      <c r="P252" s="183">
        <v>0</v>
      </c>
      <c r="Q252" s="183"/>
      <c r="R252" s="183"/>
      <c r="S252" s="183"/>
      <c r="T252" s="183"/>
      <c r="U252" s="183"/>
      <c r="V252" s="183">
        <v>0</v>
      </c>
      <c r="W252" s="183">
        <v>0</v>
      </c>
      <c r="X252" s="183">
        <v>0</v>
      </c>
      <c r="Y252" s="184">
        <v>0</v>
      </c>
      <c r="Z252" s="184">
        <v>0</v>
      </c>
      <c r="AA252" s="184">
        <v>0</v>
      </c>
      <c r="AB252" s="185" t="s">
        <v>615</v>
      </c>
      <c r="AC252" s="185" t="s">
        <v>615</v>
      </c>
      <c r="AD252" s="186" t="s">
        <v>872</v>
      </c>
      <c r="AE252" s="186" t="s">
        <v>852</v>
      </c>
      <c r="AF252" s="187">
        <v>7</v>
      </c>
      <c r="AG252" s="187">
        <v>3</v>
      </c>
      <c r="AH252" s="187">
        <v>4</v>
      </c>
      <c r="AI252" s="188">
        <v>1</v>
      </c>
      <c r="AJ252" s="188" t="s">
        <v>615</v>
      </c>
      <c r="AK252" s="187" t="s">
        <v>1741</v>
      </c>
      <c r="AL252" s="87" t="s">
        <v>615</v>
      </c>
      <c r="AM252" s="189"/>
      <c r="AN252" s="187" t="s">
        <v>615</v>
      </c>
      <c r="AO252" s="13" t="s">
        <v>615</v>
      </c>
      <c r="AP252" s="187">
        <v>0</v>
      </c>
      <c r="AQ252" s="187">
        <v>0</v>
      </c>
      <c r="AR252" s="190">
        <v>0</v>
      </c>
      <c r="AS252" s="190">
        <v>0</v>
      </c>
      <c r="AT252" s="190">
        <v>0</v>
      </c>
      <c r="AU252" s="187">
        <v>0</v>
      </c>
      <c r="AV252" s="187">
        <v>0</v>
      </c>
      <c r="AW252" s="191"/>
      <c r="AX252" s="192"/>
      <c r="AY252" s="193"/>
      <c r="AZ252" s="193"/>
      <c r="BA252" s="193"/>
      <c r="BB252" s="194"/>
      <c r="BC252" s="194"/>
      <c r="BD252" s="195"/>
      <c r="BE252" s="195" t="s">
        <v>532</v>
      </c>
      <c r="BF252" s="195"/>
      <c r="BG252" s="195">
        <v>20</v>
      </c>
      <c r="BH252" s="196" t="s">
        <v>547</v>
      </c>
      <c r="BI252" s="197">
        <v>1</v>
      </c>
      <c r="BJ252" s="198"/>
      <c r="BK252" s="199">
        <v>0</v>
      </c>
      <c r="BL252" s="13">
        <v>0</v>
      </c>
      <c r="BM252" s="13">
        <v>0</v>
      </c>
      <c r="BN252" s="13" t="s">
        <v>616</v>
      </c>
      <c r="BO252" s="13" t="s">
        <v>616</v>
      </c>
      <c r="BP252" s="200">
        <v>20</v>
      </c>
      <c r="BQ252" s="201"/>
      <c r="BR252" s="202"/>
      <c r="BS252" s="187">
        <v>1000000000</v>
      </c>
      <c r="BT252" s="203">
        <v>0</v>
      </c>
      <c r="BU252" s="204">
        <v>0</v>
      </c>
      <c r="BV252" s="203">
        <v>20</v>
      </c>
      <c r="BW252" s="205">
        <v>0</v>
      </c>
      <c r="BX252" s="205">
        <v>0</v>
      </c>
      <c r="BY252" s="205">
        <v>0</v>
      </c>
      <c r="BZ252" s="203">
        <v>0</v>
      </c>
      <c r="CA252" s="203">
        <v>0</v>
      </c>
      <c r="CB252" s="203">
        <v>20</v>
      </c>
      <c r="CC252" s="204">
        <v>0</v>
      </c>
      <c r="CD252" s="203">
        <v>0</v>
      </c>
      <c r="CE252" s="203">
        <v>0</v>
      </c>
      <c r="CF252" s="13">
        <v>0</v>
      </c>
      <c r="CG252" s="206">
        <v>0</v>
      </c>
      <c r="CH252" s="207">
        <v>0</v>
      </c>
      <c r="CI252" s="201"/>
      <c r="CJ252" s="208"/>
      <c r="CK252" s="209" t="s">
        <v>615</v>
      </c>
      <c r="CL252" s="210" t="s">
        <v>615</v>
      </c>
      <c r="CM252" s="207">
        <v>0</v>
      </c>
      <c r="CN252" s="207">
        <v>0</v>
      </c>
      <c r="CO252" s="204">
        <v>0</v>
      </c>
      <c r="CP252" s="204">
        <v>0</v>
      </c>
      <c r="CQ252" s="211"/>
      <c r="CR252" s="204">
        <v>1</v>
      </c>
      <c r="CS252" s="212">
        <v>42766</v>
      </c>
      <c r="CT252" s="212">
        <v>42780</v>
      </c>
      <c r="CU252" s="213">
        <v>42780</v>
      </c>
      <c r="CV252" s="214">
        <v>42829</v>
      </c>
      <c r="CW252" s="214" t="s">
        <v>615</v>
      </c>
      <c r="CX252" s="214" t="s">
        <v>615</v>
      </c>
      <c r="CY252" s="204">
        <v>1</v>
      </c>
      <c r="CZ252" s="204">
        <v>0.97959183673469385</v>
      </c>
      <c r="DA252" s="203">
        <v>0</v>
      </c>
      <c r="DB252" s="204">
        <v>0.97959183673469385</v>
      </c>
      <c r="DC252" s="204">
        <v>0</v>
      </c>
      <c r="DD252" s="204">
        <v>0</v>
      </c>
      <c r="DE252" s="204">
        <v>0</v>
      </c>
      <c r="DF252" s="215">
        <v>0</v>
      </c>
      <c r="DG252" s="13" t="s">
        <v>615</v>
      </c>
      <c r="DH252" s="86">
        <v>250</v>
      </c>
      <c r="DI252" s="86"/>
      <c r="DJ252" s="86">
        <v>129</v>
      </c>
      <c r="DK252" s="86" t="s">
        <v>1600</v>
      </c>
      <c r="DL252" s="86" t="e">
        <v>#N/A</v>
      </c>
      <c r="DM252" s="86" t="e">
        <v>#N/A</v>
      </c>
      <c r="DN252" s="86" t="e">
        <v>#N/A</v>
      </c>
      <c r="DO252" s="86">
        <v>135</v>
      </c>
      <c r="DP252" s="86">
        <v>2</v>
      </c>
      <c r="DQ252" s="86">
        <v>49</v>
      </c>
      <c r="DR252" s="216"/>
      <c r="DS252" s="152"/>
      <c r="DT252" s="216"/>
      <c r="DU252" s="216"/>
      <c r="DV252" s="216"/>
      <c r="DW252" s="216"/>
      <c r="DX252" s="216"/>
      <c r="DY252" s="152"/>
      <c r="DZ252" s="216"/>
      <c r="EA252" s="216"/>
      <c r="EB252" s="216"/>
      <c r="EC252" s="216"/>
      <c r="ED252" s="216"/>
      <c r="EE252" s="216"/>
      <c r="EF252" s="225"/>
      <c r="EG252" s="225"/>
      <c r="EH252" s="216"/>
      <c r="EI252" s="216"/>
      <c r="EJ252" s="216"/>
      <c r="EK252" s="216"/>
      <c r="EL252" s="216"/>
      <c r="EM252" s="225"/>
      <c r="EN252" s="216"/>
      <c r="EO252" s="216"/>
      <c r="EP252" s="216"/>
      <c r="EQ252" s="216"/>
      <c r="ER252" s="225"/>
      <c r="ES252" s="225"/>
      <c r="ET252" s="216"/>
      <c r="EU252" s="216"/>
      <c r="EV252" s="216"/>
      <c r="EW252" s="216"/>
      <c r="EX252" s="216"/>
      <c r="EY252" s="225"/>
      <c r="EZ252" s="216"/>
      <c r="FA252" s="216"/>
      <c r="FB252" s="216"/>
      <c r="FC252" s="216"/>
      <c r="FD252" s="216"/>
      <c r="FE252" s="225"/>
      <c r="FF252" s="216"/>
      <c r="FG252" s="216"/>
      <c r="FH252" s="216"/>
      <c r="FI252" s="225"/>
      <c r="FJ252" s="225"/>
      <c r="FK252" s="216"/>
      <c r="FL252" s="216"/>
      <c r="FM252" s="166">
        <v>0</v>
      </c>
      <c r="FN252" s="166">
        <v>0</v>
      </c>
      <c r="FO252" s="166">
        <v>0</v>
      </c>
      <c r="FP252" s="166">
        <v>0</v>
      </c>
      <c r="FQ252" s="166">
        <v>0</v>
      </c>
      <c r="FR252" s="166">
        <v>0</v>
      </c>
      <c r="FS252" s="166">
        <v>0</v>
      </c>
      <c r="FT252" s="166">
        <v>0</v>
      </c>
      <c r="FU252" s="166">
        <v>0</v>
      </c>
      <c r="FV252" s="166">
        <v>0</v>
      </c>
      <c r="FW252" s="166">
        <v>0</v>
      </c>
      <c r="FX252" s="166">
        <v>0</v>
      </c>
      <c r="FY252" s="166">
        <v>0</v>
      </c>
      <c r="FZ252" s="166">
        <v>0</v>
      </c>
      <c r="GA252" s="166">
        <v>0</v>
      </c>
      <c r="GB252" s="166">
        <v>0</v>
      </c>
      <c r="GC252" s="166">
        <v>0</v>
      </c>
      <c r="GD252" s="166">
        <v>0</v>
      </c>
      <c r="GE252" s="166">
        <v>0</v>
      </c>
      <c r="GF252" s="166">
        <v>0</v>
      </c>
      <c r="GG252" s="166">
        <v>0</v>
      </c>
      <c r="GH252" s="166">
        <v>0</v>
      </c>
      <c r="GI252" s="166">
        <v>0</v>
      </c>
      <c r="GJ252" s="166">
        <v>0</v>
      </c>
      <c r="GK252" s="166">
        <v>0</v>
      </c>
      <c r="GL252" s="166">
        <v>0</v>
      </c>
      <c r="GM252" s="166">
        <v>0</v>
      </c>
      <c r="GN252" s="166">
        <v>0</v>
      </c>
      <c r="GO252" s="166">
        <v>0</v>
      </c>
      <c r="GP252" s="166">
        <v>0</v>
      </c>
      <c r="GQ252" s="166">
        <v>0</v>
      </c>
      <c r="GR252" s="166">
        <v>0</v>
      </c>
      <c r="GS252" s="166">
        <v>0</v>
      </c>
      <c r="GT252" s="166">
        <v>0</v>
      </c>
      <c r="GU252" s="166">
        <v>0</v>
      </c>
      <c r="GV252" s="166">
        <v>0</v>
      </c>
      <c r="GW252" s="166">
        <v>0</v>
      </c>
      <c r="GX252" s="166">
        <v>0</v>
      </c>
      <c r="GY252" s="166">
        <v>0</v>
      </c>
      <c r="GZ252" s="166">
        <v>0</v>
      </c>
      <c r="HA252" s="166">
        <v>0</v>
      </c>
      <c r="HB252" s="166">
        <v>0</v>
      </c>
      <c r="HC252" s="166">
        <v>0</v>
      </c>
      <c r="HD252" s="166">
        <v>0</v>
      </c>
      <c r="HE252" s="166">
        <v>0</v>
      </c>
      <c r="HF252" s="166">
        <v>0</v>
      </c>
      <c r="HG252" s="166">
        <v>0</v>
      </c>
      <c r="HH252" s="152">
        <v>0</v>
      </c>
      <c r="HI252" s="152">
        <v>0</v>
      </c>
      <c r="HJ252" s="152">
        <v>0</v>
      </c>
      <c r="HK252" s="152">
        <v>0</v>
      </c>
      <c r="HL252" s="152">
        <v>0</v>
      </c>
      <c r="HM252" s="152">
        <v>0</v>
      </c>
      <c r="HN252" s="152">
        <v>0</v>
      </c>
      <c r="HO252" s="152">
        <v>0</v>
      </c>
      <c r="HP252" s="152">
        <v>0</v>
      </c>
      <c r="HQ252" s="152">
        <v>0</v>
      </c>
      <c r="HR252" s="152">
        <v>0</v>
      </c>
      <c r="HS252" s="152">
        <v>0</v>
      </c>
      <c r="HT252" s="152">
        <v>0</v>
      </c>
      <c r="HU252" s="216"/>
      <c r="HV252" s="152">
        <v>0</v>
      </c>
      <c r="HW252" s="216"/>
      <c r="HX252" s="216"/>
      <c r="HY252" s="216"/>
      <c r="HZ252" s="216"/>
      <c r="IA252" s="216"/>
      <c r="IB252" s="216"/>
      <c r="IC252" s="216"/>
      <c r="ID252" s="216"/>
      <c r="IE252" s="216"/>
      <c r="IF252" s="216"/>
      <c r="IG252" s="216"/>
      <c r="IH252" s="216"/>
      <c r="II252" s="216"/>
      <c r="IJ252" s="216"/>
      <c r="IK252" s="216"/>
      <c r="IL252" s="216"/>
      <c r="IM252" s="216"/>
      <c r="IN252" s="216"/>
      <c r="IO252" s="216"/>
      <c r="IP252" s="216"/>
      <c r="IQ252" s="216"/>
      <c r="IR252" s="216"/>
      <c r="IS252" s="216"/>
      <c r="IT252" s="216"/>
      <c r="IU252" s="216"/>
      <c r="IV252" s="216"/>
      <c r="IW252" s="216"/>
      <c r="IX252" s="216"/>
      <c r="IY252" s="216"/>
      <c r="IZ252" s="216"/>
      <c r="JA252" s="216"/>
      <c r="JB252" s="216"/>
      <c r="JC252" s="216"/>
      <c r="JD252" s="216"/>
      <c r="JE252" s="216"/>
      <c r="JF252" s="216"/>
      <c r="JG252" s="216"/>
      <c r="JH252" s="216"/>
      <c r="JI252" s="216"/>
      <c r="JJ252" s="216"/>
      <c r="JK252" s="216"/>
      <c r="JL252" s="216"/>
      <c r="JM252" s="216"/>
      <c r="JN252" s="216"/>
      <c r="JO252" s="216"/>
      <c r="JP252" s="216"/>
      <c r="JQ252" s="216"/>
      <c r="JR252" s="216"/>
      <c r="JS252" s="216"/>
      <c r="JT252" s="216"/>
      <c r="JU252" s="216"/>
      <c r="JV252" s="216"/>
      <c r="JW252" s="216"/>
      <c r="JX252" s="216"/>
      <c r="JY252" s="216"/>
      <c r="JZ252" s="216"/>
      <c r="KA252" s="216"/>
      <c r="KB252" s="216"/>
      <c r="KC252" s="216"/>
      <c r="KD252" s="216"/>
      <c r="KE252" s="216"/>
      <c r="KF252" s="216"/>
      <c r="KG252" s="216"/>
      <c r="KH252" s="216"/>
      <c r="KI252" s="216"/>
      <c r="KJ252" s="216"/>
      <c r="KK252" s="216"/>
      <c r="KL252" s="216"/>
      <c r="KM252" s="216"/>
      <c r="KN252" s="216"/>
      <c r="KO252" s="216"/>
      <c r="KP252" s="216"/>
      <c r="KQ252" s="216"/>
      <c r="KR252" s="216"/>
      <c r="KS252" s="216"/>
      <c r="KT252" s="216"/>
      <c r="KU252" s="216"/>
      <c r="KV252" s="216"/>
      <c r="KW252" s="216"/>
      <c r="KX252" s="216"/>
      <c r="KY252" s="216"/>
      <c r="KZ252" s="216"/>
      <c r="LA252" s="216"/>
      <c r="LB252" s="216"/>
      <c r="LC252" s="216"/>
      <c r="LD252" s="216"/>
      <c r="LE252" s="216"/>
    </row>
    <row r="253" spans="1:317" x14ac:dyDescent="0.2">
      <c r="A253" s="179" t="s">
        <v>849</v>
      </c>
      <c r="B253" s="180" t="s">
        <v>1152</v>
      </c>
      <c r="C253" s="181"/>
      <c r="D253" s="182">
        <v>0</v>
      </c>
      <c r="E253" s="182">
        <v>0</v>
      </c>
      <c r="F253" s="183" t="s">
        <v>1339</v>
      </c>
      <c r="G253" s="183">
        <v>0</v>
      </c>
      <c r="H253" s="183">
        <v>0</v>
      </c>
      <c r="I253" s="183">
        <v>0</v>
      </c>
      <c r="J253" s="183">
        <v>0</v>
      </c>
      <c r="K253" s="183" t="s">
        <v>1401</v>
      </c>
      <c r="L253" s="183">
        <v>0</v>
      </c>
      <c r="M253" s="183">
        <v>0</v>
      </c>
      <c r="N253" s="183" t="s">
        <v>872</v>
      </c>
      <c r="O253" s="183">
        <v>0</v>
      </c>
      <c r="P253" s="183">
        <v>0</v>
      </c>
      <c r="Q253" s="183"/>
      <c r="R253" s="183"/>
      <c r="S253" s="183"/>
      <c r="T253" s="183"/>
      <c r="U253" s="183"/>
      <c r="V253" s="183">
        <v>0</v>
      </c>
      <c r="W253" s="183">
        <v>0</v>
      </c>
      <c r="X253" s="183">
        <v>0</v>
      </c>
      <c r="Y253" s="184">
        <v>0</v>
      </c>
      <c r="Z253" s="184">
        <v>0</v>
      </c>
      <c r="AA253" s="184">
        <v>0</v>
      </c>
      <c r="AB253" s="185" t="s">
        <v>615</v>
      </c>
      <c r="AC253" s="185" t="s">
        <v>615</v>
      </c>
      <c r="AD253" s="186" t="s">
        <v>872</v>
      </c>
      <c r="AE253" s="186" t="s">
        <v>852</v>
      </c>
      <c r="AF253" s="187">
        <v>7</v>
      </c>
      <c r="AG253" s="187">
        <v>3</v>
      </c>
      <c r="AH253" s="187">
        <v>4</v>
      </c>
      <c r="AI253" s="188">
        <v>1</v>
      </c>
      <c r="AJ253" s="188" t="s">
        <v>615</v>
      </c>
      <c r="AK253" s="187" t="s">
        <v>1741</v>
      </c>
      <c r="AL253" s="87" t="s">
        <v>615</v>
      </c>
      <c r="AM253" s="189"/>
      <c r="AN253" s="187" t="s">
        <v>615</v>
      </c>
      <c r="AO253" s="13" t="s">
        <v>615</v>
      </c>
      <c r="AP253" s="187">
        <v>0</v>
      </c>
      <c r="AQ253" s="187">
        <v>0</v>
      </c>
      <c r="AR253" s="190">
        <v>0</v>
      </c>
      <c r="AS253" s="190">
        <v>0</v>
      </c>
      <c r="AT253" s="190">
        <v>0</v>
      </c>
      <c r="AU253" s="187">
        <v>0</v>
      </c>
      <c r="AV253" s="187">
        <v>0</v>
      </c>
      <c r="AW253" s="191"/>
      <c r="AX253" s="192"/>
      <c r="AY253" s="193"/>
      <c r="AZ253" s="193"/>
      <c r="BA253" s="193"/>
      <c r="BB253" s="194"/>
      <c r="BC253" s="194"/>
      <c r="BD253" s="195"/>
      <c r="BE253" s="195" t="s">
        <v>532</v>
      </c>
      <c r="BF253" s="195"/>
      <c r="BG253" s="195">
        <v>20</v>
      </c>
      <c r="BH253" s="196" t="s">
        <v>547</v>
      </c>
      <c r="BI253" s="197">
        <v>1</v>
      </c>
      <c r="BJ253" s="198"/>
      <c r="BK253" s="199">
        <v>0</v>
      </c>
      <c r="BL253" s="13">
        <v>0</v>
      </c>
      <c r="BM253" s="13">
        <v>0</v>
      </c>
      <c r="BN253" s="13" t="s">
        <v>616</v>
      </c>
      <c r="BO253" s="13" t="s">
        <v>616</v>
      </c>
      <c r="BP253" s="200">
        <v>20</v>
      </c>
      <c r="BQ253" s="201"/>
      <c r="BR253" s="202"/>
      <c r="BS253" s="187">
        <v>1000000000</v>
      </c>
      <c r="BT253" s="203">
        <v>0</v>
      </c>
      <c r="BU253" s="204">
        <v>0</v>
      </c>
      <c r="BV253" s="203">
        <v>20</v>
      </c>
      <c r="BW253" s="205">
        <v>0</v>
      </c>
      <c r="BX253" s="205">
        <v>0</v>
      </c>
      <c r="BY253" s="205">
        <v>0</v>
      </c>
      <c r="BZ253" s="203">
        <v>0</v>
      </c>
      <c r="CA253" s="203">
        <v>0</v>
      </c>
      <c r="CB253" s="203">
        <v>20</v>
      </c>
      <c r="CC253" s="204">
        <v>0</v>
      </c>
      <c r="CD253" s="203">
        <v>0</v>
      </c>
      <c r="CE253" s="203">
        <v>0</v>
      </c>
      <c r="CF253" s="13">
        <v>0</v>
      </c>
      <c r="CG253" s="206">
        <v>0</v>
      </c>
      <c r="CH253" s="207">
        <v>0</v>
      </c>
      <c r="CI253" s="201"/>
      <c r="CJ253" s="208"/>
      <c r="CK253" s="209" t="s">
        <v>615</v>
      </c>
      <c r="CL253" s="210" t="s">
        <v>615</v>
      </c>
      <c r="CM253" s="207">
        <v>0</v>
      </c>
      <c r="CN253" s="207">
        <v>0</v>
      </c>
      <c r="CO253" s="204">
        <v>0</v>
      </c>
      <c r="CP253" s="204">
        <v>0</v>
      </c>
      <c r="CQ253" s="211"/>
      <c r="CR253" s="204">
        <v>1</v>
      </c>
      <c r="CS253" s="212">
        <v>42766</v>
      </c>
      <c r="CT253" s="212">
        <v>42780</v>
      </c>
      <c r="CU253" s="213">
        <v>42780</v>
      </c>
      <c r="CV253" s="214">
        <v>42829</v>
      </c>
      <c r="CW253" s="214" t="s">
        <v>615</v>
      </c>
      <c r="CX253" s="214" t="s">
        <v>615</v>
      </c>
      <c r="CY253" s="204">
        <v>1</v>
      </c>
      <c r="CZ253" s="204">
        <v>0.97959183673469385</v>
      </c>
      <c r="DA253" s="203">
        <v>0</v>
      </c>
      <c r="DB253" s="204">
        <v>0.97959183673469385</v>
      </c>
      <c r="DC253" s="204">
        <v>0</v>
      </c>
      <c r="DD253" s="204">
        <v>0</v>
      </c>
      <c r="DE253" s="204">
        <v>0</v>
      </c>
      <c r="DF253" s="215">
        <v>0</v>
      </c>
      <c r="DG253" s="13" t="s">
        <v>615</v>
      </c>
      <c r="DH253" s="86">
        <v>251</v>
      </c>
      <c r="DI253" s="86"/>
      <c r="DJ253" s="86">
        <v>130</v>
      </c>
      <c r="DK253" s="86" t="s">
        <v>1601</v>
      </c>
      <c r="DL253" s="86" t="e">
        <v>#N/A</v>
      </c>
      <c r="DM253" s="86" t="e">
        <v>#N/A</v>
      </c>
      <c r="DN253" s="86" t="e">
        <v>#N/A</v>
      </c>
      <c r="DO253" s="86">
        <v>136</v>
      </c>
      <c r="DP253" s="86">
        <v>2</v>
      </c>
      <c r="DQ253" s="86">
        <v>49</v>
      </c>
      <c r="DR253" s="151"/>
      <c r="DS253" s="152"/>
      <c r="DT253" s="151"/>
      <c r="DU253" s="151"/>
      <c r="DV253" s="151"/>
      <c r="DW253" s="151"/>
      <c r="DX253" s="151"/>
      <c r="DY253" s="152"/>
      <c r="DZ253" s="151"/>
      <c r="EA253" s="151"/>
      <c r="EB253" s="151"/>
      <c r="EC253" s="151"/>
      <c r="ED253" s="151"/>
      <c r="EE253" s="151"/>
      <c r="EF253" s="226"/>
      <c r="EG253" s="226"/>
      <c r="EH253" s="151"/>
      <c r="EI253" s="151"/>
      <c r="EJ253" s="151"/>
      <c r="EK253" s="151"/>
      <c r="EL253" s="151"/>
      <c r="EM253" s="226"/>
      <c r="EN253" s="151"/>
      <c r="EO253" s="151"/>
      <c r="EP253" s="151"/>
      <c r="EQ253" s="151"/>
      <c r="ER253" s="226"/>
      <c r="ES253" s="226"/>
      <c r="ET253" s="151"/>
      <c r="EU253" s="151"/>
      <c r="EV253" s="151"/>
      <c r="EW253" s="151"/>
      <c r="EX253" s="151"/>
      <c r="EY253" s="226"/>
      <c r="EZ253" s="151"/>
      <c r="FA253" s="151"/>
      <c r="FB253" s="151"/>
      <c r="FC253" s="151"/>
      <c r="FD253" s="151"/>
      <c r="FE253" s="226"/>
      <c r="FF253" s="151"/>
      <c r="FG253" s="151"/>
      <c r="FH253" s="151"/>
      <c r="FI253" s="226"/>
      <c r="FJ253" s="226"/>
      <c r="FK253" s="151"/>
      <c r="FL253" s="151"/>
      <c r="FM253" s="166">
        <v>0</v>
      </c>
      <c r="FN253" s="166">
        <v>0</v>
      </c>
      <c r="FO253" s="160">
        <v>0</v>
      </c>
      <c r="FP253" s="160">
        <v>0</v>
      </c>
      <c r="FQ253" s="160">
        <v>0</v>
      </c>
      <c r="FR253" s="160">
        <v>0</v>
      </c>
      <c r="FS253" s="160">
        <v>0</v>
      </c>
      <c r="FT253" s="160">
        <v>0</v>
      </c>
      <c r="FU253" s="160">
        <v>0</v>
      </c>
      <c r="FV253" s="160">
        <v>0</v>
      </c>
      <c r="FW253" s="160">
        <v>0</v>
      </c>
      <c r="FX253" s="160">
        <v>0</v>
      </c>
      <c r="FY253" s="160">
        <v>0</v>
      </c>
      <c r="FZ253" s="160">
        <v>0</v>
      </c>
      <c r="GA253" s="160">
        <v>0</v>
      </c>
      <c r="GB253" s="160">
        <v>0</v>
      </c>
      <c r="GC253" s="160">
        <v>0</v>
      </c>
      <c r="GD253" s="160">
        <v>0</v>
      </c>
      <c r="GE253" s="160">
        <v>0</v>
      </c>
      <c r="GF253" s="160">
        <v>0</v>
      </c>
      <c r="GG253" s="160">
        <v>0</v>
      </c>
      <c r="GH253" s="160">
        <v>0</v>
      </c>
      <c r="GI253" s="160">
        <v>0</v>
      </c>
      <c r="GJ253" s="160">
        <v>0</v>
      </c>
      <c r="GK253" s="160">
        <v>0</v>
      </c>
      <c r="GL253" s="160">
        <v>0</v>
      </c>
      <c r="GM253" s="160">
        <v>0</v>
      </c>
      <c r="GN253" s="160">
        <v>0</v>
      </c>
      <c r="GO253" s="160">
        <v>0</v>
      </c>
      <c r="GP253" s="160">
        <v>0</v>
      </c>
      <c r="GQ253" s="160">
        <v>0</v>
      </c>
      <c r="GR253" s="160">
        <v>0</v>
      </c>
      <c r="GS253" s="160">
        <v>0</v>
      </c>
      <c r="GT253" s="160">
        <v>0</v>
      </c>
      <c r="GU253" s="160">
        <v>0</v>
      </c>
      <c r="GV253" s="160">
        <v>0</v>
      </c>
      <c r="GW253" s="160">
        <v>0</v>
      </c>
      <c r="GX253" s="160">
        <v>0</v>
      </c>
      <c r="GY253" s="160">
        <v>0</v>
      </c>
      <c r="GZ253" s="160">
        <v>0</v>
      </c>
      <c r="HA253" s="160">
        <v>0</v>
      </c>
      <c r="HB253" s="160">
        <v>0</v>
      </c>
      <c r="HC253" s="160">
        <v>0</v>
      </c>
      <c r="HD253" s="160">
        <v>0</v>
      </c>
      <c r="HE253" s="160">
        <v>0</v>
      </c>
      <c r="HF253" s="160">
        <v>0</v>
      </c>
      <c r="HG253" s="160">
        <v>0</v>
      </c>
      <c r="HH253" s="146">
        <v>0</v>
      </c>
      <c r="HI253" s="146">
        <v>0</v>
      </c>
      <c r="HJ253" s="146">
        <v>0</v>
      </c>
      <c r="HK253" s="146">
        <v>0</v>
      </c>
      <c r="HL253" s="146">
        <v>0</v>
      </c>
      <c r="HM253" s="146">
        <v>0</v>
      </c>
      <c r="HN253" s="146">
        <v>0</v>
      </c>
      <c r="HO253" s="146">
        <v>0</v>
      </c>
      <c r="HP253" s="146">
        <v>0</v>
      </c>
      <c r="HQ253" s="146">
        <v>0</v>
      </c>
      <c r="HR253" s="146">
        <v>0</v>
      </c>
      <c r="HS253" s="146">
        <v>0</v>
      </c>
      <c r="HT253" s="146">
        <v>0</v>
      </c>
      <c r="HU253" s="151"/>
      <c r="HV253" s="146">
        <v>0</v>
      </c>
      <c r="HW253" s="151"/>
      <c r="HX253" s="151"/>
      <c r="HY253" s="151"/>
      <c r="HZ253" s="151"/>
      <c r="IA253" s="151"/>
      <c r="IB253" s="151"/>
      <c r="IC253" s="151"/>
      <c r="ID253" s="151"/>
      <c r="IE253" s="151"/>
      <c r="IF253" s="151"/>
      <c r="IG253" s="151"/>
      <c r="IH253" s="151"/>
      <c r="II253" s="151"/>
      <c r="IJ253" s="151"/>
      <c r="IK253" s="151"/>
      <c r="IL253" s="151"/>
      <c r="IM253" s="151"/>
      <c r="IN253" s="151"/>
      <c r="IO253" s="151"/>
      <c r="IP253" s="151"/>
      <c r="IQ253" s="151"/>
      <c r="IR253" s="151"/>
      <c r="IS253" s="151"/>
      <c r="IT253" s="151"/>
      <c r="IU253" s="151"/>
      <c r="IV253" s="151"/>
      <c r="IW253" s="151"/>
      <c r="IX253" s="151"/>
      <c r="IY253" s="151"/>
      <c r="IZ253" s="151"/>
      <c r="JA253" s="151"/>
      <c r="JB253" s="151"/>
      <c r="JC253" s="151"/>
      <c r="JD253" s="151"/>
      <c r="JE253" s="151"/>
      <c r="JF253" s="151"/>
      <c r="JG253" s="151"/>
      <c r="JH253" s="151"/>
      <c r="JI253" s="151"/>
      <c r="JJ253" s="151"/>
      <c r="JK253" s="151"/>
      <c r="JL253" s="151"/>
      <c r="JM253" s="151"/>
      <c r="JN253" s="151"/>
      <c r="JO253" s="151"/>
      <c r="JP253" s="151"/>
      <c r="JQ253" s="151"/>
      <c r="JR253" s="151"/>
      <c r="JS253" s="151"/>
      <c r="JT253" s="151"/>
      <c r="JU253" s="151"/>
      <c r="JV253" s="151"/>
      <c r="JW253" s="151"/>
      <c r="JX253" s="151"/>
      <c r="JY253" s="151"/>
      <c r="JZ253" s="151"/>
      <c r="KA253" s="151"/>
      <c r="KB253" s="151"/>
      <c r="KC253" s="151"/>
      <c r="KD253" s="151"/>
      <c r="KE253" s="151"/>
      <c r="KF253" s="151"/>
      <c r="KG253" s="151"/>
      <c r="KH253" s="151"/>
      <c r="KI253" s="151"/>
      <c r="KJ253" s="151"/>
      <c r="KK253" s="151"/>
      <c r="KL253" s="151"/>
      <c r="KM253" s="151"/>
      <c r="KN253" s="151"/>
      <c r="KO253" s="151"/>
      <c r="KP253" s="151"/>
      <c r="KQ253" s="151"/>
      <c r="KR253" s="151"/>
      <c r="KS253" s="151"/>
      <c r="KT253" s="151"/>
      <c r="KU253" s="151"/>
      <c r="KV253" s="151"/>
      <c r="KW253" s="151"/>
      <c r="KX253" s="151"/>
      <c r="KY253" s="151"/>
      <c r="KZ253" s="151"/>
      <c r="LA253" s="151"/>
      <c r="LB253" s="151"/>
      <c r="LC253" s="151"/>
      <c r="LD253" s="151"/>
      <c r="LE253" s="151"/>
    </row>
    <row r="254" spans="1:317" x14ac:dyDescent="0.2">
      <c r="A254" s="179" t="s">
        <v>849</v>
      </c>
      <c r="B254" s="180" t="s">
        <v>1153</v>
      </c>
      <c r="C254" s="181"/>
      <c r="D254" s="182">
        <v>0</v>
      </c>
      <c r="E254" s="182">
        <v>0</v>
      </c>
      <c r="F254" s="183" t="s">
        <v>1339</v>
      </c>
      <c r="G254" s="183">
        <v>0</v>
      </c>
      <c r="H254" s="183">
        <v>0</v>
      </c>
      <c r="I254" s="183">
        <v>0</v>
      </c>
      <c r="J254" s="183">
        <v>0</v>
      </c>
      <c r="K254" s="183" t="s">
        <v>1401</v>
      </c>
      <c r="L254" s="183">
        <v>0</v>
      </c>
      <c r="M254" s="183">
        <v>0</v>
      </c>
      <c r="N254" s="183" t="s">
        <v>872</v>
      </c>
      <c r="O254" s="183">
        <v>0</v>
      </c>
      <c r="P254" s="183">
        <v>0</v>
      </c>
      <c r="Q254" s="183"/>
      <c r="R254" s="183"/>
      <c r="S254" s="183"/>
      <c r="T254" s="183"/>
      <c r="U254" s="183"/>
      <c r="V254" s="183">
        <v>0</v>
      </c>
      <c r="W254" s="183">
        <v>0</v>
      </c>
      <c r="X254" s="183">
        <v>0</v>
      </c>
      <c r="Y254" s="184">
        <v>4.96</v>
      </c>
      <c r="Z254" s="184">
        <v>9.3000000000000007</v>
      </c>
      <c r="AA254" s="184">
        <v>0</v>
      </c>
      <c r="AB254" s="185" t="s">
        <v>615</v>
      </c>
      <c r="AC254" s="185" t="s">
        <v>615</v>
      </c>
      <c r="AD254" s="186" t="s">
        <v>872</v>
      </c>
      <c r="AE254" s="186" t="s">
        <v>852</v>
      </c>
      <c r="AF254" s="187">
        <v>7</v>
      </c>
      <c r="AG254" s="187">
        <v>3</v>
      </c>
      <c r="AH254" s="187">
        <v>4</v>
      </c>
      <c r="AI254" s="188">
        <v>1</v>
      </c>
      <c r="AJ254" s="188" t="s">
        <v>615</v>
      </c>
      <c r="AK254" s="187" t="s">
        <v>1741</v>
      </c>
      <c r="AL254" s="87" t="s">
        <v>615</v>
      </c>
      <c r="AM254" s="189"/>
      <c r="AN254" s="187" t="s">
        <v>615</v>
      </c>
      <c r="AO254" s="13" t="s">
        <v>615</v>
      </c>
      <c r="AP254" s="187">
        <v>0</v>
      </c>
      <c r="AQ254" s="187">
        <v>0</v>
      </c>
      <c r="AR254" s="190">
        <v>0</v>
      </c>
      <c r="AS254" s="190">
        <v>0</v>
      </c>
      <c r="AT254" s="190">
        <v>0</v>
      </c>
      <c r="AU254" s="187">
        <v>0</v>
      </c>
      <c r="AV254" s="187">
        <v>0</v>
      </c>
      <c r="AW254" s="191"/>
      <c r="AX254" s="192"/>
      <c r="AY254" s="193"/>
      <c r="AZ254" s="193"/>
      <c r="BA254" s="193"/>
      <c r="BB254" s="194"/>
      <c r="BC254" s="194"/>
      <c r="BD254" s="195"/>
      <c r="BE254" s="195" t="s">
        <v>532</v>
      </c>
      <c r="BF254" s="195"/>
      <c r="BG254" s="195">
        <v>20</v>
      </c>
      <c r="BH254" s="196" t="s">
        <v>547</v>
      </c>
      <c r="BI254" s="197">
        <v>1</v>
      </c>
      <c r="BJ254" s="198"/>
      <c r="BK254" s="199">
        <v>0</v>
      </c>
      <c r="BL254" s="13">
        <v>0</v>
      </c>
      <c r="BM254" s="13">
        <v>0</v>
      </c>
      <c r="BN254" s="13" t="s">
        <v>616</v>
      </c>
      <c r="BO254" s="13" t="s">
        <v>616</v>
      </c>
      <c r="BP254" s="200">
        <v>20</v>
      </c>
      <c r="BQ254" s="201"/>
      <c r="BR254" s="202"/>
      <c r="BS254" s="187">
        <v>1000000000</v>
      </c>
      <c r="BT254" s="203">
        <v>39</v>
      </c>
      <c r="BU254" s="204">
        <v>0</v>
      </c>
      <c r="BV254" s="203">
        <v>0</v>
      </c>
      <c r="BW254" s="205">
        <v>0</v>
      </c>
      <c r="BX254" s="205">
        <v>0</v>
      </c>
      <c r="BY254" s="205">
        <v>0</v>
      </c>
      <c r="BZ254" s="203">
        <v>0</v>
      </c>
      <c r="CA254" s="203">
        <v>0</v>
      </c>
      <c r="CB254" s="203">
        <v>39</v>
      </c>
      <c r="CC254" s="204">
        <v>0</v>
      </c>
      <c r="CD254" s="203">
        <v>0</v>
      </c>
      <c r="CE254" s="203">
        <v>0</v>
      </c>
      <c r="CF254" s="13">
        <v>0</v>
      </c>
      <c r="CG254" s="206">
        <v>0</v>
      </c>
      <c r="CH254" s="207">
        <v>0</v>
      </c>
      <c r="CI254" s="201"/>
      <c r="CJ254" s="208"/>
      <c r="CK254" s="209" t="s">
        <v>615</v>
      </c>
      <c r="CL254" s="210" t="s">
        <v>615</v>
      </c>
      <c r="CM254" s="207">
        <v>0</v>
      </c>
      <c r="CN254" s="207">
        <v>0</v>
      </c>
      <c r="CO254" s="204">
        <v>0</v>
      </c>
      <c r="CP254" s="204">
        <v>0</v>
      </c>
      <c r="CQ254" s="211"/>
      <c r="CR254" s="204">
        <v>1</v>
      </c>
      <c r="CS254" s="212">
        <v>42766</v>
      </c>
      <c r="CT254" s="212">
        <v>42780</v>
      </c>
      <c r="CU254" s="213">
        <v>42780</v>
      </c>
      <c r="CV254" s="214">
        <v>42829</v>
      </c>
      <c r="CW254" s="214" t="s">
        <v>615</v>
      </c>
      <c r="CX254" s="214" t="s">
        <v>615</v>
      </c>
      <c r="CY254" s="204">
        <v>0</v>
      </c>
      <c r="CZ254" s="204">
        <v>0.97959183673469385</v>
      </c>
      <c r="DA254" s="203">
        <v>0</v>
      </c>
      <c r="DB254" s="204">
        <v>0</v>
      </c>
      <c r="DC254" s="204">
        <v>0</v>
      </c>
      <c r="DD254" s="204">
        <v>0</v>
      </c>
      <c r="DE254" s="204">
        <v>0</v>
      </c>
      <c r="DF254" s="215">
        <v>0.97959183673469385</v>
      </c>
      <c r="DG254" s="13" t="s">
        <v>615</v>
      </c>
      <c r="DH254" s="86">
        <v>252</v>
      </c>
      <c r="DI254" s="86"/>
      <c r="DJ254" s="86">
        <v>131</v>
      </c>
      <c r="DK254" s="86" t="s">
        <v>1497</v>
      </c>
      <c r="DL254" s="86" t="e">
        <v>#N/A</v>
      </c>
      <c r="DM254" s="86">
        <v>58</v>
      </c>
      <c r="DN254" s="86" t="e">
        <v>#N/A</v>
      </c>
      <c r="DO254" s="86">
        <v>137</v>
      </c>
      <c r="DP254" s="86">
        <v>2</v>
      </c>
      <c r="DQ254" s="86">
        <v>49</v>
      </c>
      <c r="DR254" s="216"/>
      <c r="DS254" s="152"/>
      <c r="DT254" s="216"/>
      <c r="DU254" s="216"/>
      <c r="DV254" s="216"/>
      <c r="DW254" s="216"/>
      <c r="DX254" s="216"/>
      <c r="DY254" s="152"/>
      <c r="DZ254" s="216"/>
      <c r="EA254" s="216"/>
      <c r="EB254" s="216"/>
      <c r="EC254" s="216"/>
      <c r="ED254" s="216"/>
      <c r="EE254" s="216"/>
      <c r="EF254" s="225"/>
      <c r="EG254" s="225"/>
      <c r="EH254" s="216"/>
      <c r="EI254" s="216"/>
      <c r="EJ254" s="216"/>
      <c r="EK254" s="216"/>
      <c r="EL254" s="216"/>
      <c r="EM254" s="225"/>
      <c r="EN254" s="216"/>
      <c r="EO254" s="216"/>
      <c r="EP254" s="216"/>
      <c r="EQ254" s="216"/>
      <c r="ER254" s="225"/>
      <c r="ES254" s="225"/>
      <c r="ET254" s="216"/>
      <c r="EU254" s="216"/>
      <c r="EV254" s="216"/>
      <c r="EW254" s="216"/>
      <c r="EX254" s="216"/>
      <c r="EY254" s="225"/>
      <c r="EZ254" s="216"/>
      <c r="FA254" s="216"/>
      <c r="FB254" s="216"/>
      <c r="FC254" s="216"/>
      <c r="FD254" s="216"/>
      <c r="FE254" s="225"/>
      <c r="FF254" s="216"/>
      <c r="FG254" s="216"/>
      <c r="FH254" s="216"/>
      <c r="FI254" s="225"/>
      <c r="FJ254" s="225"/>
      <c r="FK254" s="216"/>
      <c r="FL254" s="216"/>
      <c r="FM254" s="167">
        <v>39</v>
      </c>
      <c r="FN254" s="167">
        <v>39</v>
      </c>
      <c r="FO254" s="167">
        <v>39</v>
      </c>
      <c r="FP254" s="167">
        <v>39</v>
      </c>
      <c r="FQ254" s="167">
        <v>39</v>
      </c>
      <c r="FR254" s="167">
        <v>39</v>
      </c>
      <c r="FS254" s="167">
        <v>39</v>
      </c>
      <c r="FT254" s="167">
        <v>39</v>
      </c>
      <c r="FU254" s="167">
        <v>39</v>
      </c>
      <c r="FV254" s="167">
        <v>39</v>
      </c>
      <c r="FW254" s="167">
        <v>39</v>
      </c>
      <c r="FX254" s="167">
        <v>39</v>
      </c>
      <c r="FY254" s="167">
        <v>39</v>
      </c>
      <c r="FZ254" s="167">
        <v>39</v>
      </c>
      <c r="GA254" s="167">
        <v>39</v>
      </c>
      <c r="GB254" s="167">
        <v>39</v>
      </c>
      <c r="GC254" s="167">
        <v>39</v>
      </c>
      <c r="GD254" s="167">
        <v>39</v>
      </c>
      <c r="GE254" s="167">
        <v>39</v>
      </c>
      <c r="GF254" s="167">
        <v>39</v>
      </c>
      <c r="GG254" s="167">
        <v>39</v>
      </c>
      <c r="GH254" s="167">
        <v>39</v>
      </c>
      <c r="GI254" s="167">
        <v>39</v>
      </c>
      <c r="GJ254" s="167">
        <v>39</v>
      </c>
      <c r="GK254" s="167">
        <v>39</v>
      </c>
      <c r="GL254" s="167">
        <v>39</v>
      </c>
      <c r="GM254" s="167">
        <v>39</v>
      </c>
      <c r="GN254" s="167">
        <v>39</v>
      </c>
      <c r="GO254" s="167">
        <v>39</v>
      </c>
      <c r="GP254" s="167">
        <v>39</v>
      </c>
      <c r="GQ254" s="167">
        <v>39</v>
      </c>
      <c r="GR254" s="167">
        <v>39</v>
      </c>
      <c r="GS254" s="167">
        <v>39</v>
      </c>
      <c r="GT254" s="167">
        <v>39</v>
      </c>
      <c r="GU254" s="167">
        <v>39</v>
      </c>
      <c r="GV254" s="167">
        <v>39</v>
      </c>
      <c r="GW254" s="167">
        <v>39</v>
      </c>
      <c r="GX254" s="167">
        <v>39</v>
      </c>
      <c r="GY254" s="167">
        <v>39</v>
      </c>
      <c r="GZ254" s="167">
        <v>39</v>
      </c>
      <c r="HA254" s="167">
        <v>39</v>
      </c>
      <c r="HB254" s="167">
        <v>39</v>
      </c>
      <c r="HC254" s="167">
        <v>39</v>
      </c>
      <c r="HD254" s="167">
        <v>39</v>
      </c>
      <c r="HE254" s="167">
        <v>39</v>
      </c>
      <c r="HF254" s="167">
        <v>39</v>
      </c>
      <c r="HG254" s="167">
        <v>39</v>
      </c>
      <c r="HH254" s="167">
        <v>39</v>
      </c>
      <c r="HI254" s="152">
        <v>39</v>
      </c>
      <c r="HJ254" s="152">
        <v>39</v>
      </c>
      <c r="HK254" s="152">
        <v>39</v>
      </c>
      <c r="HL254" s="152">
        <v>39</v>
      </c>
      <c r="HM254" s="152">
        <v>39</v>
      </c>
      <c r="HN254" s="152">
        <v>39</v>
      </c>
      <c r="HO254" s="152">
        <v>39</v>
      </c>
      <c r="HP254" s="152">
        <v>39</v>
      </c>
      <c r="HQ254" s="152">
        <v>39</v>
      </c>
      <c r="HR254" s="152">
        <v>39</v>
      </c>
      <c r="HS254" s="152">
        <v>39</v>
      </c>
      <c r="HT254" s="152">
        <v>39</v>
      </c>
      <c r="HU254" s="216"/>
      <c r="HV254" s="152">
        <v>39</v>
      </c>
      <c r="HW254" s="216"/>
      <c r="HX254" s="216"/>
      <c r="HY254" s="216"/>
      <c r="HZ254" s="216"/>
      <c r="IA254" s="216"/>
      <c r="IB254" s="216"/>
      <c r="IC254" s="216"/>
      <c r="ID254" s="216"/>
      <c r="IE254" s="216"/>
      <c r="IF254" s="216"/>
      <c r="IG254" s="216"/>
      <c r="IH254" s="216"/>
      <c r="II254" s="216"/>
      <c r="IJ254" s="216"/>
      <c r="IK254" s="216"/>
      <c r="IL254" s="216"/>
      <c r="IM254" s="216"/>
      <c r="IN254" s="216"/>
      <c r="IO254" s="216"/>
      <c r="IP254" s="216"/>
      <c r="IQ254" s="216"/>
      <c r="IR254" s="216"/>
      <c r="IS254" s="216"/>
      <c r="IT254" s="216"/>
      <c r="IU254" s="216"/>
      <c r="IV254" s="216"/>
      <c r="IW254" s="216"/>
      <c r="IX254" s="216"/>
      <c r="IY254" s="216"/>
      <c r="IZ254" s="216"/>
      <c r="JA254" s="216"/>
      <c r="JB254" s="216"/>
      <c r="JC254" s="216"/>
      <c r="JD254" s="216"/>
      <c r="JE254" s="216"/>
      <c r="JF254" s="216"/>
      <c r="JG254" s="216"/>
      <c r="JH254" s="216"/>
      <c r="JI254" s="216"/>
      <c r="JJ254" s="216"/>
      <c r="JK254" s="216"/>
      <c r="JL254" s="216"/>
      <c r="JM254" s="216"/>
      <c r="JN254" s="216"/>
      <c r="JO254" s="216"/>
      <c r="JP254" s="216"/>
      <c r="JQ254" s="216"/>
      <c r="JR254" s="216"/>
      <c r="JS254" s="216"/>
      <c r="JT254" s="216"/>
      <c r="JU254" s="216"/>
      <c r="JV254" s="216"/>
      <c r="JW254" s="216"/>
      <c r="JX254" s="216"/>
      <c r="JY254" s="216"/>
      <c r="JZ254" s="216"/>
      <c r="KA254" s="216"/>
      <c r="KB254" s="216"/>
      <c r="KC254" s="216"/>
      <c r="KD254" s="216"/>
      <c r="KE254" s="216"/>
      <c r="KF254" s="216"/>
      <c r="KG254" s="216"/>
      <c r="KH254" s="216"/>
      <c r="KI254" s="216"/>
      <c r="KJ254" s="216"/>
      <c r="KK254" s="216"/>
      <c r="KL254" s="216"/>
      <c r="KM254" s="216"/>
      <c r="KN254" s="216"/>
      <c r="KO254" s="216"/>
      <c r="KP254" s="216"/>
      <c r="KQ254" s="216"/>
      <c r="KR254" s="216"/>
      <c r="KS254" s="216"/>
      <c r="KT254" s="216"/>
      <c r="KU254" s="216"/>
      <c r="KV254" s="216"/>
      <c r="KW254" s="216"/>
      <c r="KX254" s="216"/>
      <c r="KY254" s="216"/>
      <c r="KZ254" s="216"/>
      <c r="LA254" s="216"/>
      <c r="LB254" s="216"/>
      <c r="LC254" s="216"/>
      <c r="LD254" s="216"/>
      <c r="LE254" s="216"/>
    </row>
    <row r="255" spans="1:317" x14ac:dyDescent="0.2">
      <c r="A255" s="179" t="s">
        <v>849</v>
      </c>
      <c r="B255" s="180" t="s">
        <v>1154</v>
      </c>
      <c r="C255" s="181"/>
      <c r="D255" s="182">
        <v>0</v>
      </c>
      <c r="E255" s="182">
        <v>0</v>
      </c>
      <c r="F255" s="183" t="s">
        <v>1339</v>
      </c>
      <c r="G255" s="183">
        <v>0</v>
      </c>
      <c r="H255" s="183">
        <v>0</v>
      </c>
      <c r="I255" s="183">
        <v>0</v>
      </c>
      <c r="J255" s="183">
        <v>0</v>
      </c>
      <c r="K255" s="183" t="s">
        <v>1401</v>
      </c>
      <c r="L255" s="183">
        <v>0</v>
      </c>
      <c r="M255" s="183">
        <v>0</v>
      </c>
      <c r="N255" s="183" t="s">
        <v>872</v>
      </c>
      <c r="O255" s="183">
        <v>0</v>
      </c>
      <c r="P255" s="183">
        <v>0</v>
      </c>
      <c r="Q255" s="183"/>
      <c r="R255" s="183"/>
      <c r="S255" s="183"/>
      <c r="T255" s="183"/>
      <c r="U255" s="183"/>
      <c r="V255" s="183">
        <v>0</v>
      </c>
      <c r="W255" s="183">
        <v>0</v>
      </c>
      <c r="X255" s="183">
        <v>0</v>
      </c>
      <c r="Y255" s="184">
        <v>6.33</v>
      </c>
      <c r="Z255" s="184">
        <v>11.87</v>
      </c>
      <c r="AA255" s="184">
        <v>0</v>
      </c>
      <c r="AB255" s="185" t="s">
        <v>615</v>
      </c>
      <c r="AC255" s="185" t="s">
        <v>615</v>
      </c>
      <c r="AD255" s="186" t="s">
        <v>872</v>
      </c>
      <c r="AE255" s="186" t="s">
        <v>852</v>
      </c>
      <c r="AF255" s="187">
        <v>7</v>
      </c>
      <c r="AG255" s="187">
        <v>3</v>
      </c>
      <c r="AH255" s="187">
        <v>4</v>
      </c>
      <c r="AI255" s="188">
        <v>1</v>
      </c>
      <c r="AJ255" s="188" t="s">
        <v>615</v>
      </c>
      <c r="AK255" s="187" t="s">
        <v>1741</v>
      </c>
      <c r="AL255" s="87" t="s">
        <v>615</v>
      </c>
      <c r="AM255" s="189"/>
      <c r="AN255" s="187" t="s">
        <v>615</v>
      </c>
      <c r="AO255" s="13" t="s">
        <v>615</v>
      </c>
      <c r="AP255" s="187">
        <v>0</v>
      </c>
      <c r="AQ255" s="187">
        <v>0</v>
      </c>
      <c r="AR255" s="190">
        <v>0</v>
      </c>
      <c r="AS255" s="190">
        <v>0</v>
      </c>
      <c r="AT255" s="190">
        <v>0</v>
      </c>
      <c r="AU255" s="187">
        <v>0</v>
      </c>
      <c r="AV255" s="187">
        <v>0</v>
      </c>
      <c r="AW255" s="191"/>
      <c r="AX255" s="192"/>
      <c r="AY255" s="193"/>
      <c r="AZ255" s="193"/>
      <c r="BA255" s="193"/>
      <c r="BB255" s="194"/>
      <c r="BC255" s="194"/>
      <c r="BD255" s="195"/>
      <c r="BE255" s="195" t="s">
        <v>532</v>
      </c>
      <c r="BF255" s="195"/>
      <c r="BG255" s="195">
        <v>20</v>
      </c>
      <c r="BH255" s="196" t="s">
        <v>547</v>
      </c>
      <c r="BI255" s="197">
        <v>1</v>
      </c>
      <c r="BJ255" s="198"/>
      <c r="BK255" s="199">
        <v>0</v>
      </c>
      <c r="BL255" s="13">
        <v>0</v>
      </c>
      <c r="BM255" s="13">
        <v>0</v>
      </c>
      <c r="BN255" s="13" t="s">
        <v>616</v>
      </c>
      <c r="BO255" s="13" t="s">
        <v>616</v>
      </c>
      <c r="BP255" s="200">
        <v>20</v>
      </c>
      <c r="BQ255" s="201"/>
      <c r="BR255" s="202"/>
      <c r="BS255" s="187">
        <v>1000000000</v>
      </c>
      <c r="BT255" s="203">
        <v>56</v>
      </c>
      <c r="BU255" s="204">
        <v>0</v>
      </c>
      <c r="BV255" s="203">
        <v>0</v>
      </c>
      <c r="BW255" s="205">
        <v>0</v>
      </c>
      <c r="BX255" s="205">
        <v>0</v>
      </c>
      <c r="BY255" s="205">
        <v>0</v>
      </c>
      <c r="BZ255" s="203">
        <v>0</v>
      </c>
      <c r="CA255" s="203">
        <v>0</v>
      </c>
      <c r="CB255" s="203">
        <v>56</v>
      </c>
      <c r="CC255" s="204">
        <v>0</v>
      </c>
      <c r="CD255" s="203">
        <v>0</v>
      </c>
      <c r="CE255" s="203">
        <v>0</v>
      </c>
      <c r="CF255" s="13">
        <v>0</v>
      </c>
      <c r="CG255" s="206">
        <v>0</v>
      </c>
      <c r="CH255" s="207">
        <v>0</v>
      </c>
      <c r="CI255" s="201"/>
      <c r="CJ255" s="208"/>
      <c r="CK255" s="209" t="s">
        <v>615</v>
      </c>
      <c r="CL255" s="210" t="s">
        <v>615</v>
      </c>
      <c r="CM255" s="207">
        <v>0</v>
      </c>
      <c r="CN255" s="207">
        <v>0</v>
      </c>
      <c r="CO255" s="204">
        <v>0</v>
      </c>
      <c r="CP255" s="204">
        <v>0</v>
      </c>
      <c r="CQ255" s="211"/>
      <c r="CR255" s="204">
        <v>1</v>
      </c>
      <c r="CS255" s="212">
        <v>42766</v>
      </c>
      <c r="CT255" s="212">
        <v>42780</v>
      </c>
      <c r="CU255" s="213">
        <v>42780</v>
      </c>
      <c r="CV255" s="214">
        <v>42829</v>
      </c>
      <c r="CW255" s="214" t="s">
        <v>615</v>
      </c>
      <c r="CX255" s="214" t="s">
        <v>615</v>
      </c>
      <c r="CY255" s="204">
        <v>0</v>
      </c>
      <c r="CZ255" s="204">
        <v>0.97959183673469385</v>
      </c>
      <c r="DA255" s="203">
        <v>0</v>
      </c>
      <c r="DB255" s="204">
        <v>0</v>
      </c>
      <c r="DC255" s="204">
        <v>0</v>
      </c>
      <c r="DD255" s="204">
        <v>0</v>
      </c>
      <c r="DE255" s="204">
        <v>0</v>
      </c>
      <c r="DF255" s="215">
        <v>0.97959183673469385</v>
      </c>
      <c r="DG255" s="13" t="s">
        <v>615</v>
      </c>
      <c r="DH255" s="86">
        <v>253</v>
      </c>
      <c r="DI255" s="86"/>
      <c r="DJ255" s="86">
        <v>132</v>
      </c>
      <c r="DK255" s="86" t="s">
        <v>1498</v>
      </c>
      <c r="DL255" s="86" t="e">
        <v>#N/A</v>
      </c>
      <c r="DM255" s="86">
        <v>59</v>
      </c>
      <c r="DN255" s="86" t="e">
        <v>#N/A</v>
      </c>
      <c r="DO255" s="86">
        <v>138</v>
      </c>
      <c r="DP255" s="86">
        <v>2</v>
      </c>
      <c r="DQ255" s="86">
        <v>49</v>
      </c>
      <c r="DR255" s="151"/>
      <c r="DS255" s="152"/>
      <c r="DT255" s="151"/>
      <c r="DU255" s="151"/>
      <c r="DV255" s="151"/>
      <c r="DW255" s="151"/>
      <c r="DX255" s="151"/>
      <c r="DY255" s="152"/>
      <c r="DZ255" s="151"/>
      <c r="EA255" s="151"/>
      <c r="EB255" s="151"/>
      <c r="EC255" s="151"/>
      <c r="ED255" s="151"/>
      <c r="EE255" s="151"/>
      <c r="EF255" s="226"/>
      <c r="EG255" s="226"/>
      <c r="EH255" s="151"/>
      <c r="EI255" s="151"/>
      <c r="EJ255" s="151"/>
      <c r="EK255" s="151"/>
      <c r="EL255" s="151"/>
      <c r="EM255" s="226"/>
      <c r="EN255" s="151"/>
      <c r="EO255" s="151"/>
      <c r="EP255" s="151"/>
      <c r="EQ255" s="151"/>
      <c r="ER255" s="226"/>
      <c r="ES255" s="226"/>
      <c r="ET255" s="151"/>
      <c r="EU255" s="151"/>
      <c r="EV255" s="151"/>
      <c r="EW255" s="151"/>
      <c r="EX255" s="151"/>
      <c r="EY255" s="226"/>
      <c r="EZ255" s="151"/>
      <c r="FA255" s="151"/>
      <c r="FB255" s="151"/>
      <c r="FC255" s="151"/>
      <c r="FD255" s="151"/>
      <c r="FE255" s="226"/>
      <c r="FF255" s="151"/>
      <c r="FG255" s="151"/>
      <c r="FH255" s="151"/>
      <c r="FI255" s="226"/>
      <c r="FJ255" s="226"/>
      <c r="FK255" s="151"/>
      <c r="FL255" s="151"/>
      <c r="FM255" s="167">
        <v>56</v>
      </c>
      <c r="FN255" s="167">
        <v>56</v>
      </c>
      <c r="FO255" s="161">
        <v>56</v>
      </c>
      <c r="FP255" s="161">
        <v>56</v>
      </c>
      <c r="FQ255" s="161">
        <v>56</v>
      </c>
      <c r="FR255" s="161">
        <v>56</v>
      </c>
      <c r="FS255" s="161">
        <v>56</v>
      </c>
      <c r="FT255" s="161">
        <v>56</v>
      </c>
      <c r="FU255" s="161">
        <v>56</v>
      </c>
      <c r="FV255" s="161">
        <v>56</v>
      </c>
      <c r="FW255" s="161">
        <v>56</v>
      </c>
      <c r="FX255" s="161">
        <v>56</v>
      </c>
      <c r="FY255" s="161">
        <v>56</v>
      </c>
      <c r="FZ255" s="161">
        <v>56</v>
      </c>
      <c r="GA255" s="161">
        <v>56</v>
      </c>
      <c r="GB255" s="161">
        <v>56</v>
      </c>
      <c r="GC255" s="161">
        <v>56</v>
      </c>
      <c r="GD255" s="161">
        <v>56</v>
      </c>
      <c r="GE255" s="161">
        <v>56</v>
      </c>
      <c r="GF255" s="161">
        <v>56</v>
      </c>
      <c r="GG255" s="161">
        <v>56</v>
      </c>
      <c r="GH255" s="161">
        <v>56</v>
      </c>
      <c r="GI255" s="161">
        <v>56</v>
      </c>
      <c r="GJ255" s="161">
        <v>56</v>
      </c>
      <c r="GK255" s="161">
        <v>56</v>
      </c>
      <c r="GL255" s="161">
        <v>56</v>
      </c>
      <c r="GM255" s="161">
        <v>56</v>
      </c>
      <c r="GN255" s="161">
        <v>56</v>
      </c>
      <c r="GO255" s="161">
        <v>56</v>
      </c>
      <c r="GP255" s="161">
        <v>56</v>
      </c>
      <c r="GQ255" s="161">
        <v>56</v>
      </c>
      <c r="GR255" s="161">
        <v>56</v>
      </c>
      <c r="GS255" s="161">
        <v>56</v>
      </c>
      <c r="GT255" s="161">
        <v>56</v>
      </c>
      <c r="GU255" s="161">
        <v>56</v>
      </c>
      <c r="GV255" s="161">
        <v>56</v>
      </c>
      <c r="GW255" s="161">
        <v>56</v>
      </c>
      <c r="GX255" s="161">
        <v>56</v>
      </c>
      <c r="GY255" s="161">
        <v>56</v>
      </c>
      <c r="GZ255" s="161">
        <v>56</v>
      </c>
      <c r="HA255" s="161">
        <v>56</v>
      </c>
      <c r="HB255" s="161">
        <v>56</v>
      </c>
      <c r="HC255" s="161">
        <v>56</v>
      </c>
      <c r="HD255" s="161">
        <v>56</v>
      </c>
      <c r="HE255" s="161">
        <v>56</v>
      </c>
      <c r="HF255" s="161">
        <v>56</v>
      </c>
      <c r="HG255" s="161">
        <v>56</v>
      </c>
      <c r="HH255" s="161">
        <v>56</v>
      </c>
      <c r="HI255" s="146">
        <v>56</v>
      </c>
      <c r="HJ255" s="146">
        <v>56</v>
      </c>
      <c r="HK255" s="146">
        <v>56</v>
      </c>
      <c r="HL255" s="146">
        <v>56</v>
      </c>
      <c r="HM255" s="146">
        <v>56</v>
      </c>
      <c r="HN255" s="146">
        <v>56</v>
      </c>
      <c r="HO255" s="146">
        <v>56</v>
      </c>
      <c r="HP255" s="146">
        <v>56</v>
      </c>
      <c r="HQ255" s="146">
        <v>56</v>
      </c>
      <c r="HR255" s="146">
        <v>56</v>
      </c>
      <c r="HS255" s="146">
        <v>56</v>
      </c>
      <c r="HT255" s="146">
        <v>56</v>
      </c>
      <c r="HU255" s="151"/>
      <c r="HV255" s="146">
        <v>56</v>
      </c>
      <c r="HW255" s="151"/>
      <c r="HX255" s="151"/>
      <c r="HY255" s="151"/>
      <c r="HZ255" s="151"/>
      <c r="IA255" s="151"/>
      <c r="IB255" s="151"/>
      <c r="IC255" s="151"/>
      <c r="ID255" s="151"/>
      <c r="IE255" s="151"/>
      <c r="IF255" s="151"/>
      <c r="IG255" s="151"/>
      <c r="IH255" s="151"/>
      <c r="II255" s="151"/>
      <c r="IJ255" s="151"/>
      <c r="IK255" s="151"/>
      <c r="IL255" s="151"/>
      <c r="IM255" s="151"/>
      <c r="IN255" s="151"/>
      <c r="IO255" s="151"/>
      <c r="IP255" s="151"/>
      <c r="IQ255" s="151"/>
      <c r="IR255" s="151"/>
      <c r="IS255" s="151"/>
      <c r="IT255" s="151"/>
      <c r="IU255" s="151"/>
      <c r="IV255" s="151"/>
      <c r="IW255" s="151"/>
      <c r="IX255" s="151"/>
      <c r="IY255" s="151"/>
      <c r="IZ255" s="151"/>
      <c r="JA255" s="151"/>
      <c r="JB255" s="151"/>
      <c r="JC255" s="151"/>
      <c r="JD255" s="151"/>
      <c r="JE255" s="151"/>
      <c r="JF255" s="151"/>
      <c r="JG255" s="151"/>
      <c r="JH255" s="151"/>
      <c r="JI255" s="151"/>
      <c r="JJ255" s="151"/>
      <c r="JK255" s="151"/>
      <c r="JL255" s="151"/>
      <c r="JM255" s="151"/>
      <c r="JN255" s="151"/>
      <c r="JO255" s="151"/>
      <c r="JP255" s="151"/>
      <c r="JQ255" s="151"/>
      <c r="JR255" s="151"/>
      <c r="JS255" s="151"/>
      <c r="JT255" s="151"/>
      <c r="JU255" s="151"/>
      <c r="JV255" s="151"/>
      <c r="JW255" s="151"/>
      <c r="JX255" s="151"/>
      <c r="JY255" s="151"/>
      <c r="JZ255" s="151"/>
      <c r="KA255" s="151"/>
      <c r="KB255" s="151"/>
      <c r="KC255" s="151"/>
      <c r="KD255" s="151"/>
      <c r="KE255" s="151"/>
      <c r="KF255" s="151"/>
      <c r="KG255" s="151"/>
      <c r="KH255" s="151"/>
      <c r="KI255" s="151"/>
      <c r="KJ255" s="151"/>
      <c r="KK255" s="151"/>
      <c r="KL255" s="151"/>
      <c r="KM255" s="151"/>
      <c r="KN255" s="151"/>
      <c r="KO255" s="151"/>
      <c r="KP255" s="151"/>
      <c r="KQ255" s="151"/>
      <c r="KR255" s="151"/>
      <c r="KS255" s="151"/>
      <c r="KT255" s="151"/>
      <c r="KU255" s="151"/>
      <c r="KV255" s="151"/>
      <c r="KW255" s="151"/>
      <c r="KX255" s="151"/>
      <c r="KY255" s="151"/>
      <c r="KZ255" s="151"/>
      <c r="LA255" s="151"/>
      <c r="LB255" s="151"/>
      <c r="LC255" s="151"/>
      <c r="LD255" s="151"/>
      <c r="LE255" s="151"/>
    </row>
    <row r="256" spans="1:317" x14ac:dyDescent="0.2">
      <c r="A256" s="179" t="s">
        <v>849</v>
      </c>
      <c r="B256" s="180" t="s">
        <v>1155</v>
      </c>
      <c r="C256" s="181"/>
      <c r="D256" s="182">
        <v>0</v>
      </c>
      <c r="E256" s="182">
        <v>0</v>
      </c>
      <c r="F256" s="183" t="s">
        <v>1339</v>
      </c>
      <c r="G256" s="183">
        <v>0</v>
      </c>
      <c r="H256" s="183">
        <v>0</v>
      </c>
      <c r="I256" s="183">
        <v>0</v>
      </c>
      <c r="J256" s="183">
        <v>0</v>
      </c>
      <c r="K256" s="183" t="s">
        <v>1401</v>
      </c>
      <c r="L256" s="183">
        <v>0</v>
      </c>
      <c r="M256" s="183">
        <v>0</v>
      </c>
      <c r="N256" s="183" t="s">
        <v>872</v>
      </c>
      <c r="O256" s="183">
        <v>0</v>
      </c>
      <c r="P256" s="183">
        <v>0</v>
      </c>
      <c r="Q256" s="183"/>
      <c r="R256" s="183"/>
      <c r="S256" s="183"/>
      <c r="T256" s="183"/>
      <c r="U256" s="183"/>
      <c r="V256" s="183">
        <v>0</v>
      </c>
      <c r="W256" s="183">
        <v>0</v>
      </c>
      <c r="X256" s="183">
        <v>0</v>
      </c>
      <c r="Y256" s="184">
        <v>0</v>
      </c>
      <c r="Z256" s="184">
        <v>0</v>
      </c>
      <c r="AA256" s="184">
        <v>0</v>
      </c>
      <c r="AB256" s="185" t="s">
        <v>615</v>
      </c>
      <c r="AC256" s="185" t="s">
        <v>615</v>
      </c>
      <c r="AD256" s="186" t="s">
        <v>872</v>
      </c>
      <c r="AE256" s="186" t="s">
        <v>852</v>
      </c>
      <c r="AF256" s="187">
        <v>7</v>
      </c>
      <c r="AG256" s="187">
        <v>3</v>
      </c>
      <c r="AH256" s="187">
        <v>4</v>
      </c>
      <c r="AI256" s="188">
        <v>1</v>
      </c>
      <c r="AJ256" s="188" t="s">
        <v>615</v>
      </c>
      <c r="AK256" s="187" t="s">
        <v>1741</v>
      </c>
      <c r="AL256" s="87" t="s">
        <v>615</v>
      </c>
      <c r="AM256" s="189"/>
      <c r="AN256" s="187" t="s">
        <v>615</v>
      </c>
      <c r="AO256" s="13" t="s">
        <v>615</v>
      </c>
      <c r="AP256" s="187">
        <v>0</v>
      </c>
      <c r="AQ256" s="187">
        <v>0</v>
      </c>
      <c r="AR256" s="190">
        <v>0</v>
      </c>
      <c r="AS256" s="190">
        <v>0</v>
      </c>
      <c r="AT256" s="190">
        <v>0</v>
      </c>
      <c r="AU256" s="187">
        <v>0</v>
      </c>
      <c r="AV256" s="187">
        <v>0</v>
      </c>
      <c r="AW256" s="191"/>
      <c r="AX256" s="192"/>
      <c r="AY256" s="193"/>
      <c r="AZ256" s="193"/>
      <c r="BA256" s="193"/>
      <c r="BB256" s="194"/>
      <c r="BC256" s="194"/>
      <c r="BD256" s="195"/>
      <c r="BE256" s="195" t="s">
        <v>532</v>
      </c>
      <c r="BF256" s="195"/>
      <c r="BG256" s="195">
        <v>20</v>
      </c>
      <c r="BH256" s="196" t="s">
        <v>547</v>
      </c>
      <c r="BI256" s="197">
        <v>1</v>
      </c>
      <c r="BJ256" s="198"/>
      <c r="BK256" s="199">
        <v>0</v>
      </c>
      <c r="BL256" s="13">
        <v>0</v>
      </c>
      <c r="BM256" s="13">
        <v>0</v>
      </c>
      <c r="BN256" s="13" t="s">
        <v>616</v>
      </c>
      <c r="BO256" s="13" t="s">
        <v>616</v>
      </c>
      <c r="BP256" s="200">
        <v>20</v>
      </c>
      <c r="BQ256" s="201"/>
      <c r="BR256" s="202"/>
      <c r="BS256" s="187">
        <v>1000000000</v>
      </c>
      <c r="BT256" s="203">
        <v>0</v>
      </c>
      <c r="BU256" s="204">
        <v>0</v>
      </c>
      <c r="BV256" s="203">
        <v>20</v>
      </c>
      <c r="BW256" s="205">
        <v>0</v>
      </c>
      <c r="BX256" s="205">
        <v>0</v>
      </c>
      <c r="BY256" s="205">
        <v>0</v>
      </c>
      <c r="BZ256" s="203">
        <v>0</v>
      </c>
      <c r="CA256" s="203">
        <v>0</v>
      </c>
      <c r="CB256" s="203">
        <v>20</v>
      </c>
      <c r="CC256" s="204">
        <v>0</v>
      </c>
      <c r="CD256" s="203">
        <v>0</v>
      </c>
      <c r="CE256" s="203">
        <v>0</v>
      </c>
      <c r="CF256" s="13">
        <v>0</v>
      </c>
      <c r="CG256" s="206">
        <v>0</v>
      </c>
      <c r="CH256" s="207">
        <v>0</v>
      </c>
      <c r="CI256" s="201"/>
      <c r="CJ256" s="208"/>
      <c r="CK256" s="209" t="s">
        <v>615</v>
      </c>
      <c r="CL256" s="210" t="s">
        <v>615</v>
      </c>
      <c r="CM256" s="207">
        <v>0</v>
      </c>
      <c r="CN256" s="207">
        <v>0</v>
      </c>
      <c r="CO256" s="204">
        <v>0</v>
      </c>
      <c r="CP256" s="204">
        <v>0</v>
      </c>
      <c r="CQ256" s="211"/>
      <c r="CR256" s="204">
        <v>1</v>
      </c>
      <c r="CS256" s="212">
        <v>42766</v>
      </c>
      <c r="CT256" s="212">
        <v>42780</v>
      </c>
      <c r="CU256" s="213">
        <v>42780</v>
      </c>
      <c r="CV256" s="214">
        <v>42829</v>
      </c>
      <c r="CW256" s="214" t="s">
        <v>615</v>
      </c>
      <c r="CX256" s="214" t="s">
        <v>615</v>
      </c>
      <c r="CY256" s="204">
        <v>1</v>
      </c>
      <c r="CZ256" s="204">
        <v>0.97959183673469385</v>
      </c>
      <c r="DA256" s="203">
        <v>0</v>
      </c>
      <c r="DB256" s="204">
        <v>0.97959183673469385</v>
      </c>
      <c r="DC256" s="204">
        <v>0</v>
      </c>
      <c r="DD256" s="204">
        <v>0</v>
      </c>
      <c r="DE256" s="204">
        <v>0</v>
      </c>
      <c r="DF256" s="215">
        <v>0</v>
      </c>
      <c r="DG256" s="13" t="s">
        <v>615</v>
      </c>
      <c r="DH256" s="86">
        <v>254</v>
      </c>
      <c r="DI256" s="86"/>
      <c r="DJ256" s="86">
        <v>133</v>
      </c>
      <c r="DK256" s="86" t="s">
        <v>1602</v>
      </c>
      <c r="DL256" s="86" t="e">
        <v>#N/A</v>
      </c>
      <c r="DM256" s="86" t="e">
        <v>#N/A</v>
      </c>
      <c r="DN256" s="86" t="e">
        <v>#N/A</v>
      </c>
      <c r="DO256" s="86">
        <v>139</v>
      </c>
      <c r="DP256" s="86">
        <v>2</v>
      </c>
      <c r="DQ256" s="86">
        <v>49</v>
      </c>
      <c r="DR256" s="216"/>
      <c r="DS256" s="152"/>
      <c r="DT256" s="216"/>
      <c r="DU256" s="216"/>
      <c r="DV256" s="216"/>
      <c r="DW256" s="216"/>
      <c r="DX256" s="216"/>
      <c r="DY256" s="152"/>
      <c r="DZ256" s="216"/>
      <c r="EA256" s="216"/>
      <c r="EB256" s="216"/>
      <c r="EC256" s="216"/>
      <c r="ED256" s="216"/>
      <c r="EE256" s="216"/>
      <c r="EF256" s="225"/>
      <c r="EG256" s="225"/>
      <c r="EH256" s="216"/>
      <c r="EI256" s="216"/>
      <c r="EJ256" s="216"/>
      <c r="EK256" s="216"/>
      <c r="EL256" s="216"/>
      <c r="EM256" s="225"/>
      <c r="EN256" s="216"/>
      <c r="EO256" s="216"/>
      <c r="EP256" s="216"/>
      <c r="EQ256" s="216"/>
      <c r="ER256" s="225"/>
      <c r="ES256" s="225"/>
      <c r="ET256" s="216"/>
      <c r="EU256" s="216"/>
      <c r="EV256" s="216"/>
      <c r="EW256" s="216"/>
      <c r="EX256" s="216"/>
      <c r="EY256" s="225"/>
      <c r="EZ256" s="216"/>
      <c r="FA256" s="216"/>
      <c r="FB256" s="216"/>
      <c r="FC256" s="216"/>
      <c r="FD256" s="216"/>
      <c r="FE256" s="225"/>
      <c r="FF256" s="216"/>
      <c r="FG256" s="216"/>
      <c r="FH256" s="216"/>
      <c r="FI256" s="225"/>
      <c r="FJ256" s="225"/>
      <c r="FK256" s="216"/>
      <c r="FL256" s="216"/>
      <c r="FM256" s="166">
        <v>0</v>
      </c>
      <c r="FN256" s="166">
        <v>0</v>
      </c>
      <c r="FO256" s="166">
        <v>0</v>
      </c>
      <c r="FP256" s="166">
        <v>0</v>
      </c>
      <c r="FQ256" s="166">
        <v>0</v>
      </c>
      <c r="FR256" s="166">
        <v>0</v>
      </c>
      <c r="FS256" s="166">
        <v>0</v>
      </c>
      <c r="FT256" s="166">
        <v>0</v>
      </c>
      <c r="FU256" s="166">
        <v>0</v>
      </c>
      <c r="FV256" s="166">
        <v>0</v>
      </c>
      <c r="FW256" s="166">
        <v>0</v>
      </c>
      <c r="FX256" s="166">
        <v>0</v>
      </c>
      <c r="FY256" s="166">
        <v>0</v>
      </c>
      <c r="FZ256" s="166">
        <v>0</v>
      </c>
      <c r="GA256" s="166">
        <v>0</v>
      </c>
      <c r="GB256" s="166">
        <v>0</v>
      </c>
      <c r="GC256" s="166">
        <v>0</v>
      </c>
      <c r="GD256" s="166">
        <v>0</v>
      </c>
      <c r="GE256" s="166">
        <v>0</v>
      </c>
      <c r="GF256" s="166">
        <v>0</v>
      </c>
      <c r="GG256" s="166">
        <v>0</v>
      </c>
      <c r="GH256" s="166">
        <v>0</v>
      </c>
      <c r="GI256" s="166">
        <v>0</v>
      </c>
      <c r="GJ256" s="166">
        <v>0</v>
      </c>
      <c r="GK256" s="166">
        <v>0</v>
      </c>
      <c r="GL256" s="166">
        <v>0</v>
      </c>
      <c r="GM256" s="166">
        <v>0</v>
      </c>
      <c r="GN256" s="166">
        <v>0</v>
      </c>
      <c r="GO256" s="166">
        <v>0</v>
      </c>
      <c r="GP256" s="166">
        <v>0</v>
      </c>
      <c r="GQ256" s="166">
        <v>0</v>
      </c>
      <c r="GR256" s="166">
        <v>0</v>
      </c>
      <c r="GS256" s="166">
        <v>0</v>
      </c>
      <c r="GT256" s="166">
        <v>0</v>
      </c>
      <c r="GU256" s="166">
        <v>0</v>
      </c>
      <c r="GV256" s="166">
        <v>0</v>
      </c>
      <c r="GW256" s="166">
        <v>0</v>
      </c>
      <c r="GX256" s="166">
        <v>0</v>
      </c>
      <c r="GY256" s="166">
        <v>0</v>
      </c>
      <c r="GZ256" s="166">
        <v>0</v>
      </c>
      <c r="HA256" s="166">
        <v>0</v>
      </c>
      <c r="HB256" s="166">
        <v>0</v>
      </c>
      <c r="HC256" s="166">
        <v>0</v>
      </c>
      <c r="HD256" s="166">
        <v>0</v>
      </c>
      <c r="HE256" s="166">
        <v>0</v>
      </c>
      <c r="HF256" s="166">
        <v>0</v>
      </c>
      <c r="HG256" s="166">
        <v>0</v>
      </c>
      <c r="HH256" s="152">
        <v>0</v>
      </c>
      <c r="HI256" s="152">
        <v>0</v>
      </c>
      <c r="HJ256" s="152">
        <v>0</v>
      </c>
      <c r="HK256" s="152">
        <v>0</v>
      </c>
      <c r="HL256" s="152">
        <v>0</v>
      </c>
      <c r="HM256" s="152">
        <v>0</v>
      </c>
      <c r="HN256" s="152">
        <v>0</v>
      </c>
      <c r="HO256" s="152">
        <v>0</v>
      </c>
      <c r="HP256" s="152">
        <v>0</v>
      </c>
      <c r="HQ256" s="152">
        <v>0</v>
      </c>
      <c r="HR256" s="152">
        <v>0</v>
      </c>
      <c r="HS256" s="152">
        <v>0</v>
      </c>
      <c r="HT256" s="152">
        <v>0</v>
      </c>
      <c r="HU256" s="216"/>
      <c r="HV256" s="152">
        <v>0</v>
      </c>
      <c r="HW256" s="216"/>
      <c r="HX256" s="216"/>
      <c r="HY256" s="216"/>
      <c r="HZ256" s="216"/>
      <c r="IA256" s="216"/>
      <c r="IB256" s="216"/>
      <c r="IC256" s="216"/>
      <c r="ID256" s="216"/>
      <c r="IE256" s="216"/>
      <c r="IF256" s="216"/>
      <c r="IG256" s="216"/>
      <c r="IH256" s="216"/>
      <c r="II256" s="216"/>
      <c r="IJ256" s="216"/>
      <c r="IK256" s="216"/>
      <c r="IL256" s="216"/>
      <c r="IM256" s="216"/>
      <c r="IN256" s="216"/>
      <c r="IO256" s="216"/>
      <c r="IP256" s="216"/>
      <c r="IQ256" s="216"/>
      <c r="IR256" s="216"/>
      <c r="IS256" s="216"/>
      <c r="IT256" s="216"/>
      <c r="IU256" s="216"/>
      <c r="IV256" s="216"/>
      <c r="IW256" s="216"/>
      <c r="IX256" s="216"/>
      <c r="IY256" s="216"/>
      <c r="IZ256" s="216"/>
      <c r="JA256" s="216"/>
      <c r="JB256" s="216"/>
      <c r="JC256" s="216"/>
      <c r="JD256" s="216"/>
      <c r="JE256" s="216"/>
      <c r="JF256" s="216"/>
      <c r="JG256" s="216"/>
      <c r="JH256" s="216"/>
      <c r="JI256" s="216"/>
      <c r="JJ256" s="216"/>
      <c r="JK256" s="216"/>
      <c r="JL256" s="216"/>
      <c r="JM256" s="216"/>
      <c r="JN256" s="216"/>
      <c r="JO256" s="216"/>
      <c r="JP256" s="216"/>
      <c r="JQ256" s="216"/>
      <c r="JR256" s="216"/>
      <c r="JS256" s="216"/>
      <c r="JT256" s="216"/>
      <c r="JU256" s="216"/>
      <c r="JV256" s="216"/>
      <c r="JW256" s="216"/>
      <c r="JX256" s="216"/>
      <c r="JY256" s="216"/>
      <c r="JZ256" s="216"/>
      <c r="KA256" s="216"/>
      <c r="KB256" s="216"/>
      <c r="KC256" s="216"/>
      <c r="KD256" s="216"/>
      <c r="KE256" s="216"/>
      <c r="KF256" s="216"/>
      <c r="KG256" s="216"/>
      <c r="KH256" s="216"/>
      <c r="KI256" s="216"/>
      <c r="KJ256" s="216"/>
      <c r="KK256" s="216"/>
      <c r="KL256" s="216"/>
      <c r="KM256" s="216"/>
      <c r="KN256" s="216"/>
      <c r="KO256" s="216"/>
      <c r="KP256" s="216"/>
      <c r="KQ256" s="216"/>
      <c r="KR256" s="216"/>
      <c r="KS256" s="216"/>
      <c r="KT256" s="216"/>
      <c r="KU256" s="216"/>
      <c r="KV256" s="216"/>
      <c r="KW256" s="216"/>
      <c r="KX256" s="216"/>
      <c r="KY256" s="216"/>
      <c r="KZ256" s="216"/>
      <c r="LA256" s="216"/>
      <c r="LB256" s="216"/>
      <c r="LC256" s="216"/>
      <c r="LD256" s="216"/>
      <c r="LE256" s="216"/>
    </row>
    <row r="257" spans="1:317" x14ac:dyDescent="0.2">
      <c r="A257" s="179" t="s">
        <v>849</v>
      </c>
      <c r="B257" s="180" t="s">
        <v>1156</v>
      </c>
      <c r="C257" s="181"/>
      <c r="D257" s="182">
        <v>0</v>
      </c>
      <c r="E257" s="182">
        <v>0</v>
      </c>
      <c r="F257" s="183" t="s">
        <v>1339</v>
      </c>
      <c r="G257" s="183">
        <v>0</v>
      </c>
      <c r="H257" s="183">
        <v>0</v>
      </c>
      <c r="I257" s="183">
        <v>0</v>
      </c>
      <c r="J257" s="183">
        <v>0</v>
      </c>
      <c r="K257" s="183" t="s">
        <v>1401</v>
      </c>
      <c r="L257" s="183">
        <v>0</v>
      </c>
      <c r="M257" s="183">
        <v>0</v>
      </c>
      <c r="N257" s="183" t="s">
        <v>872</v>
      </c>
      <c r="O257" s="183">
        <v>0</v>
      </c>
      <c r="P257" s="183">
        <v>0</v>
      </c>
      <c r="Q257" s="183"/>
      <c r="R257" s="183"/>
      <c r="S257" s="183"/>
      <c r="T257" s="183"/>
      <c r="U257" s="183"/>
      <c r="V257" s="183">
        <v>0</v>
      </c>
      <c r="W257" s="183">
        <v>0</v>
      </c>
      <c r="X257" s="183">
        <v>0</v>
      </c>
      <c r="Y257" s="184">
        <v>0</v>
      </c>
      <c r="Z257" s="184">
        <v>0</v>
      </c>
      <c r="AA257" s="184">
        <v>0</v>
      </c>
      <c r="AB257" s="185" t="s">
        <v>615</v>
      </c>
      <c r="AC257" s="185" t="s">
        <v>615</v>
      </c>
      <c r="AD257" s="186" t="s">
        <v>872</v>
      </c>
      <c r="AE257" s="186" t="s">
        <v>852</v>
      </c>
      <c r="AF257" s="187">
        <v>7</v>
      </c>
      <c r="AG257" s="187">
        <v>3</v>
      </c>
      <c r="AH257" s="187">
        <v>4</v>
      </c>
      <c r="AI257" s="188">
        <v>1</v>
      </c>
      <c r="AJ257" s="188" t="s">
        <v>615</v>
      </c>
      <c r="AK257" s="187" t="s">
        <v>1741</v>
      </c>
      <c r="AL257" s="87" t="s">
        <v>615</v>
      </c>
      <c r="AM257" s="189"/>
      <c r="AN257" s="187" t="s">
        <v>615</v>
      </c>
      <c r="AO257" s="13" t="s">
        <v>615</v>
      </c>
      <c r="AP257" s="187">
        <v>0</v>
      </c>
      <c r="AQ257" s="187">
        <v>0</v>
      </c>
      <c r="AR257" s="190">
        <v>0</v>
      </c>
      <c r="AS257" s="190">
        <v>0</v>
      </c>
      <c r="AT257" s="190">
        <v>0</v>
      </c>
      <c r="AU257" s="187">
        <v>0</v>
      </c>
      <c r="AV257" s="187">
        <v>0</v>
      </c>
      <c r="AW257" s="191"/>
      <c r="AX257" s="192"/>
      <c r="AY257" s="193"/>
      <c r="AZ257" s="193"/>
      <c r="BA257" s="193"/>
      <c r="BB257" s="194"/>
      <c r="BC257" s="194"/>
      <c r="BD257" s="195"/>
      <c r="BE257" s="195" t="s">
        <v>532</v>
      </c>
      <c r="BF257" s="195"/>
      <c r="BG257" s="195">
        <v>20</v>
      </c>
      <c r="BH257" s="196" t="s">
        <v>547</v>
      </c>
      <c r="BI257" s="197">
        <v>1</v>
      </c>
      <c r="BJ257" s="198"/>
      <c r="BK257" s="199">
        <v>0</v>
      </c>
      <c r="BL257" s="13">
        <v>0</v>
      </c>
      <c r="BM257" s="13">
        <v>0</v>
      </c>
      <c r="BN257" s="13" t="s">
        <v>616</v>
      </c>
      <c r="BO257" s="13" t="s">
        <v>616</v>
      </c>
      <c r="BP257" s="200">
        <v>20</v>
      </c>
      <c r="BQ257" s="201"/>
      <c r="BR257" s="202"/>
      <c r="BS257" s="187">
        <v>1000000000</v>
      </c>
      <c r="BT257" s="203">
        <v>0</v>
      </c>
      <c r="BU257" s="204">
        <v>0</v>
      </c>
      <c r="BV257" s="203">
        <v>20</v>
      </c>
      <c r="BW257" s="205">
        <v>0</v>
      </c>
      <c r="BX257" s="205">
        <v>0</v>
      </c>
      <c r="BY257" s="205">
        <v>0</v>
      </c>
      <c r="BZ257" s="203">
        <v>0</v>
      </c>
      <c r="CA257" s="203">
        <v>0</v>
      </c>
      <c r="CB257" s="203">
        <v>20</v>
      </c>
      <c r="CC257" s="204">
        <v>0</v>
      </c>
      <c r="CD257" s="203">
        <v>0</v>
      </c>
      <c r="CE257" s="203">
        <v>0</v>
      </c>
      <c r="CF257" s="13">
        <v>0</v>
      </c>
      <c r="CG257" s="206">
        <v>0</v>
      </c>
      <c r="CH257" s="207">
        <v>0</v>
      </c>
      <c r="CI257" s="201"/>
      <c r="CJ257" s="208"/>
      <c r="CK257" s="209" t="s">
        <v>615</v>
      </c>
      <c r="CL257" s="210" t="s">
        <v>615</v>
      </c>
      <c r="CM257" s="207">
        <v>0</v>
      </c>
      <c r="CN257" s="207">
        <v>0</v>
      </c>
      <c r="CO257" s="204">
        <v>0</v>
      </c>
      <c r="CP257" s="204">
        <v>0</v>
      </c>
      <c r="CQ257" s="211"/>
      <c r="CR257" s="204">
        <v>1</v>
      </c>
      <c r="CS257" s="212">
        <v>42766</v>
      </c>
      <c r="CT257" s="212">
        <v>42780</v>
      </c>
      <c r="CU257" s="213">
        <v>42780</v>
      </c>
      <c r="CV257" s="214">
        <v>42829</v>
      </c>
      <c r="CW257" s="214" t="s">
        <v>615</v>
      </c>
      <c r="CX257" s="214" t="s">
        <v>615</v>
      </c>
      <c r="CY257" s="204">
        <v>1</v>
      </c>
      <c r="CZ257" s="204">
        <v>0.97959183673469385</v>
      </c>
      <c r="DA257" s="203">
        <v>0</v>
      </c>
      <c r="DB257" s="204">
        <v>0.97959183673469385</v>
      </c>
      <c r="DC257" s="204">
        <v>0</v>
      </c>
      <c r="DD257" s="204">
        <v>0</v>
      </c>
      <c r="DE257" s="204">
        <v>0</v>
      </c>
      <c r="DF257" s="215">
        <v>0</v>
      </c>
      <c r="DG257" s="13" t="s">
        <v>615</v>
      </c>
      <c r="DH257" s="86">
        <v>255</v>
      </c>
      <c r="DI257" s="86"/>
      <c r="DJ257" s="86">
        <v>134</v>
      </c>
      <c r="DK257" s="86" t="s">
        <v>1603</v>
      </c>
      <c r="DL257" s="86" t="e">
        <v>#N/A</v>
      </c>
      <c r="DM257" s="86" t="e">
        <v>#N/A</v>
      </c>
      <c r="DN257" s="86" t="e">
        <v>#N/A</v>
      </c>
      <c r="DO257" s="86">
        <v>140</v>
      </c>
      <c r="DP257" s="86">
        <v>2</v>
      </c>
      <c r="DQ257" s="86">
        <v>49</v>
      </c>
      <c r="DR257" s="151"/>
      <c r="DS257" s="152"/>
      <c r="DT257" s="151"/>
      <c r="DU257" s="151"/>
      <c r="DV257" s="151"/>
      <c r="DW257" s="151"/>
      <c r="DX257" s="151"/>
      <c r="DY257" s="152"/>
      <c r="DZ257" s="151"/>
      <c r="EA257" s="151"/>
      <c r="EB257" s="151"/>
      <c r="EC257" s="151"/>
      <c r="ED257" s="151"/>
      <c r="EE257" s="151"/>
      <c r="EF257" s="226"/>
      <c r="EG257" s="226"/>
      <c r="EH257" s="151"/>
      <c r="EI257" s="151"/>
      <c r="EJ257" s="151"/>
      <c r="EK257" s="151"/>
      <c r="EL257" s="151"/>
      <c r="EM257" s="226"/>
      <c r="EN257" s="151"/>
      <c r="EO257" s="151"/>
      <c r="EP257" s="151"/>
      <c r="EQ257" s="151"/>
      <c r="ER257" s="226"/>
      <c r="ES257" s="226"/>
      <c r="ET257" s="151"/>
      <c r="EU257" s="151"/>
      <c r="EV257" s="151"/>
      <c r="EW257" s="151"/>
      <c r="EX257" s="151"/>
      <c r="EY257" s="226"/>
      <c r="EZ257" s="151"/>
      <c r="FA257" s="151"/>
      <c r="FB257" s="151"/>
      <c r="FC257" s="151"/>
      <c r="FD257" s="151"/>
      <c r="FE257" s="226"/>
      <c r="FF257" s="151"/>
      <c r="FG257" s="151"/>
      <c r="FH257" s="151"/>
      <c r="FI257" s="226"/>
      <c r="FJ257" s="226"/>
      <c r="FK257" s="151"/>
      <c r="FL257" s="151"/>
      <c r="FM257" s="166">
        <v>0</v>
      </c>
      <c r="FN257" s="166">
        <v>0</v>
      </c>
      <c r="FO257" s="160">
        <v>0</v>
      </c>
      <c r="FP257" s="160">
        <v>0</v>
      </c>
      <c r="FQ257" s="160">
        <v>0</v>
      </c>
      <c r="FR257" s="160">
        <v>0</v>
      </c>
      <c r="FS257" s="160">
        <v>0</v>
      </c>
      <c r="FT257" s="160">
        <v>0</v>
      </c>
      <c r="FU257" s="160">
        <v>0</v>
      </c>
      <c r="FV257" s="160">
        <v>0</v>
      </c>
      <c r="FW257" s="160">
        <v>0</v>
      </c>
      <c r="FX257" s="160">
        <v>0</v>
      </c>
      <c r="FY257" s="160">
        <v>0</v>
      </c>
      <c r="FZ257" s="160">
        <v>0</v>
      </c>
      <c r="GA257" s="160">
        <v>0</v>
      </c>
      <c r="GB257" s="160">
        <v>0</v>
      </c>
      <c r="GC257" s="160">
        <v>0</v>
      </c>
      <c r="GD257" s="160">
        <v>0</v>
      </c>
      <c r="GE257" s="160">
        <v>0</v>
      </c>
      <c r="GF257" s="160">
        <v>0</v>
      </c>
      <c r="GG257" s="160">
        <v>0</v>
      </c>
      <c r="GH257" s="160">
        <v>0</v>
      </c>
      <c r="GI257" s="160">
        <v>0</v>
      </c>
      <c r="GJ257" s="160">
        <v>0</v>
      </c>
      <c r="GK257" s="160">
        <v>0</v>
      </c>
      <c r="GL257" s="160">
        <v>0</v>
      </c>
      <c r="GM257" s="160">
        <v>0</v>
      </c>
      <c r="GN257" s="160">
        <v>0</v>
      </c>
      <c r="GO257" s="160">
        <v>0</v>
      </c>
      <c r="GP257" s="160">
        <v>0</v>
      </c>
      <c r="GQ257" s="160">
        <v>0</v>
      </c>
      <c r="GR257" s="160">
        <v>0</v>
      </c>
      <c r="GS257" s="160">
        <v>0</v>
      </c>
      <c r="GT257" s="160">
        <v>0</v>
      </c>
      <c r="GU257" s="160">
        <v>0</v>
      </c>
      <c r="GV257" s="160">
        <v>0</v>
      </c>
      <c r="GW257" s="160">
        <v>0</v>
      </c>
      <c r="GX257" s="160">
        <v>0</v>
      </c>
      <c r="GY257" s="160">
        <v>0</v>
      </c>
      <c r="GZ257" s="160">
        <v>0</v>
      </c>
      <c r="HA257" s="160">
        <v>0</v>
      </c>
      <c r="HB257" s="160">
        <v>0</v>
      </c>
      <c r="HC257" s="160">
        <v>0</v>
      </c>
      <c r="HD257" s="160">
        <v>0</v>
      </c>
      <c r="HE257" s="160">
        <v>0</v>
      </c>
      <c r="HF257" s="160">
        <v>0</v>
      </c>
      <c r="HG257" s="160">
        <v>0</v>
      </c>
      <c r="HH257" s="146">
        <v>0</v>
      </c>
      <c r="HI257" s="146">
        <v>0</v>
      </c>
      <c r="HJ257" s="146">
        <v>0</v>
      </c>
      <c r="HK257" s="146">
        <v>0</v>
      </c>
      <c r="HL257" s="146">
        <v>0</v>
      </c>
      <c r="HM257" s="146">
        <v>0</v>
      </c>
      <c r="HN257" s="146">
        <v>0</v>
      </c>
      <c r="HO257" s="146">
        <v>0</v>
      </c>
      <c r="HP257" s="146">
        <v>0</v>
      </c>
      <c r="HQ257" s="146">
        <v>0</v>
      </c>
      <c r="HR257" s="146">
        <v>0</v>
      </c>
      <c r="HS257" s="146">
        <v>0</v>
      </c>
      <c r="HT257" s="146">
        <v>0</v>
      </c>
      <c r="HU257" s="151"/>
      <c r="HV257" s="146">
        <v>0</v>
      </c>
      <c r="HW257" s="151"/>
      <c r="HX257" s="151"/>
      <c r="HY257" s="151"/>
      <c r="HZ257" s="151"/>
      <c r="IA257" s="151"/>
      <c r="IB257" s="151"/>
      <c r="IC257" s="151"/>
      <c r="ID257" s="151"/>
      <c r="IE257" s="151"/>
      <c r="IF257" s="151"/>
      <c r="IG257" s="151"/>
      <c r="IH257" s="151"/>
      <c r="II257" s="151"/>
      <c r="IJ257" s="151"/>
      <c r="IK257" s="151"/>
      <c r="IL257" s="151"/>
      <c r="IM257" s="151"/>
      <c r="IN257" s="151"/>
      <c r="IO257" s="151"/>
      <c r="IP257" s="151"/>
      <c r="IQ257" s="151"/>
      <c r="IR257" s="151"/>
      <c r="IS257" s="151"/>
      <c r="IT257" s="151"/>
      <c r="IU257" s="151"/>
      <c r="IV257" s="151"/>
      <c r="IW257" s="151"/>
      <c r="IX257" s="151"/>
      <c r="IY257" s="151"/>
      <c r="IZ257" s="151"/>
      <c r="JA257" s="151"/>
      <c r="JB257" s="151"/>
      <c r="JC257" s="151"/>
      <c r="JD257" s="151"/>
      <c r="JE257" s="151"/>
      <c r="JF257" s="151"/>
      <c r="JG257" s="151"/>
      <c r="JH257" s="151"/>
      <c r="JI257" s="151"/>
      <c r="JJ257" s="151"/>
      <c r="JK257" s="151"/>
      <c r="JL257" s="151"/>
      <c r="JM257" s="151"/>
      <c r="JN257" s="151"/>
      <c r="JO257" s="151"/>
      <c r="JP257" s="151"/>
      <c r="JQ257" s="151"/>
      <c r="JR257" s="151"/>
      <c r="JS257" s="151"/>
      <c r="JT257" s="151"/>
      <c r="JU257" s="151"/>
      <c r="JV257" s="151"/>
      <c r="JW257" s="151"/>
      <c r="JX257" s="151"/>
      <c r="JY257" s="151"/>
      <c r="JZ257" s="151"/>
      <c r="KA257" s="151"/>
      <c r="KB257" s="151"/>
      <c r="KC257" s="151"/>
      <c r="KD257" s="151"/>
      <c r="KE257" s="151"/>
      <c r="KF257" s="151"/>
      <c r="KG257" s="151"/>
      <c r="KH257" s="151"/>
      <c r="KI257" s="151"/>
      <c r="KJ257" s="151"/>
      <c r="KK257" s="151"/>
      <c r="KL257" s="151"/>
      <c r="KM257" s="151"/>
      <c r="KN257" s="151"/>
      <c r="KO257" s="151"/>
      <c r="KP257" s="151"/>
      <c r="KQ257" s="151"/>
      <c r="KR257" s="151"/>
      <c r="KS257" s="151"/>
      <c r="KT257" s="151"/>
      <c r="KU257" s="151"/>
      <c r="KV257" s="151"/>
      <c r="KW257" s="151"/>
      <c r="KX257" s="151"/>
      <c r="KY257" s="151"/>
      <c r="KZ257" s="151"/>
      <c r="LA257" s="151"/>
      <c r="LB257" s="151"/>
      <c r="LC257" s="151"/>
      <c r="LD257" s="151"/>
      <c r="LE257" s="151"/>
    </row>
    <row r="258" spans="1:317" x14ac:dyDescent="0.2">
      <c r="A258" s="179" t="s">
        <v>849</v>
      </c>
      <c r="B258" s="180" t="s">
        <v>1157</v>
      </c>
      <c r="C258" s="181"/>
      <c r="D258" s="182">
        <v>0</v>
      </c>
      <c r="E258" s="182">
        <v>0</v>
      </c>
      <c r="F258" s="183" t="s">
        <v>1340</v>
      </c>
      <c r="G258" s="183">
        <v>0</v>
      </c>
      <c r="H258" s="183">
        <v>0</v>
      </c>
      <c r="I258" s="183">
        <v>0</v>
      </c>
      <c r="J258" s="183">
        <v>0</v>
      </c>
      <c r="K258" s="183" t="s">
        <v>1401</v>
      </c>
      <c r="L258" s="183">
        <v>0</v>
      </c>
      <c r="M258" s="183">
        <v>0</v>
      </c>
      <c r="N258" s="183" t="s">
        <v>872</v>
      </c>
      <c r="O258" s="183">
        <v>0</v>
      </c>
      <c r="P258" s="183">
        <v>0</v>
      </c>
      <c r="Q258" s="183"/>
      <c r="R258" s="183"/>
      <c r="S258" s="183"/>
      <c r="T258" s="183"/>
      <c r="U258" s="183"/>
      <c r="V258" s="183">
        <v>0</v>
      </c>
      <c r="W258" s="183">
        <v>0</v>
      </c>
      <c r="X258" s="183">
        <v>0</v>
      </c>
      <c r="Y258" s="184">
        <v>0</v>
      </c>
      <c r="Z258" s="184">
        <v>0</v>
      </c>
      <c r="AA258" s="184">
        <v>0</v>
      </c>
      <c r="AB258" s="185" t="s">
        <v>615</v>
      </c>
      <c r="AC258" s="185" t="s">
        <v>615</v>
      </c>
      <c r="AD258" s="186" t="s">
        <v>872</v>
      </c>
      <c r="AE258" s="186" t="s">
        <v>852</v>
      </c>
      <c r="AF258" s="187">
        <v>7</v>
      </c>
      <c r="AG258" s="187">
        <v>3</v>
      </c>
      <c r="AH258" s="187">
        <v>4</v>
      </c>
      <c r="AI258" s="188">
        <v>1</v>
      </c>
      <c r="AJ258" s="188" t="s">
        <v>615</v>
      </c>
      <c r="AK258" s="187" t="s">
        <v>1741</v>
      </c>
      <c r="AL258" s="87" t="s">
        <v>615</v>
      </c>
      <c r="AM258" s="189"/>
      <c r="AN258" s="187" t="s">
        <v>615</v>
      </c>
      <c r="AO258" s="13" t="s">
        <v>615</v>
      </c>
      <c r="AP258" s="187">
        <v>0</v>
      </c>
      <c r="AQ258" s="187">
        <v>0</v>
      </c>
      <c r="AR258" s="190">
        <v>0</v>
      </c>
      <c r="AS258" s="190">
        <v>0</v>
      </c>
      <c r="AT258" s="190">
        <v>0</v>
      </c>
      <c r="AU258" s="187">
        <v>0</v>
      </c>
      <c r="AV258" s="187">
        <v>0</v>
      </c>
      <c r="AW258" s="191"/>
      <c r="AX258" s="192"/>
      <c r="AY258" s="193"/>
      <c r="AZ258" s="193"/>
      <c r="BA258" s="193"/>
      <c r="BB258" s="194"/>
      <c r="BC258" s="194"/>
      <c r="BD258" s="195"/>
      <c r="BE258" s="195" t="s">
        <v>532</v>
      </c>
      <c r="BF258" s="195"/>
      <c r="BG258" s="195">
        <v>20</v>
      </c>
      <c r="BH258" s="196" t="s">
        <v>547</v>
      </c>
      <c r="BI258" s="197">
        <v>1</v>
      </c>
      <c r="BJ258" s="198"/>
      <c r="BK258" s="199">
        <v>0</v>
      </c>
      <c r="BL258" s="13">
        <v>0</v>
      </c>
      <c r="BM258" s="13">
        <v>0</v>
      </c>
      <c r="BN258" s="13" t="s">
        <v>616</v>
      </c>
      <c r="BO258" s="13" t="s">
        <v>616</v>
      </c>
      <c r="BP258" s="200">
        <v>20</v>
      </c>
      <c r="BQ258" s="201"/>
      <c r="BR258" s="202"/>
      <c r="BS258" s="187">
        <v>1000000000</v>
      </c>
      <c r="BT258" s="203">
        <v>0</v>
      </c>
      <c r="BU258" s="204">
        <v>0</v>
      </c>
      <c r="BV258" s="203">
        <v>20</v>
      </c>
      <c r="BW258" s="205">
        <v>0</v>
      </c>
      <c r="BX258" s="205">
        <v>0</v>
      </c>
      <c r="BY258" s="205">
        <v>0</v>
      </c>
      <c r="BZ258" s="203">
        <v>0</v>
      </c>
      <c r="CA258" s="203">
        <v>0</v>
      </c>
      <c r="CB258" s="203">
        <v>20</v>
      </c>
      <c r="CC258" s="204">
        <v>0</v>
      </c>
      <c r="CD258" s="203">
        <v>0</v>
      </c>
      <c r="CE258" s="203">
        <v>0</v>
      </c>
      <c r="CF258" s="13">
        <v>0</v>
      </c>
      <c r="CG258" s="206">
        <v>0</v>
      </c>
      <c r="CH258" s="207">
        <v>0</v>
      </c>
      <c r="CI258" s="201"/>
      <c r="CJ258" s="208"/>
      <c r="CK258" s="209" t="s">
        <v>615</v>
      </c>
      <c r="CL258" s="210" t="s">
        <v>615</v>
      </c>
      <c r="CM258" s="207">
        <v>0</v>
      </c>
      <c r="CN258" s="207">
        <v>0</v>
      </c>
      <c r="CO258" s="204">
        <v>0</v>
      </c>
      <c r="CP258" s="204">
        <v>0</v>
      </c>
      <c r="CQ258" s="211"/>
      <c r="CR258" s="204">
        <v>1</v>
      </c>
      <c r="CS258" s="212">
        <v>42766</v>
      </c>
      <c r="CT258" s="212">
        <v>42780</v>
      </c>
      <c r="CU258" s="213">
        <v>42780</v>
      </c>
      <c r="CV258" s="214">
        <v>42829</v>
      </c>
      <c r="CW258" s="214" t="s">
        <v>615</v>
      </c>
      <c r="CX258" s="214" t="s">
        <v>615</v>
      </c>
      <c r="CY258" s="204">
        <v>1</v>
      </c>
      <c r="CZ258" s="204">
        <v>0.97959183673469385</v>
      </c>
      <c r="DA258" s="203">
        <v>0</v>
      </c>
      <c r="DB258" s="204">
        <v>0.97959183673469385</v>
      </c>
      <c r="DC258" s="204">
        <v>0</v>
      </c>
      <c r="DD258" s="204">
        <v>0</v>
      </c>
      <c r="DE258" s="204">
        <v>0</v>
      </c>
      <c r="DF258" s="215">
        <v>0</v>
      </c>
      <c r="DG258" s="13" t="s">
        <v>615</v>
      </c>
      <c r="DH258" s="86">
        <v>256</v>
      </c>
      <c r="DI258" s="86"/>
      <c r="DJ258" s="86">
        <v>135</v>
      </c>
      <c r="DK258" s="86" t="s">
        <v>1604</v>
      </c>
      <c r="DL258" s="86" t="e">
        <v>#N/A</v>
      </c>
      <c r="DM258" s="86" t="e">
        <v>#N/A</v>
      </c>
      <c r="DN258" s="86" t="e">
        <v>#N/A</v>
      </c>
      <c r="DO258" s="86">
        <v>142</v>
      </c>
      <c r="DP258" s="86">
        <v>2</v>
      </c>
      <c r="DQ258" s="86">
        <v>49</v>
      </c>
      <c r="DR258" s="216"/>
      <c r="DS258" s="152"/>
      <c r="DT258" s="216"/>
      <c r="DU258" s="216"/>
      <c r="DV258" s="216"/>
      <c r="DW258" s="216"/>
      <c r="DX258" s="216"/>
      <c r="DY258" s="152"/>
      <c r="DZ258" s="216"/>
      <c r="EA258" s="216"/>
      <c r="EB258" s="216"/>
      <c r="EC258" s="216"/>
      <c r="ED258" s="216"/>
      <c r="EE258" s="216"/>
      <c r="EF258" s="225"/>
      <c r="EG258" s="225"/>
      <c r="EH258" s="216"/>
      <c r="EI258" s="216"/>
      <c r="EJ258" s="216"/>
      <c r="EK258" s="216"/>
      <c r="EL258" s="216"/>
      <c r="EM258" s="225"/>
      <c r="EN258" s="216"/>
      <c r="EO258" s="216"/>
      <c r="EP258" s="216"/>
      <c r="EQ258" s="216"/>
      <c r="ER258" s="225"/>
      <c r="ES258" s="225"/>
      <c r="ET258" s="216"/>
      <c r="EU258" s="216"/>
      <c r="EV258" s="216"/>
      <c r="EW258" s="216"/>
      <c r="EX258" s="216"/>
      <c r="EY258" s="225"/>
      <c r="EZ258" s="216"/>
      <c r="FA258" s="216"/>
      <c r="FB258" s="216"/>
      <c r="FC258" s="216"/>
      <c r="FD258" s="216"/>
      <c r="FE258" s="225"/>
      <c r="FF258" s="216"/>
      <c r="FG258" s="216"/>
      <c r="FH258" s="216"/>
      <c r="FI258" s="225"/>
      <c r="FJ258" s="225"/>
      <c r="FK258" s="216"/>
      <c r="FL258" s="216"/>
      <c r="FM258" s="166">
        <v>0</v>
      </c>
      <c r="FN258" s="166">
        <v>0</v>
      </c>
      <c r="FO258" s="166">
        <v>0</v>
      </c>
      <c r="FP258" s="166">
        <v>0</v>
      </c>
      <c r="FQ258" s="166">
        <v>0</v>
      </c>
      <c r="FR258" s="166">
        <v>0</v>
      </c>
      <c r="FS258" s="166">
        <v>0</v>
      </c>
      <c r="FT258" s="166">
        <v>0</v>
      </c>
      <c r="FU258" s="166">
        <v>0</v>
      </c>
      <c r="FV258" s="166">
        <v>0</v>
      </c>
      <c r="FW258" s="166">
        <v>0</v>
      </c>
      <c r="FX258" s="166">
        <v>0</v>
      </c>
      <c r="FY258" s="166">
        <v>0</v>
      </c>
      <c r="FZ258" s="166">
        <v>0</v>
      </c>
      <c r="GA258" s="166">
        <v>0</v>
      </c>
      <c r="GB258" s="166">
        <v>0</v>
      </c>
      <c r="GC258" s="166">
        <v>0</v>
      </c>
      <c r="GD258" s="166">
        <v>0</v>
      </c>
      <c r="GE258" s="166">
        <v>0</v>
      </c>
      <c r="GF258" s="166">
        <v>0</v>
      </c>
      <c r="GG258" s="166">
        <v>0</v>
      </c>
      <c r="GH258" s="166">
        <v>0</v>
      </c>
      <c r="GI258" s="166">
        <v>0</v>
      </c>
      <c r="GJ258" s="166">
        <v>0</v>
      </c>
      <c r="GK258" s="166">
        <v>0</v>
      </c>
      <c r="GL258" s="166">
        <v>0</v>
      </c>
      <c r="GM258" s="166">
        <v>0</v>
      </c>
      <c r="GN258" s="166">
        <v>0</v>
      </c>
      <c r="GO258" s="166">
        <v>0</v>
      </c>
      <c r="GP258" s="166">
        <v>0</v>
      </c>
      <c r="GQ258" s="166">
        <v>0</v>
      </c>
      <c r="GR258" s="166">
        <v>0</v>
      </c>
      <c r="GS258" s="166">
        <v>0</v>
      </c>
      <c r="GT258" s="166">
        <v>0</v>
      </c>
      <c r="GU258" s="166">
        <v>0</v>
      </c>
      <c r="GV258" s="166">
        <v>0</v>
      </c>
      <c r="GW258" s="166">
        <v>0</v>
      </c>
      <c r="GX258" s="166">
        <v>0</v>
      </c>
      <c r="GY258" s="166">
        <v>0</v>
      </c>
      <c r="GZ258" s="166">
        <v>0</v>
      </c>
      <c r="HA258" s="166">
        <v>0</v>
      </c>
      <c r="HB258" s="166">
        <v>0</v>
      </c>
      <c r="HC258" s="166">
        <v>0</v>
      </c>
      <c r="HD258" s="166">
        <v>0</v>
      </c>
      <c r="HE258" s="166">
        <v>0</v>
      </c>
      <c r="HF258" s="166">
        <v>0</v>
      </c>
      <c r="HG258" s="166">
        <v>0</v>
      </c>
      <c r="HH258" s="152">
        <v>0</v>
      </c>
      <c r="HI258" s="152">
        <v>0</v>
      </c>
      <c r="HJ258" s="152">
        <v>0</v>
      </c>
      <c r="HK258" s="152">
        <v>0</v>
      </c>
      <c r="HL258" s="152">
        <v>0</v>
      </c>
      <c r="HM258" s="152">
        <v>0</v>
      </c>
      <c r="HN258" s="152">
        <v>0</v>
      </c>
      <c r="HO258" s="152">
        <v>0</v>
      </c>
      <c r="HP258" s="152">
        <v>0</v>
      </c>
      <c r="HQ258" s="152">
        <v>0</v>
      </c>
      <c r="HR258" s="152">
        <v>0</v>
      </c>
      <c r="HS258" s="152">
        <v>0</v>
      </c>
      <c r="HT258" s="152">
        <v>0</v>
      </c>
      <c r="HU258" s="216"/>
      <c r="HV258" s="152">
        <v>0</v>
      </c>
      <c r="HW258" s="216"/>
      <c r="HX258" s="216"/>
      <c r="HY258" s="216"/>
      <c r="HZ258" s="216"/>
      <c r="IA258" s="216"/>
      <c r="IB258" s="216"/>
      <c r="IC258" s="216"/>
      <c r="ID258" s="216"/>
      <c r="IE258" s="216"/>
      <c r="IF258" s="216"/>
      <c r="IG258" s="216"/>
      <c r="IH258" s="216"/>
      <c r="II258" s="216"/>
      <c r="IJ258" s="216"/>
      <c r="IK258" s="216"/>
      <c r="IL258" s="216"/>
      <c r="IM258" s="216"/>
      <c r="IN258" s="216"/>
      <c r="IO258" s="216"/>
      <c r="IP258" s="216"/>
      <c r="IQ258" s="216"/>
      <c r="IR258" s="216"/>
      <c r="IS258" s="216"/>
      <c r="IT258" s="216"/>
      <c r="IU258" s="216"/>
      <c r="IV258" s="216"/>
      <c r="IW258" s="216"/>
      <c r="IX258" s="216"/>
      <c r="IY258" s="216"/>
      <c r="IZ258" s="216"/>
      <c r="JA258" s="216"/>
      <c r="JB258" s="216"/>
      <c r="JC258" s="216"/>
      <c r="JD258" s="216"/>
      <c r="JE258" s="216"/>
      <c r="JF258" s="216"/>
      <c r="JG258" s="216"/>
      <c r="JH258" s="216"/>
      <c r="JI258" s="216"/>
      <c r="JJ258" s="216"/>
      <c r="JK258" s="216"/>
      <c r="JL258" s="216"/>
      <c r="JM258" s="216"/>
      <c r="JN258" s="216"/>
      <c r="JO258" s="216"/>
      <c r="JP258" s="216"/>
      <c r="JQ258" s="216"/>
      <c r="JR258" s="216"/>
      <c r="JS258" s="216"/>
      <c r="JT258" s="216"/>
      <c r="JU258" s="216"/>
      <c r="JV258" s="216"/>
      <c r="JW258" s="216"/>
      <c r="JX258" s="216"/>
      <c r="JY258" s="216"/>
      <c r="JZ258" s="216"/>
      <c r="KA258" s="216"/>
      <c r="KB258" s="216"/>
      <c r="KC258" s="216"/>
      <c r="KD258" s="216"/>
      <c r="KE258" s="216"/>
      <c r="KF258" s="216"/>
      <c r="KG258" s="216"/>
      <c r="KH258" s="216"/>
      <c r="KI258" s="216"/>
      <c r="KJ258" s="216"/>
      <c r="KK258" s="216"/>
      <c r="KL258" s="216"/>
      <c r="KM258" s="216"/>
      <c r="KN258" s="216"/>
      <c r="KO258" s="216"/>
      <c r="KP258" s="216"/>
      <c r="KQ258" s="216"/>
      <c r="KR258" s="216"/>
      <c r="KS258" s="216"/>
      <c r="KT258" s="216"/>
      <c r="KU258" s="216"/>
      <c r="KV258" s="216"/>
      <c r="KW258" s="216"/>
      <c r="KX258" s="216"/>
      <c r="KY258" s="216"/>
      <c r="KZ258" s="216"/>
      <c r="LA258" s="216"/>
      <c r="LB258" s="216"/>
      <c r="LC258" s="216"/>
      <c r="LD258" s="216"/>
      <c r="LE258" s="216"/>
    </row>
    <row r="259" spans="1:317" x14ac:dyDescent="0.2">
      <c r="A259" s="179" t="s">
        <v>849</v>
      </c>
      <c r="B259" s="180" t="s">
        <v>1158</v>
      </c>
      <c r="C259" s="181"/>
      <c r="D259" s="182">
        <v>0</v>
      </c>
      <c r="E259" s="182">
        <v>0</v>
      </c>
      <c r="F259" s="183" t="s">
        <v>1340</v>
      </c>
      <c r="G259" s="183">
        <v>0</v>
      </c>
      <c r="H259" s="183">
        <v>0</v>
      </c>
      <c r="I259" s="183">
        <v>0</v>
      </c>
      <c r="J259" s="183">
        <v>0</v>
      </c>
      <c r="K259" s="183" t="s">
        <v>1401</v>
      </c>
      <c r="L259" s="183">
        <v>0</v>
      </c>
      <c r="M259" s="183">
        <v>0</v>
      </c>
      <c r="N259" s="183" t="s">
        <v>872</v>
      </c>
      <c r="O259" s="183">
        <v>0</v>
      </c>
      <c r="P259" s="183">
        <v>0</v>
      </c>
      <c r="Q259" s="183"/>
      <c r="R259" s="183"/>
      <c r="S259" s="183"/>
      <c r="T259" s="183"/>
      <c r="U259" s="183"/>
      <c r="V259" s="183">
        <v>0</v>
      </c>
      <c r="W259" s="183">
        <v>0</v>
      </c>
      <c r="X259" s="183">
        <v>0</v>
      </c>
      <c r="Y259" s="184">
        <v>0</v>
      </c>
      <c r="Z259" s="184">
        <v>0</v>
      </c>
      <c r="AA259" s="184">
        <v>0</v>
      </c>
      <c r="AB259" s="185" t="s">
        <v>615</v>
      </c>
      <c r="AC259" s="185" t="s">
        <v>615</v>
      </c>
      <c r="AD259" s="186" t="s">
        <v>872</v>
      </c>
      <c r="AE259" s="186" t="s">
        <v>852</v>
      </c>
      <c r="AF259" s="187">
        <v>7</v>
      </c>
      <c r="AG259" s="187">
        <v>3</v>
      </c>
      <c r="AH259" s="187">
        <v>4</v>
      </c>
      <c r="AI259" s="188">
        <v>1</v>
      </c>
      <c r="AJ259" s="188" t="s">
        <v>615</v>
      </c>
      <c r="AK259" s="187" t="s">
        <v>1741</v>
      </c>
      <c r="AL259" s="87" t="s">
        <v>615</v>
      </c>
      <c r="AM259" s="189"/>
      <c r="AN259" s="187" t="s">
        <v>615</v>
      </c>
      <c r="AO259" s="13" t="s">
        <v>615</v>
      </c>
      <c r="AP259" s="187">
        <v>0</v>
      </c>
      <c r="AQ259" s="187">
        <v>0</v>
      </c>
      <c r="AR259" s="190">
        <v>0</v>
      </c>
      <c r="AS259" s="190">
        <v>0</v>
      </c>
      <c r="AT259" s="190">
        <v>0</v>
      </c>
      <c r="AU259" s="187">
        <v>0</v>
      </c>
      <c r="AV259" s="187">
        <v>0</v>
      </c>
      <c r="AW259" s="191"/>
      <c r="AX259" s="192"/>
      <c r="AY259" s="193"/>
      <c r="AZ259" s="193"/>
      <c r="BA259" s="193"/>
      <c r="BB259" s="194"/>
      <c r="BC259" s="194"/>
      <c r="BD259" s="195"/>
      <c r="BE259" s="195" t="s">
        <v>532</v>
      </c>
      <c r="BF259" s="195"/>
      <c r="BG259" s="195">
        <v>20</v>
      </c>
      <c r="BH259" s="196" t="s">
        <v>547</v>
      </c>
      <c r="BI259" s="197">
        <v>1</v>
      </c>
      <c r="BJ259" s="198"/>
      <c r="BK259" s="199">
        <v>0</v>
      </c>
      <c r="BL259" s="13">
        <v>0</v>
      </c>
      <c r="BM259" s="13">
        <v>0</v>
      </c>
      <c r="BN259" s="13" t="s">
        <v>616</v>
      </c>
      <c r="BO259" s="13" t="s">
        <v>616</v>
      </c>
      <c r="BP259" s="200">
        <v>20</v>
      </c>
      <c r="BQ259" s="201"/>
      <c r="BR259" s="202"/>
      <c r="BS259" s="187">
        <v>1000000000</v>
      </c>
      <c r="BT259" s="203">
        <v>0</v>
      </c>
      <c r="BU259" s="204">
        <v>0</v>
      </c>
      <c r="BV259" s="203">
        <v>20</v>
      </c>
      <c r="BW259" s="205">
        <v>0</v>
      </c>
      <c r="BX259" s="205">
        <v>0</v>
      </c>
      <c r="BY259" s="205">
        <v>0</v>
      </c>
      <c r="BZ259" s="203">
        <v>0</v>
      </c>
      <c r="CA259" s="203">
        <v>0</v>
      </c>
      <c r="CB259" s="203">
        <v>20</v>
      </c>
      <c r="CC259" s="204">
        <v>0</v>
      </c>
      <c r="CD259" s="203">
        <v>0</v>
      </c>
      <c r="CE259" s="203">
        <v>0</v>
      </c>
      <c r="CF259" s="13">
        <v>0</v>
      </c>
      <c r="CG259" s="206">
        <v>0</v>
      </c>
      <c r="CH259" s="207">
        <v>0</v>
      </c>
      <c r="CI259" s="201"/>
      <c r="CJ259" s="208"/>
      <c r="CK259" s="209" t="s">
        <v>615</v>
      </c>
      <c r="CL259" s="210" t="s">
        <v>615</v>
      </c>
      <c r="CM259" s="207">
        <v>0</v>
      </c>
      <c r="CN259" s="207">
        <v>0</v>
      </c>
      <c r="CO259" s="204">
        <v>0</v>
      </c>
      <c r="CP259" s="204">
        <v>0</v>
      </c>
      <c r="CQ259" s="211"/>
      <c r="CR259" s="204">
        <v>1</v>
      </c>
      <c r="CS259" s="212">
        <v>42766</v>
      </c>
      <c r="CT259" s="212">
        <v>42780</v>
      </c>
      <c r="CU259" s="213">
        <v>42780</v>
      </c>
      <c r="CV259" s="214">
        <v>42829</v>
      </c>
      <c r="CW259" s="214" t="s">
        <v>615</v>
      </c>
      <c r="CX259" s="214" t="s">
        <v>615</v>
      </c>
      <c r="CY259" s="204">
        <v>1</v>
      </c>
      <c r="CZ259" s="204">
        <v>0.97959183673469385</v>
      </c>
      <c r="DA259" s="203">
        <v>0</v>
      </c>
      <c r="DB259" s="204">
        <v>0.97959183673469385</v>
      </c>
      <c r="DC259" s="204">
        <v>0</v>
      </c>
      <c r="DD259" s="204">
        <v>0</v>
      </c>
      <c r="DE259" s="204">
        <v>0</v>
      </c>
      <c r="DF259" s="215">
        <v>0</v>
      </c>
      <c r="DG259" s="13" t="s">
        <v>615</v>
      </c>
      <c r="DH259" s="86">
        <v>257</v>
      </c>
      <c r="DI259" s="86"/>
      <c r="DJ259" s="86">
        <v>136</v>
      </c>
      <c r="DK259" s="86" t="s">
        <v>1605</v>
      </c>
      <c r="DL259" s="86" t="e">
        <v>#N/A</v>
      </c>
      <c r="DM259" s="86" t="e">
        <v>#N/A</v>
      </c>
      <c r="DN259" s="86" t="e">
        <v>#N/A</v>
      </c>
      <c r="DO259" s="86">
        <v>143</v>
      </c>
      <c r="DP259" s="86">
        <v>2</v>
      </c>
      <c r="DQ259" s="86">
        <v>49</v>
      </c>
      <c r="DR259" s="151"/>
      <c r="DS259" s="152"/>
      <c r="DT259" s="151"/>
      <c r="DU259" s="151"/>
      <c r="DV259" s="151"/>
      <c r="DW259" s="151"/>
      <c r="DX259" s="151"/>
      <c r="DY259" s="152"/>
      <c r="DZ259" s="151"/>
      <c r="EA259" s="151"/>
      <c r="EB259" s="151"/>
      <c r="EC259" s="151"/>
      <c r="ED259" s="151"/>
      <c r="EE259" s="151"/>
      <c r="EF259" s="226"/>
      <c r="EG259" s="226"/>
      <c r="EH259" s="151"/>
      <c r="EI259" s="151"/>
      <c r="EJ259" s="151"/>
      <c r="EK259" s="151"/>
      <c r="EL259" s="151"/>
      <c r="EM259" s="226"/>
      <c r="EN259" s="151"/>
      <c r="EO259" s="151"/>
      <c r="EP259" s="151"/>
      <c r="EQ259" s="151"/>
      <c r="ER259" s="226"/>
      <c r="ES259" s="226"/>
      <c r="ET259" s="151"/>
      <c r="EU259" s="151"/>
      <c r="EV259" s="151"/>
      <c r="EW259" s="151"/>
      <c r="EX259" s="151"/>
      <c r="EY259" s="226"/>
      <c r="EZ259" s="151"/>
      <c r="FA259" s="151"/>
      <c r="FB259" s="151"/>
      <c r="FC259" s="151"/>
      <c r="FD259" s="151"/>
      <c r="FE259" s="226"/>
      <c r="FF259" s="151"/>
      <c r="FG259" s="151"/>
      <c r="FH259" s="151"/>
      <c r="FI259" s="226"/>
      <c r="FJ259" s="226"/>
      <c r="FK259" s="151"/>
      <c r="FL259" s="151"/>
      <c r="FM259" s="166">
        <v>0</v>
      </c>
      <c r="FN259" s="166">
        <v>0</v>
      </c>
      <c r="FO259" s="160">
        <v>0</v>
      </c>
      <c r="FP259" s="160">
        <v>0</v>
      </c>
      <c r="FQ259" s="160">
        <v>0</v>
      </c>
      <c r="FR259" s="160">
        <v>0</v>
      </c>
      <c r="FS259" s="160">
        <v>0</v>
      </c>
      <c r="FT259" s="160">
        <v>0</v>
      </c>
      <c r="FU259" s="160">
        <v>0</v>
      </c>
      <c r="FV259" s="160">
        <v>0</v>
      </c>
      <c r="FW259" s="160">
        <v>0</v>
      </c>
      <c r="FX259" s="160">
        <v>0</v>
      </c>
      <c r="FY259" s="160">
        <v>0</v>
      </c>
      <c r="FZ259" s="160">
        <v>0</v>
      </c>
      <c r="GA259" s="160">
        <v>0</v>
      </c>
      <c r="GB259" s="160">
        <v>0</v>
      </c>
      <c r="GC259" s="160">
        <v>0</v>
      </c>
      <c r="GD259" s="160">
        <v>0</v>
      </c>
      <c r="GE259" s="160">
        <v>0</v>
      </c>
      <c r="GF259" s="160">
        <v>0</v>
      </c>
      <c r="GG259" s="160">
        <v>0</v>
      </c>
      <c r="GH259" s="160">
        <v>0</v>
      </c>
      <c r="GI259" s="160">
        <v>0</v>
      </c>
      <c r="GJ259" s="160">
        <v>0</v>
      </c>
      <c r="GK259" s="160">
        <v>0</v>
      </c>
      <c r="GL259" s="160">
        <v>0</v>
      </c>
      <c r="GM259" s="160">
        <v>0</v>
      </c>
      <c r="GN259" s="160">
        <v>0</v>
      </c>
      <c r="GO259" s="160">
        <v>0</v>
      </c>
      <c r="GP259" s="160">
        <v>0</v>
      </c>
      <c r="GQ259" s="160">
        <v>0</v>
      </c>
      <c r="GR259" s="160">
        <v>0</v>
      </c>
      <c r="GS259" s="160">
        <v>0</v>
      </c>
      <c r="GT259" s="160">
        <v>0</v>
      </c>
      <c r="GU259" s="160">
        <v>0</v>
      </c>
      <c r="GV259" s="160">
        <v>0</v>
      </c>
      <c r="GW259" s="160">
        <v>0</v>
      </c>
      <c r="GX259" s="160">
        <v>0</v>
      </c>
      <c r="GY259" s="160">
        <v>0</v>
      </c>
      <c r="GZ259" s="160">
        <v>0</v>
      </c>
      <c r="HA259" s="160">
        <v>0</v>
      </c>
      <c r="HB259" s="160">
        <v>0</v>
      </c>
      <c r="HC259" s="160">
        <v>0</v>
      </c>
      <c r="HD259" s="160">
        <v>0</v>
      </c>
      <c r="HE259" s="160">
        <v>0</v>
      </c>
      <c r="HF259" s="160">
        <v>0</v>
      </c>
      <c r="HG259" s="160">
        <v>0</v>
      </c>
      <c r="HH259" s="146">
        <v>0</v>
      </c>
      <c r="HI259" s="146">
        <v>0</v>
      </c>
      <c r="HJ259" s="146">
        <v>0</v>
      </c>
      <c r="HK259" s="146">
        <v>0</v>
      </c>
      <c r="HL259" s="146">
        <v>0</v>
      </c>
      <c r="HM259" s="146">
        <v>0</v>
      </c>
      <c r="HN259" s="146">
        <v>0</v>
      </c>
      <c r="HO259" s="146">
        <v>0</v>
      </c>
      <c r="HP259" s="146">
        <v>0</v>
      </c>
      <c r="HQ259" s="146">
        <v>0</v>
      </c>
      <c r="HR259" s="146">
        <v>0</v>
      </c>
      <c r="HS259" s="146">
        <v>0</v>
      </c>
      <c r="HT259" s="146">
        <v>0</v>
      </c>
      <c r="HU259" s="151"/>
      <c r="HV259" s="146">
        <v>0</v>
      </c>
      <c r="HW259" s="151"/>
      <c r="HX259" s="151"/>
      <c r="HY259" s="151"/>
      <c r="HZ259" s="151"/>
      <c r="IA259" s="151"/>
      <c r="IB259" s="151"/>
      <c r="IC259" s="151"/>
      <c r="ID259" s="151"/>
      <c r="IE259" s="151"/>
      <c r="IF259" s="151"/>
      <c r="IG259" s="151"/>
      <c r="IH259" s="151"/>
      <c r="II259" s="151"/>
      <c r="IJ259" s="151"/>
      <c r="IK259" s="151"/>
      <c r="IL259" s="151"/>
      <c r="IM259" s="151"/>
      <c r="IN259" s="151"/>
      <c r="IO259" s="151"/>
      <c r="IP259" s="151"/>
      <c r="IQ259" s="151"/>
      <c r="IR259" s="151"/>
      <c r="IS259" s="151"/>
      <c r="IT259" s="151"/>
      <c r="IU259" s="151"/>
      <c r="IV259" s="151"/>
      <c r="IW259" s="151"/>
      <c r="IX259" s="151"/>
      <c r="IY259" s="151"/>
      <c r="IZ259" s="151"/>
      <c r="JA259" s="151"/>
      <c r="JB259" s="151"/>
      <c r="JC259" s="151"/>
      <c r="JD259" s="151"/>
      <c r="JE259" s="151"/>
      <c r="JF259" s="151"/>
      <c r="JG259" s="151"/>
      <c r="JH259" s="151"/>
      <c r="JI259" s="151"/>
      <c r="JJ259" s="151"/>
      <c r="JK259" s="151"/>
      <c r="JL259" s="151"/>
      <c r="JM259" s="151"/>
      <c r="JN259" s="151"/>
      <c r="JO259" s="151"/>
      <c r="JP259" s="151"/>
      <c r="JQ259" s="151"/>
      <c r="JR259" s="151"/>
      <c r="JS259" s="151"/>
      <c r="JT259" s="151"/>
      <c r="JU259" s="151"/>
      <c r="JV259" s="151"/>
      <c r="JW259" s="151"/>
      <c r="JX259" s="151"/>
      <c r="JY259" s="151"/>
      <c r="JZ259" s="151"/>
      <c r="KA259" s="151"/>
      <c r="KB259" s="151"/>
      <c r="KC259" s="151"/>
      <c r="KD259" s="151"/>
      <c r="KE259" s="151"/>
      <c r="KF259" s="151"/>
      <c r="KG259" s="151"/>
      <c r="KH259" s="151"/>
      <c r="KI259" s="151"/>
      <c r="KJ259" s="151"/>
      <c r="KK259" s="151"/>
      <c r="KL259" s="151"/>
      <c r="KM259" s="151"/>
      <c r="KN259" s="151"/>
      <c r="KO259" s="151"/>
      <c r="KP259" s="151"/>
      <c r="KQ259" s="151"/>
      <c r="KR259" s="151"/>
      <c r="KS259" s="151"/>
      <c r="KT259" s="151"/>
      <c r="KU259" s="151"/>
      <c r="KV259" s="151"/>
      <c r="KW259" s="151"/>
      <c r="KX259" s="151"/>
      <c r="KY259" s="151"/>
      <c r="KZ259" s="151"/>
      <c r="LA259" s="151"/>
      <c r="LB259" s="151"/>
      <c r="LC259" s="151"/>
      <c r="LD259" s="151"/>
      <c r="LE259" s="151"/>
    </row>
    <row r="260" spans="1:317" x14ac:dyDescent="0.2">
      <c r="A260" s="179" t="s">
        <v>849</v>
      </c>
      <c r="B260" s="180" t="s">
        <v>1159</v>
      </c>
      <c r="C260" s="181"/>
      <c r="D260" s="182">
        <v>0</v>
      </c>
      <c r="E260" s="182">
        <v>0</v>
      </c>
      <c r="F260" s="183" t="s">
        <v>1340</v>
      </c>
      <c r="G260" s="183">
        <v>0</v>
      </c>
      <c r="H260" s="183">
        <v>0</v>
      </c>
      <c r="I260" s="183">
        <v>0</v>
      </c>
      <c r="J260" s="183">
        <v>0</v>
      </c>
      <c r="K260" s="183" t="s">
        <v>1401</v>
      </c>
      <c r="L260" s="183">
        <v>0</v>
      </c>
      <c r="M260" s="183">
        <v>0</v>
      </c>
      <c r="N260" s="183" t="s">
        <v>872</v>
      </c>
      <c r="O260" s="183">
        <v>0</v>
      </c>
      <c r="P260" s="183">
        <v>0</v>
      </c>
      <c r="Q260" s="183"/>
      <c r="R260" s="183"/>
      <c r="S260" s="183"/>
      <c r="T260" s="183"/>
      <c r="U260" s="183"/>
      <c r="V260" s="183">
        <v>0</v>
      </c>
      <c r="W260" s="183">
        <v>0</v>
      </c>
      <c r="X260" s="183">
        <v>0</v>
      </c>
      <c r="Y260" s="184">
        <v>0</v>
      </c>
      <c r="Z260" s="184">
        <v>0</v>
      </c>
      <c r="AA260" s="184">
        <v>0</v>
      </c>
      <c r="AB260" s="185" t="s">
        <v>615</v>
      </c>
      <c r="AC260" s="185" t="s">
        <v>615</v>
      </c>
      <c r="AD260" s="186" t="s">
        <v>872</v>
      </c>
      <c r="AE260" s="186" t="s">
        <v>852</v>
      </c>
      <c r="AF260" s="187">
        <v>7</v>
      </c>
      <c r="AG260" s="187">
        <v>3</v>
      </c>
      <c r="AH260" s="187">
        <v>4</v>
      </c>
      <c r="AI260" s="188">
        <v>1</v>
      </c>
      <c r="AJ260" s="188" t="s">
        <v>615</v>
      </c>
      <c r="AK260" s="187" t="s">
        <v>1741</v>
      </c>
      <c r="AL260" s="87" t="s">
        <v>615</v>
      </c>
      <c r="AM260" s="189"/>
      <c r="AN260" s="187" t="s">
        <v>615</v>
      </c>
      <c r="AO260" s="13" t="s">
        <v>615</v>
      </c>
      <c r="AP260" s="187">
        <v>0</v>
      </c>
      <c r="AQ260" s="187">
        <v>0</v>
      </c>
      <c r="AR260" s="190">
        <v>0</v>
      </c>
      <c r="AS260" s="190">
        <v>0</v>
      </c>
      <c r="AT260" s="190">
        <v>0</v>
      </c>
      <c r="AU260" s="187">
        <v>0</v>
      </c>
      <c r="AV260" s="187">
        <v>0</v>
      </c>
      <c r="AW260" s="191"/>
      <c r="AX260" s="192"/>
      <c r="AY260" s="193"/>
      <c r="AZ260" s="193"/>
      <c r="BA260" s="193"/>
      <c r="BB260" s="194"/>
      <c r="BC260" s="194"/>
      <c r="BD260" s="195"/>
      <c r="BE260" s="195" t="s">
        <v>532</v>
      </c>
      <c r="BF260" s="195"/>
      <c r="BG260" s="195">
        <v>20</v>
      </c>
      <c r="BH260" s="196" t="s">
        <v>547</v>
      </c>
      <c r="BI260" s="197">
        <v>1</v>
      </c>
      <c r="BJ260" s="198"/>
      <c r="BK260" s="199">
        <v>0</v>
      </c>
      <c r="BL260" s="13">
        <v>0</v>
      </c>
      <c r="BM260" s="13">
        <v>0</v>
      </c>
      <c r="BN260" s="13" t="s">
        <v>616</v>
      </c>
      <c r="BO260" s="13" t="s">
        <v>616</v>
      </c>
      <c r="BP260" s="200">
        <v>20</v>
      </c>
      <c r="BQ260" s="201"/>
      <c r="BR260" s="202"/>
      <c r="BS260" s="187">
        <v>1000000000</v>
      </c>
      <c r="BT260" s="203">
        <v>0</v>
      </c>
      <c r="BU260" s="204">
        <v>0</v>
      </c>
      <c r="BV260" s="203">
        <v>20</v>
      </c>
      <c r="BW260" s="205">
        <v>0</v>
      </c>
      <c r="BX260" s="205">
        <v>0</v>
      </c>
      <c r="BY260" s="205">
        <v>0</v>
      </c>
      <c r="BZ260" s="203">
        <v>0</v>
      </c>
      <c r="CA260" s="203">
        <v>0</v>
      </c>
      <c r="CB260" s="203">
        <v>20</v>
      </c>
      <c r="CC260" s="204">
        <v>0</v>
      </c>
      <c r="CD260" s="203">
        <v>0</v>
      </c>
      <c r="CE260" s="203">
        <v>0</v>
      </c>
      <c r="CF260" s="13">
        <v>0</v>
      </c>
      <c r="CG260" s="206">
        <v>0</v>
      </c>
      <c r="CH260" s="207">
        <v>0</v>
      </c>
      <c r="CI260" s="201"/>
      <c r="CJ260" s="208"/>
      <c r="CK260" s="209" t="s">
        <v>615</v>
      </c>
      <c r="CL260" s="210" t="s">
        <v>615</v>
      </c>
      <c r="CM260" s="207">
        <v>0</v>
      </c>
      <c r="CN260" s="207">
        <v>0</v>
      </c>
      <c r="CO260" s="204">
        <v>0</v>
      </c>
      <c r="CP260" s="204">
        <v>0</v>
      </c>
      <c r="CQ260" s="211"/>
      <c r="CR260" s="204">
        <v>1</v>
      </c>
      <c r="CS260" s="212">
        <v>42766</v>
      </c>
      <c r="CT260" s="212">
        <v>42780</v>
      </c>
      <c r="CU260" s="213">
        <v>42780</v>
      </c>
      <c r="CV260" s="214">
        <v>42829</v>
      </c>
      <c r="CW260" s="214" t="s">
        <v>615</v>
      </c>
      <c r="CX260" s="214" t="s">
        <v>615</v>
      </c>
      <c r="CY260" s="204">
        <v>1</v>
      </c>
      <c r="CZ260" s="204">
        <v>0.97959183673469385</v>
      </c>
      <c r="DA260" s="203">
        <v>0</v>
      </c>
      <c r="DB260" s="204">
        <v>0.97959183673469385</v>
      </c>
      <c r="DC260" s="204">
        <v>0</v>
      </c>
      <c r="DD260" s="204">
        <v>0</v>
      </c>
      <c r="DE260" s="204">
        <v>0</v>
      </c>
      <c r="DF260" s="215">
        <v>0</v>
      </c>
      <c r="DG260" s="13" t="s">
        <v>615</v>
      </c>
      <c r="DH260" s="86">
        <v>258</v>
      </c>
      <c r="DI260" s="86"/>
      <c r="DJ260" s="86">
        <v>137</v>
      </c>
      <c r="DK260" s="86" t="s">
        <v>1606</v>
      </c>
      <c r="DL260" s="86" t="e">
        <v>#N/A</v>
      </c>
      <c r="DM260" s="86" t="e">
        <v>#N/A</v>
      </c>
      <c r="DN260" s="86" t="e">
        <v>#N/A</v>
      </c>
      <c r="DO260" s="86">
        <v>144</v>
      </c>
      <c r="DP260" s="86">
        <v>2</v>
      </c>
      <c r="DQ260" s="86">
        <v>49</v>
      </c>
      <c r="DR260" s="216"/>
      <c r="DS260" s="152"/>
      <c r="DT260" s="216"/>
      <c r="DU260" s="216"/>
      <c r="DV260" s="216"/>
      <c r="DW260" s="216"/>
      <c r="DX260" s="216"/>
      <c r="DY260" s="152"/>
      <c r="DZ260" s="216"/>
      <c r="EA260" s="216"/>
      <c r="EB260" s="216"/>
      <c r="EC260" s="216"/>
      <c r="ED260" s="216"/>
      <c r="EE260" s="216"/>
      <c r="EF260" s="225"/>
      <c r="EG260" s="225"/>
      <c r="EH260" s="216"/>
      <c r="EI260" s="216"/>
      <c r="EJ260" s="216"/>
      <c r="EK260" s="216"/>
      <c r="EL260" s="216"/>
      <c r="EM260" s="225"/>
      <c r="EN260" s="216"/>
      <c r="EO260" s="216"/>
      <c r="EP260" s="216"/>
      <c r="EQ260" s="216"/>
      <c r="ER260" s="225"/>
      <c r="ES260" s="225"/>
      <c r="ET260" s="216"/>
      <c r="EU260" s="216"/>
      <c r="EV260" s="216"/>
      <c r="EW260" s="216"/>
      <c r="EX260" s="216"/>
      <c r="EY260" s="225"/>
      <c r="EZ260" s="216"/>
      <c r="FA260" s="216"/>
      <c r="FB260" s="216"/>
      <c r="FC260" s="216"/>
      <c r="FD260" s="216"/>
      <c r="FE260" s="225"/>
      <c r="FF260" s="216"/>
      <c r="FG260" s="216"/>
      <c r="FH260" s="216"/>
      <c r="FI260" s="225"/>
      <c r="FJ260" s="225"/>
      <c r="FK260" s="216"/>
      <c r="FL260" s="216"/>
      <c r="FM260" s="166">
        <v>0</v>
      </c>
      <c r="FN260" s="166">
        <v>0</v>
      </c>
      <c r="FO260" s="166">
        <v>0</v>
      </c>
      <c r="FP260" s="166">
        <v>0</v>
      </c>
      <c r="FQ260" s="166">
        <v>0</v>
      </c>
      <c r="FR260" s="166">
        <v>0</v>
      </c>
      <c r="FS260" s="166">
        <v>0</v>
      </c>
      <c r="FT260" s="166">
        <v>0</v>
      </c>
      <c r="FU260" s="166">
        <v>0</v>
      </c>
      <c r="FV260" s="166">
        <v>0</v>
      </c>
      <c r="FW260" s="166">
        <v>0</v>
      </c>
      <c r="FX260" s="166">
        <v>0</v>
      </c>
      <c r="FY260" s="166">
        <v>0</v>
      </c>
      <c r="FZ260" s="166">
        <v>0</v>
      </c>
      <c r="GA260" s="166">
        <v>0</v>
      </c>
      <c r="GB260" s="166">
        <v>0</v>
      </c>
      <c r="GC260" s="166">
        <v>0</v>
      </c>
      <c r="GD260" s="166">
        <v>0</v>
      </c>
      <c r="GE260" s="166">
        <v>0</v>
      </c>
      <c r="GF260" s="166">
        <v>0</v>
      </c>
      <c r="GG260" s="166">
        <v>0</v>
      </c>
      <c r="GH260" s="166">
        <v>0</v>
      </c>
      <c r="GI260" s="166">
        <v>0</v>
      </c>
      <c r="GJ260" s="166">
        <v>0</v>
      </c>
      <c r="GK260" s="166">
        <v>0</v>
      </c>
      <c r="GL260" s="166">
        <v>0</v>
      </c>
      <c r="GM260" s="166">
        <v>0</v>
      </c>
      <c r="GN260" s="166">
        <v>0</v>
      </c>
      <c r="GO260" s="166">
        <v>0</v>
      </c>
      <c r="GP260" s="166">
        <v>0</v>
      </c>
      <c r="GQ260" s="166">
        <v>0</v>
      </c>
      <c r="GR260" s="166">
        <v>0</v>
      </c>
      <c r="GS260" s="166">
        <v>0</v>
      </c>
      <c r="GT260" s="166">
        <v>0</v>
      </c>
      <c r="GU260" s="166">
        <v>0</v>
      </c>
      <c r="GV260" s="166">
        <v>0</v>
      </c>
      <c r="GW260" s="166">
        <v>0</v>
      </c>
      <c r="GX260" s="166">
        <v>0</v>
      </c>
      <c r="GY260" s="166">
        <v>0</v>
      </c>
      <c r="GZ260" s="166">
        <v>0</v>
      </c>
      <c r="HA260" s="166">
        <v>0</v>
      </c>
      <c r="HB260" s="166">
        <v>0</v>
      </c>
      <c r="HC260" s="166">
        <v>0</v>
      </c>
      <c r="HD260" s="166">
        <v>0</v>
      </c>
      <c r="HE260" s="166">
        <v>0</v>
      </c>
      <c r="HF260" s="166">
        <v>0</v>
      </c>
      <c r="HG260" s="166">
        <v>0</v>
      </c>
      <c r="HH260" s="152">
        <v>0</v>
      </c>
      <c r="HI260" s="152">
        <v>0</v>
      </c>
      <c r="HJ260" s="152">
        <v>0</v>
      </c>
      <c r="HK260" s="152">
        <v>0</v>
      </c>
      <c r="HL260" s="152">
        <v>0</v>
      </c>
      <c r="HM260" s="152">
        <v>0</v>
      </c>
      <c r="HN260" s="152">
        <v>0</v>
      </c>
      <c r="HO260" s="152">
        <v>0</v>
      </c>
      <c r="HP260" s="152">
        <v>0</v>
      </c>
      <c r="HQ260" s="152">
        <v>0</v>
      </c>
      <c r="HR260" s="152">
        <v>0</v>
      </c>
      <c r="HS260" s="152">
        <v>0</v>
      </c>
      <c r="HT260" s="152">
        <v>0</v>
      </c>
      <c r="HU260" s="216"/>
      <c r="HV260" s="152">
        <v>0</v>
      </c>
      <c r="HW260" s="216"/>
      <c r="HX260" s="216"/>
      <c r="HY260" s="216"/>
      <c r="HZ260" s="216"/>
      <c r="IA260" s="216"/>
      <c r="IB260" s="216"/>
      <c r="IC260" s="216"/>
      <c r="ID260" s="216"/>
      <c r="IE260" s="216"/>
      <c r="IF260" s="216"/>
      <c r="IG260" s="216"/>
      <c r="IH260" s="216"/>
      <c r="II260" s="216"/>
      <c r="IJ260" s="216"/>
      <c r="IK260" s="216"/>
      <c r="IL260" s="216"/>
      <c r="IM260" s="216"/>
      <c r="IN260" s="216"/>
      <c r="IO260" s="216"/>
      <c r="IP260" s="216"/>
      <c r="IQ260" s="216"/>
      <c r="IR260" s="216"/>
      <c r="IS260" s="216"/>
      <c r="IT260" s="216"/>
      <c r="IU260" s="216"/>
      <c r="IV260" s="216"/>
      <c r="IW260" s="216"/>
      <c r="IX260" s="216"/>
      <c r="IY260" s="216"/>
      <c r="IZ260" s="216"/>
      <c r="JA260" s="216"/>
      <c r="JB260" s="216"/>
      <c r="JC260" s="216"/>
      <c r="JD260" s="216"/>
      <c r="JE260" s="216"/>
      <c r="JF260" s="216"/>
      <c r="JG260" s="216"/>
      <c r="JH260" s="216"/>
      <c r="JI260" s="216"/>
      <c r="JJ260" s="216"/>
      <c r="JK260" s="216"/>
      <c r="JL260" s="216"/>
      <c r="JM260" s="216"/>
      <c r="JN260" s="216"/>
      <c r="JO260" s="216"/>
      <c r="JP260" s="216"/>
      <c r="JQ260" s="216"/>
      <c r="JR260" s="216"/>
      <c r="JS260" s="216"/>
      <c r="JT260" s="216"/>
      <c r="JU260" s="216"/>
      <c r="JV260" s="216"/>
      <c r="JW260" s="216"/>
      <c r="JX260" s="216"/>
      <c r="JY260" s="216"/>
      <c r="JZ260" s="216"/>
      <c r="KA260" s="216"/>
      <c r="KB260" s="216"/>
      <c r="KC260" s="216"/>
      <c r="KD260" s="216"/>
      <c r="KE260" s="216"/>
      <c r="KF260" s="216"/>
      <c r="KG260" s="216"/>
      <c r="KH260" s="216"/>
      <c r="KI260" s="216"/>
      <c r="KJ260" s="216"/>
      <c r="KK260" s="216"/>
      <c r="KL260" s="216"/>
      <c r="KM260" s="216"/>
      <c r="KN260" s="216"/>
      <c r="KO260" s="216"/>
      <c r="KP260" s="216"/>
      <c r="KQ260" s="216"/>
      <c r="KR260" s="216"/>
      <c r="KS260" s="216"/>
      <c r="KT260" s="216"/>
      <c r="KU260" s="216"/>
      <c r="KV260" s="216"/>
      <c r="KW260" s="216"/>
      <c r="KX260" s="216"/>
      <c r="KY260" s="216"/>
      <c r="KZ260" s="216"/>
      <c r="LA260" s="216"/>
      <c r="LB260" s="216"/>
      <c r="LC260" s="216"/>
      <c r="LD260" s="216"/>
      <c r="LE260" s="216"/>
    </row>
    <row r="261" spans="1:317" x14ac:dyDescent="0.2">
      <c r="A261" s="179" t="s">
        <v>849</v>
      </c>
      <c r="B261" s="180" t="s">
        <v>1160</v>
      </c>
      <c r="C261" s="181"/>
      <c r="D261" s="182">
        <v>0</v>
      </c>
      <c r="E261" s="182">
        <v>0</v>
      </c>
      <c r="F261" s="183" t="s">
        <v>1341</v>
      </c>
      <c r="G261" s="183">
        <v>0</v>
      </c>
      <c r="H261" s="183">
        <v>0</v>
      </c>
      <c r="I261" s="183">
        <v>0</v>
      </c>
      <c r="J261" s="183">
        <v>0</v>
      </c>
      <c r="K261" s="183" t="s">
        <v>1401</v>
      </c>
      <c r="L261" s="183">
        <v>0</v>
      </c>
      <c r="M261" s="183">
        <v>0</v>
      </c>
      <c r="N261" s="183" t="s">
        <v>872</v>
      </c>
      <c r="O261" s="183">
        <v>0</v>
      </c>
      <c r="P261" s="183">
        <v>0</v>
      </c>
      <c r="Q261" s="183"/>
      <c r="R261" s="183"/>
      <c r="S261" s="183"/>
      <c r="T261" s="183"/>
      <c r="U261" s="183"/>
      <c r="V261" s="183">
        <v>0</v>
      </c>
      <c r="W261" s="183">
        <v>0</v>
      </c>
      <c r="X261" s="183">
        <v>0</v>
      </c>
      <c r="Y261" s="184">
        <v>6.4</v>
      </c>
      <c r="Z261" s="184">
        <v>12.02</v>
      </c>
      <c r="AA261" s="184">
        <v>0</v>
      </c>
      <c r="AB261" s="185" t="s">
        <v>615</v>
      </c>
      <c r="AC261" s="185" t="s">
        <v>615</v>
      </c>
      <c r="AD261" s="186" t="s">
        <v>872</v>
      </c>
      <c r="AE261" s="186" t="s">
        <v>852</v>
      </c>
      <c r="AF261" s="187">
        <v>7</v>
      </c>
      <c r="AG261" s="187">
        <v>3</v>
      </c>
      <c r="AH261" s="187">
        <v>4</v>
      </c>
      <c r="AI261" s="188">
        <v>1</v>
      </c>
      <c r="AJ261" s="188" t="s">
        <v>615</v>
      </c>
      <c r="AK261" s="187" t="s">
        <v>1741</v>
      </c>
      <c r="AL261" s="87" t="s">
        <v>615</v>
      </c>
      <c r="AM261" s="189"/>
      <c r="AN261" s="187" t="s">
        <v>615</v>
      </c>
      <c r="AO261" s="13" t="s">
        <v>615</v>
      </c>
      <c r="AP261" s="187">
        <v>0</v>
      </c>
      <c r="AQ261" s="187">
        <v>0</v>
      </c>
      <c r="AR261" s="190">
        <v>0</v>
      </c>
      <c r="AS261" s="190">
        <v>0</v>
      </c>
      <c r="AT261" s="190">
        <v>0</v>
      </c>
      <c r="AU261" s="187">
        <v>0</v>
      </c>
      <c r="AV261" s="187">
        <v>0</v>
      </c>
      <c r="AW261" s="191"/>
      <c r="AX261" s="192"/>
      <c r="AY261" s="193"/>
      <c r="AZ261" s="193"/>
      <c r="BA261" s="193"/>
      <c r="BB261" s="194"/>
      <c r="BC261" s="194"/>
      <c r="BD261" s="195"/>
      <c r="BE261" s="195" t="s">
        <v>532</v>
      </c>
      <c r="BF261" s="195"/>
      <c r="BG261" s="195">
        <v>20</v>
      </c>
      <c r="BH261" s="196" t="s">
        <v>547</v>
      </c>
      <c r="BI261" s="197">
        <v>1</v>
      </c>
      <c r="BJ261" s="198"/>
      <c r="BK261" s="199">
        <v>0</v>
      </c>
      <c r="BL261" s="13">
        <v>0</v>
      </c>
      <c r="BM261" s="13">
        <v>0</v>
      </c>
      <c r="BN261" s="13" t="s">
        <v>616</v>
      </c>
      <c r="BO261" s="13" t="s">
        <v>616</v>
      </c>
      <c r="BP261" s="200">
        <v>14</v>
      </c>
      <c r="BQ261" s="201"/>
      <c r="BR261" s="202"/>
      <c r="BS261" s="187">
        <v>1000000000</v>
      </c>
      <c r="BT261" s="203">
        <v>18</v>
      </c>
      <c r="BU261" s="204">
        <v>0</v>
      </c>
      <c r="BV261" s="203">
        <v>0</v>
      </c>
      <c r="BW261" s="205">
        <v>0</v>
      </c>
      <c r="BX261" s="205">
        <v>0</v>
      </c>
      <c r="BY261" s="205">
        <v>0</v>
      </c>
      <c r="BZ261" s="203">
        <v>0</v>
      </c>
      <c r="CA261" s="203">
        <v>0</v>
      </c>
      <c r="CB261" s="203">
        <v>18</v>
      </c>
      <c r="CC261" s="204">
        <v>0</v>
      </c>
      <c r="CD261" s="203">
        <v>0</v>
      </c>
      <c r="CE261" s="203">
        <v>0</v>
      </c>
      <c r="CF261" s="13">
        <v>0</v>
      </c>
      <c r="CG261" s="206">
        <v>0</v>
      </c>
      <c r="CH261" s="207">
        <v>0</v>
      </c>
      <c r="CI261" s="201"/>
      <c r="CJ261" s="208"/>
      <c r="CK261" s="209" t="s">
        <v>615</v>
      </c>
      <c r="CL261" s="210" t="s">
        <v>615</v>
      </c>
      <c r="CM261" s="207">
        <v>0</v>
      </c>
      <c r="CN261" s="207">
        <v>0</v>
      </c>
      <c r="CO261" s="204">
        <v>0</v>
      </c>
      <c r="CP261" s="204">
        <v>0</v>
      </c>
      <c r="CQ261" s="211"/>
      <c r="CR261" s="204">
        <v>1</v>
      </c>
      <c r="CS261" s="212">
        <v>42766</v>
      </c>
      <c r="CT261" s="212">
        <v>42780</v>
      </c>
      <c r="CU261" s="213">
        <v>42780</v>
      </c>
      <c r="CV261" s="214">
        <v>42829</v>
      </c>
      <c r="CW261" s="214" t="s">
        <v>615</v>
      </c>
      <c r="CX261" s="214" t="s">
        <v>615</v>
      </c>
      <c r="CY261" s="204">
        <v>0.21445055206031047</v>
      </c>
      <c r="CZ261" s="204">
        <v>0.97959183673469385</v>
      </c>
      <c r="DA261" s="203">
        <v>0</v>
      </c>
      <c r="DB261" s="204">
        <v>0</v>
      </c>
      <c r="DC261" s="204">
        <v>0</v>
      </c>
      <c r="DD261" s="204">
        <v>0</v>
      </c>
      <c r="DE261" s="204">
        <v>0</v>
      </c>
      <c r="DF261" s="215">
        <v>0.97959183673469385</v>
      </c>
      <c r="DG261" s="13" t="s">
        <v>615</v>
      </c>
      <c r="DH261" s="86">
        <v>259</v>
      </c>
      <c r="DI261" s="86"/>
      <c r="DJ261" s="86">
        <v>138</v>
      </c>
      <c r="DK261" s="86" t="s">
        <v>1499</v>
      </c>
      <c r="DL261" s="86" t="e">
        <v>#N/A</v>
      </c>
      <c r="DM261" s="86">
        <v>61</v>
      </c>
      <c r="DN261" s="86" t="e">
        <v>#N/A</v>
      </c>
      <c r="DO261" s="86">
        <v>145</v>
      </c>
      <c r="DP261" s="86">
        <v>2</v>
      </c>
      <c r="DQ261" s="86">
        <v>49</v>
      </c>
      <c r="DR261" s="151"/>
      <c r="DS261" s="152"/>
      <c r="DT261" s="151"/>
      <c r="DU261" s="151"/>
      <c r="DV261" s="151"/>
      <c r="DW261" s="151"/>
      <c r="DX261" s="151"/>
      <c r="DY261" s="152"/>
      <c r="DZ261" s="151"/>
      <c r="EA261" s="151"/>
      <c r="EB261" s="151"/>
      <c r="EC261" s="151"/>
      <c r="ED261" s="151"/>
      <c r="EE261" s="151"/>
      <c r="EF261" s="226"/>
      <c r="EG261" s="226"/>
      <c r="EH261" s="151"/>
      <c r="EI261" s="151"/>
      <c r="EJ261" s="151"/>
      <c r="EK261" s="151"/>
      <c r="EL261" s="151"/>
      <c r="EM261" s="226"/>
      <c r="EN261" s="151"/>
      <c r="EO261" s="151"/>
      <c r="EP261" s="151"/>
      <c r="EQ261" s="151"/>
      <c r="ER261" s="226"/>
      <c r="ES261" s="226"/>
      <c r="ET261" s="151"/>
      <c r="EU261" s="151"/>
      <c r="EV261" s="151"/>
      <c r="EW261" s="151"/>
      <c r="EX261" s="151"/>
      <c r="EY261" s="226"/>
      <c r="EZ261" s="151"/>
      <c r="FA261" s="151"/>
      <c r="FB261" s="151"/>
      <c r="FC261" s="151"/>
      <c r="FD261" s="151"/>
      <c r="FE261" s="226"/>
      <c r="FF261" s="151"/>
      <c r="FG261" s="151"/>
      <c r="FH261" s="151"/>
      <c r="FI261" s="226"/>
      <c r="FJ261" s="226"/>
      <c r="FK261" s="151"/>
      <c r="FL261" s="151"/>
      <c r="FM261" s="164">
        <v>18</v>
      </c>
      <c r="FN261" s="164">
        <v>18</v>
      </c>
      <c r="FO261" s="162">
        <v>18</v>
      </c>
      <c r="FP261" s="162">
        <v>18</v>
      </c>
      <c r="FQ261" s="162">
        <v>18</v>
      </c>
      <c r="FR261" s="162">
        <v>18</v>
      </c>
      <c r="FS261" s="162">
        <v>18</v>
      </c>
      <c r="FT261" s="162">
        <v>18</v>
      </c>
      <c r="FU261" s="162">
        <v>18</v>
      </c>
      <c r="FV261" s="162">
        <v>18</v>
      </c>
      <c r="FW261" s="162">
        <v>18</v>
      </c>
      <c r="FX261" s="162">
        <v>18</v>
      </c>
      <c r="FY261" s="162">
        <v>18</v>
      </c>
      <c r="FZ261" s="162">
        <v>18</v>
      </c>
      <c r="GA261" s="162">
        <v>18</v>
      </c>
      <c r="GB261" s="162">
        <v>18</v>
      </c>
      <c r="GC261" s="162">
        <v>18</v>
      </c>
      <c r="GD261" s="162">
        <v>18</v>
      </c>
      <c r="GE261" s="162">
        <v>18</v>
      </c>
      <c r="GF261" s="162">
        <v>18</v>
      </c>
      <c r="GG261" s="162">
        <v>18</v>
      </c>
      <c r="GH261" s="162">
        <v>18</v>
      </c>
      <c r="GI261" s="162">
        <v>18</v>
      </c>
      <c r="GJ261" s="162">
        <v>18</v>
      </c>
      <c r="GK261" s="162">
        <v>18</v>
      </c>
      <c r="GL261" s="162">
        <v>18</v>
      </c>
      <c r="GM261" s="162">
        <v>18</v>
      </c>
      <c r="GN261" s="162">
        <v>18</v>
      </c>
      <c r="GO261" s="162">
        <v>18</v>
      </c>
      <c r="GP261" s="162">
        <v>18</v>
      </c>
      <c r="GQ261" s="162">
        <v>18</v>
      </c>
      <c r="GR261" s="162">
        <v>18</v>
      </c>
      <c r="GS261" s="162">
        <v>18</v>
      </c>
      <c r="GT261" s="162">
        <v>18</v>
      </c>
      <c r="GU261" s="162">
        <v>18</v>
      </c>
      <c r="GV261" s="162">
        <v>18</v>
      </c>
      <c r="GW261" s="162">
        <v>18</v>
      </c>
      <c r="GX261" s="162">
        <v>18</v>
      </c>
      <c r="GY261" s="162">
        <v>18</v>
      </c>
      <c r="GZ261" s="162">
        <v>18</v>
      </c>
      <c r="HA261" s="162">
        <v>18</v>
      </c>
      <c r="HB261" s="162">
        <v>18</v>
      </c>
      <c r="HC261" s="162">
        <v>18</v>
      </c>
      <c r="HD261" s="162">
        <v>18</v>
      </c>
      <c r="HE261" s="162">
        <v>18</v>
      </c>
      <c r="HF261" s="162">
        <v>18</v>
      </c>
      <c r="HG261" s="161">
        <v>18</v>
      </c>
      <c r="HH261" s="161">
        <v>18</v>
      </c>
      <c r="HI261" s="146">
        <v>18</v>
      </c>
      <c r="HJ261" s="146">
        <v>18</v>
      </c>
      <c r="HK261" s="146">
        <v>18</v>
      </c>
      <c r="HL261" s="146">
        <v>18</v>
      </c>
      <c r="HM261" s="146">
        <v>18</v>
      </c>
      <c r="HN261" s="146">
        <v>18</v>
      </c>
      <c r="HO261" s="146">
        <v>18</v>
      </c>
      <c r="HP261" s="146">
        <v>18</v>
      </c>
      <c r="HQ261" s="146">
        <v>18</v>
      </c>
      <c r="HR261" s="146">
        <v>38</v>
      </c>
      <c r="HS261" s="146">
        <v>38</v>
      </c>
      <c r="HT261" s="146">
        <v>18</v>
      </c>
      <c r="HU261" s="151"/>
      <c r="HV261" s="146">
        <v>18</v>
      </c>
      <c r="HW261" s="151"/>
      <c r="HX261" s="151"/>
      <c r="HY261" s="151"/>
      <c r="HZ261" s="151"/>
      <c r="IA261" s="151"/>
      <c r="IB261" s="151"/>
      <c r="IC261" s="151"/>
      <c r="ID261" s="151"/>
      <c r="IE261" s="151"/>
      <c r="IF261" s="151"/>
      <c r="IG261" s="151"/>
      <c r="IH261" s="151"/>
      <c r="II261" s="151"/>
      <c r="IJ261" s="151"/>
      <c r="IK261" s="151"/>
      <c r="IL261" s="151"/>
      <c r="IM261" s="151"/>
      <c r="IN261" s="151"/>
      <c r="IO261" s="151"/>
      <c r="IP261" s="151"/>
      <c r="IQ261" s="151"/>
      <c r="IR261" s="151"/>
      <c r="IS261" s="151"/>
      <c r="IT261" s="151"/>
      <c r="IU261" s="151"/>
      <c r="IV261" s="151"/>
      <c r="IW261" s="151"/>
      <c r="IX261" s="151"/>
      <c r="IY261" s="151"/>
      <c r="IZ261" s="151"/>
      <c r="JA261" s="151"/>
      <c r="JB261" s="151"/>
      <c r="JC261" s="151"/>
      <c r="JD261" s="151"/>
      <c r="JE261" s="151"/>
      <c r="JF261" s="151"/>
      <c r="JG261" s="151"/>
      <c r="JH261" s="151"/>
      <c r="JI261" s="151"/>
      <c r="JJ261" s="151"/>
      <c r="JK261" s="151"/>
      <c r="JL261" s="151"/>
      <c r="JM261" s="151"/>
      <c r="JN261" s="151"/>
      <c r="JO261" s="151"/>
      <c r="JP261" s="151"/>
      <c r="JQ261" s="151"/>
      <c r="JR261" s="151"/>
      <c r="JS261" s="151"/>
      <c r="JT261" s="151"/>
      <c r="JU261" s="151"/>
      <c r="JV261" s="151"/>
      <c r="JW261" s="151"/>
      <c r="JX261" s="151"/>
      <c r="JY261" s="151"/>
      <c r="JZ261" s="151"/>
      <c r="KA261" s="151"/>
      <c r="KB261" s="151"/>
      <c r="KC261" s="151"/>
      <c r="KD261" s="151"/>
      <c r="KE261" s="151"/>
      <c r="KF261" s="151"/>
      <c r="KG261" s="151"/>
      <c r="KH261" s="151"/>
      <c r="KI261" s="151"/>
      <c r="KJ261" s="151"/>
      <c r="KK261" s="151"/>
      <c r="KL261" s="151"/>
      <c r="KM261" s="151"/>
      <c r="KN261" s="151"/>
      <c r="KO261" s="151"/>
      <c r="KP261" s="151"/>
      <c r="KQ261" s="151"/>
      <c r="KR261" s="151"/>
      <c r="KS261" s="151"/>
      <c r="KT261" s="151"/>
      <c r="KU261" s="151"/>
      <c r="KV261" s="151"/>
      <c r="KW261" s="151"/>
      <c r="KX261" s="151"/>
      <c r="KY261" s="151"/>
      <c r="KZ261" s="151"/>
      <c r="LA261" s="151"/>
      <c r="LB261" s="151"/>
      <c r="LC261" s="151"/>
      <c r="LD261" s="151"/>
      <c r="LE261" s="151"/>
    </row>
    <row r="262" spans="1:317" x14ac:dyDescent="0.2">
      <c r="A262" s="179" t="s">
        <v>849</v>
      </c>
      <c r="B262" s="180" t="s">
        <v>1161</v>
      </c>
      <c r="C262" s="181"/>
      <c r="D262" s="182">
        <v>0</v>
      </c>
      <c r="E262" s="182">
        <v>0</v>
      </c>
      <c r="F262" s="183" t="s">
        <v>1340</v>
      </c>
      <c r="G262" s="183">
        <v>0</v>
      </c>
      <c r="H262" s="183">
        <v>0</v>
      </c>
      <c r="I262" s="183">
        <v>0</v>
      </c>
      <c r="J262" s="183">
        <v>0</v>
      </c>
      <c r="K262" s="183" t="s">
        <v>1401</v>
      </c>
      <c r="L262" s="183">
        <v>0</v>
      </c>
      <c r="M262" s="183">
        <v>0</v>
      </c>
      <c r="N262" s="183" t="s">
        <v>872</v>
      </c>
      <c r="O262" s="183">
        <v>0</v>
      </c>
      <c r="P262" s="183">
        <v>0</v>
      </c>
      <c r="Q262" s="183"/>
      <c r="R262" s="183"/>
      <c r="S262" s="183"/>
      <c r="T262" s="183"/>
      <c r="U262" s="183"/>
      <c r="V262" s="183">
        <v>0</v>
      </c>
      <c r="W262" s="183">
        <v>0</v>
      </c>
      <c r="X262" s="183">
        <v>0</v>
      </c>
      <c r="Y262" s="184">
        <v>0</v>
      </c>
      <c r="Z262" s="184">
        <v>0</v>
      </c>
      <c r="AA262" s="184">
        <v>0</v>
      </c>
      <c r="AB262" s="185" t="s">
        <v>615</v>
      </c>
      <c r="AC262" s="185" t="s">
        <v>615</v>
      </c>
      <c r="AD262" s="186" t="s">
        <v>872</v>
      </c>
      <c r="AE262" s="186" t="s">
        <v>852</v>
      </c>
      <c r="AF262" s="187">
        <v>7</v>
      </c>
      <c r="AG262" s="187">
        <v>3</v>
      </c>
      <c r="AH262" s="187">
        <v>4</v>
      </c>
      <c r="AI262" s="188">
        <v>1</v>
      </c>
      <c r="AJ262" s="188" t="s">
        <v>615</v>
      </c>
      <c r="AK262" s="187" t="s">
        <v>1741</v>
      </c>
      <c r="AL262" s="87" t="s">
        <v>615</v>
      </c>
      <c r="AM262" s="189"/>
      <c r="AN262" s="187" t="s">
        <v>615</v>
      </c>
      <c r="AO262" s="13" t="s">
        <v>615</v>
      </c>
      <c r="AP262" s="187">
        <v>0</v>
      </c>
      <c r="AQ262" s="187">
        <v>0</v>
      </c>
      <c r="AR262" s="190">
        <v>0</v>
      </c>
      <c r="AS262" s="190">
        <v>0</v>
      </c>
      <c r="AT262" s="190">
        <v>0</v>
      </c>
      <c r="AU262" s="187">
        <v>0</v>
      </c>
      <c r="AV262" s="187">
        <v>0</v>
      </c>
      <c r="AW262" s="191"/>
      <c r="AX262" s="192"/>
      <c r="AY262" s="193"/>
      <c r="AZ262" s="193"/>
      <c r="BA262" s="193"/>
      <c r="BB262" s="194"/>
      <c r="BC262" s="194"/>
      <c r="BD262" s="195"/>
      <c r="BE262" s="195" t="s">
        <v>532</v>
      </c>
      <c r="BF262" s="195"/>
      <c r="BG262" s="195">
        <v>20</v>
      </c>
      <c r="BH262" s="196" t="s">
        <v>547</v>
      </c>
      <c r="BI262" s="197">
        <v>1</v>
      </c>
      <c r="BJ262" s="198"/>
      <c r="BK262" s="199">
        <v>0</v>
      </c>
      <c r="BL262" s="13">
        <v>0</v>
      </c>
      <c r="BM262" s="13">
        <v>0</v>
      </c>
      <c r="BN262" s="13" t="s">
        <v>616</v>
      </c>
      <c r="BO262" s="13" t="s">
        <v>616</v>
      </c>
      <c r="BP262" s="200">
        <v>20</v>
      </c>
      <c r="BQ262" s="201"/>
      <c r="BR262" s="202"/>
      <c r="BS262" s="187">
        <v>1000000000</v>
      </c>
      <c r="BT262" s="203">
        <v>0</v>
      </c>
      <c r="BU262" s="204">
        <v>0</v>
      </c>
      <c r="BV262" s="203">
        <v>20</v>
      </c>
      <c r="BW262" s="205">
        <v>0</v>
      </c>
      <c r="BX262" s="205">
        <v>0</v>
      </c>
      <c r="BY262" s="205">
        <v>0</v>
      </c>
      <c r="BZ262" s="203">
        <v>0</v>
      </c>
      <c r="CA262" s="203">
        <v>0</v>
      </c>
      <c r="CB262" s="203">
        <v>20</v>
      </c>
      <c r="CC262" s="204">
        <v>0</v>
      </c>
      <c r="CD262" s="203">
        <v>0</v>
      </c>
      <c r="CE262" s="203">
        <v>0</v>
      </c>
      <c r="CF262" s="13">
        <v>0</v>
      </c>
      <c r="CG262" s="206">
        <v>0</v>
      </c>
      <c r="CH262" s="207">
        <v>0</v>
      </c>
      <c r="CI262" s="201"/>
      <c r="CJ262" s="208"/>
      <c r="CK262" s="209" t="s">
        <v>615</v>
      </c>
      <c r="CL262" s="210" t="s">
        <v>615</v>
      </c>
      <c r="CM262" s="207">
        <v>0</v>
      </c>
      <c r="CN262" s="207">
        <v>0</v>
      </c>
      <c r="CO262" s="204">
        <v>0</v>
      </c>
      <c r="CP262" s="204">
        <v>0</v>
      </c>
      <c r="CQ262" s="211"/>
      <c r="CR262" s="204">
        <v>1</v>
      </c>
      <c r="CS262" s="212">
        <v>42766</v>
      </c>
      <c r="CT262" s="212">
        <v>42780</v>
      </c>
      <c r="CU262" s="213">
        <v>42780</v>
      </c>
      <c r="CV262" s="214">
        <v>42829</v>
      </c>
      <c r="CW262" s="214" t="s">
        <v>615</v>
      </c>
      <c r="CX262" s="214" t="s">
        <v>615</v>
      </c>
      <c r="CY262" s="204">
        <v>1</v>
      </c>
      <c r="CZ262" s="204">
        <v>0.97959183673469385</v>
      </c>
      <c r="DA262" s="203">
        <v>0</v>
      </c>
      <c r="DB262" s="204">
        <v>0.97959183673469385</v>
      </c>
      <c r="DC262" s="204">
        <v>0</v>
      </c>
      <c r="DD262" s="204">
        <v>0</v>
      </c>
      <c r="DE262" s="204">
        <v>0</v>
      </c>
      <c r="DF262" s="215">
        <v>0</v>
      </c>
      <c r="DG262" s="13" t="s">
        <v>615</v>
      </c>
      <c r="DH262" s="86">
        <v>260</v>
      </c>
      <c r="DI262" s="86"/>
      <c r="DJ262" s="86">
        <v>139</v>
      </c>
      <c r="DK262" s="86" t="s">
        <v>1607</v>
      </c>
      <c r="DL262" s="86" t="e">
        <v>#N/A</v>
      </c>
      <c r="DM262" s="86" t="e">
        <v>#N/A</v>
      </c>
      <c r="DN262" s="86" t="e">
        <v>#N/A</v>
      </c>
      <c r="DO262" s="86">
        <v>146</v>
      </c>
      <c r="DP262" s="86">
        <v>2</v>
      </c>
      <c r="DQ262" s="86">
        <v>49</v>
      </c>
      <c r="DR262" s="216"/>
      <c r="DS262" s="152"/>
      <c r="DT262" s="216"/>
      <c r="DU262" s="216"/>
      <c r="DV262" s="216"/>
      <c r="DW262" s="216"/>
      <c r="DX262" s="216"/>
      <c r="DY262" s="152"/>
      <c r="DZ262" s="216"/>
      <c r="EA262" s="216"/>
      <c r="EB262" s="216"/>
      <c r="EC262" s="216"/>
      <c r="ED262" s="216"/>
      <c r="EE262" s="216"/>
      <c r="EF262" s="225"/>
      <c r="EG262" s="225"/>
      <c r="EH262" s="216"/>
      <c r="EI262" s="216"/>
      <c r="EJ262" s="216"/>
      <c r="EK262" s="216"/>
      <c r="EL262" s="216"/>
      <c r="EM262" s="225"/>
      <c r="EN262" s="216"/>
      <c r="EO262" s="216"/>
      <c r="EP262" s="216"/>
      <c r="EQ262" s="216"/>
      <c r="ER262" s="225"/>
      <c r="ES262" s="225"/>
      <c r="ET262" s="216"/>
      <c r="EU262" s="216"/>
      <c r="EV262" s="216"/>
      <c r="EW262" s="216"/>
      <c r="EX262" s="216"/>
      <c r="EY262" s="225"/>
      <c r="EZ262" s="216"/>
      <c r="FA262" s="216"/>
      <c r="FB262" s="216"/>
      <c r="FC262" s="216"/>
      <c r="FD262" s="216"/>
      <c r="FE262" s="225"/>
      <c r="FF262" s="216"/>
      <c r="FG262" s="216"/>
      <c r="FH262" s="216"/>
      <c r="FI262" s="225"/>
      <c r="FJ262" s="225"/>
      <c r="FK262" s="216"/>
      <c r="FL262" s="216"/>
      <c r="FM262" s="166">
        <v>0</v>
      </c>
      <c r="FN262" s="166">
        <v>0</v>
      </c>
      <c r="FO262" s="166">
        <v>0</v>
      </c>
      <c r="FP262" s="166">
        <v>0</v>
      </c>
      <c r="FQ262" s="166">
        <v>0</v>
      </c>
      <c r="FR262" s="166">
        <v>0</v>
      </c>
      <c r="FS262" s="166">
        <v>0</v>
      </c>
      <c r="FT262" s="166">
        <v>0</v>
      </c>
      <c r="FU262" s="166">
        <v>0</v>
      </c>
      <c r="FV262" s="166">
        <v>0</v>
      </c>
      <c r="FW262" s="166">
        <v>0</v>
      </c>
      <c r="FX262" s="166">
        <v>0</v>
      </c>
      <c r="FY262" s="166">
        <v>0</v>
      </c>
      <c r="FZ262" s="166">
        <v>0</v>
      </c>
      <c r="GA262" s="166">
        <v>0</v>
      </c>
      <c r="GB262" s="166">
        <v>0</v>
      </c>
      <c r="GC262" s="166">
        <v>0</v>
      </c>
      <c r="GD262" s="166">
        <v>0</v>
      </c>
      <c r="GE262" s="166">
        <v>0</v>
      </c>
      <c r="GF262" s="166">
        <v>0</v>
      </c>
      <c r="GG262" s="166">
        <v>0</v>
      </c>
      <c r="GH262" s="166">
        <v>0</v>
      </c>
      <c r="GI262" s="166">
        <v>0</v>
      </c>
      <c r="GJ262" s="166">
        <v>0</v>
      </c>
      <c r="GK262" s="166">
        <v>0</v>
      </c>
      <c r="GL262" s="166">
        <v>0</v>
      </c>
      <c r="GM262" s="166">
        <v>0</v>
      </c>
      <c r="GN262" s="166">
        <v>0</v>
      </c>
      <c r="GO262" s="166">
        <v>0</v>
      </c>
      <c r="GP262" s="166">
        <v>0</v>
      </c>
      <c r="GQ262" s="166">
        <v>0</v>
      </c>
      <c r="GR262" s="166">
        <v>0</v>
      </c>
      <c r="GS262" s="166">
        <v>0</v>
      </c>
      <c r="GT262" s="166">
        <v>0</v>
      </c>
      <c r="GU262" s="166">
        <v>0</v>
      </c>
      <c r="GV262" s="166">
        <v>0</v>
      </c>
      <c r="GW262" s="166">
        <v>0</v>
      </c>
      <c r="GX262" s="166">
        <v>0</v>
      </c>
      <c r="GY262" s="166">
        <v>0</v>
      </c>
      <c r="GZ262" s="166">
        <v>0</v>
      </c>
      <c r="HA262" s="166">
        <v>0</v>
      </c>
      <c r="HB262" s="166">
        <v>0</v>
      </c>
      <c r="HC262" s="166">
        <v>0</v>
      </c>
      <c r="HD262" s="166">
        <v>0</v>
      </c>
      <c r="HE262" s="166">
        <v>0</v>
      </c>
      <c r="HF262" s="166">
        <v>0</v>
      </c>
      <c r="HG262" s="166">
        <v>0</v>
      </c>
      <c r="HH262" s="152">
        <v>0</v>
      </c>
      <c r="HI262" s="152">
        <v>0</v>
      </c>
      <c r="HJ262" s="152">
        <v>0</v>
      </c>
      <c r="HK262" s="152">
        <v>0</v>
      </c>
      <c r="HL262" s="152">
        <v>0</v>
      </c>
      <c r="HM262" s="152">
        <v>0</v>
      </c>
      <c r="HN262" s="152">
        <v>0</v>
      </c>
      <c r="HO262" s="152">
        <v>0</v>
      </c>
      <c r="HP262" s="152">
        <v>0</v>
      </c>
      <c r="HQ262" s="152">
        <v>0</v>
      </c>
      <c r="HR262" s="152">
        <v>0</v>
      </c>
      <c r="HS262" s="152">
        <v>0</v>
      </c>
      <c r="HT262" s="152">
        <v>0</v>
      </c>
      <c r="HU262" s="216"/>
      <c r="HV262" s="152">
        <v>0</v>
      </c>
      <c r="HW262" s="216"/>
      <c r="HX262" s="216"/>
      <c r="HY262" s="216"/>
      <c r="HZ262" s="216"/>
      <c r="IA262" s="216"/>
      <c r="IB262" s="216"/>
      <c r="IC262" s="216"/>
      <c r="ID262" s="216"/>
      <c r="IE262" s="216"/>
      <c r="IF262" s="216"/>
      <c r="IG262" s="216"/>
      <c r="IH262" s="216"/>
      <c r="II262" s="216"/>
      <c r="IJ262" s="216"/>
      <c r="IK262" s="216"/>
      <c r="IL262" s="216"/>
      <c r="IM262" s="216"/>
      <c r="IN262" s="216"/>
      <c r="IO262" s="216"/>
      <c r="IP262" s="216"/>
      <c r="IQ262" s="216"/>
      <c r="IR262" s="216"/>
      <c r="IS262" s="216"/>
      <c r="IT262" s="216"/>
      <c r="IU262" s="216"/>
      <c r="IV262" s="216"/>
      <c r="IW262" s="216"/>
      <c r="IX262" s="216"/>
      <c r="IY262" s="216"/>
      <c r="IZ262" s="216"/>
      <c r="JA262" s="216"/>
      <c r="JB262" s="216"/>
      <c r="JC262" s="216"/>
      <c r="JD262" s="216"/>
      <c r="JE262" s="216"/>
      <c r="JF262" s="216"/>
      <c r="JG262" s="216"/>
      <c r="JH262" s="216"/>
      <c r="JI262" s="216"/>
      <c r="JJ262" s="216"/>
      <c r="JK262" s="216"/>
      <c r="JL262" s="216"/>
      <c r="JM262" s="216"/>
      <c r="JN262" s="216"/>
      <c r="JO262" s="216"/>
      <c r="JP262" s="216"/>
      <c r="JQ262" s="216"/>
      <c r="JR262" s="216"/>
      <c r="JS262" s="216"/>
      <c r="JT262" s="216"/>
      <c r="JU262" s="216"/>
      <c r="JV262" s="216"/>
      <c r="JW262" s="216"/>
      <c r="JX262" s="216"/>
      <c r="JY262" s="216"/>
      <c r="JZ262" s="216"/>
      <c r="KA262" s="216"/>
      <c r="KB262" s="216"/>
      <c r="KC262" s="216"/>
      <c r="KD262" s="216"/>
      <c r="KE262" s="216"/>
      <c r="KF262" s="216"/>
      <c r="KG262" s="216"/>
      <c r="KH262" s="216"/>
      <c r="KI262" s="216"/>
      <c r="KJ262" s="216"/>
      <c r="KK262" s="216"/>
      <c r="KL262" s="216"/>
      <c r="KM262" s="216"/>
      <c r="KN262" s="216"/>
      <c r="KO262" s="216"/>
      <c r="KP262" s="216"/>
      <c r="KQ262" s="216"/>
      <c r="KR262" s="216"/>
      <c r="KS262" s="216"/>
      <c r="KT262" s="216"/>
      <c r="KU262" s="216"/>
      <c r="KV262" s="216"/>
      <c r="KW262" s="216"/>
      <c r="KX262" s="216"/>
      <c r="KY262" s="216"/>
      <c r="KZ262" s="216"/>
      <c r="LA262" s="216"/>
      <c r="LB262" s="216"/>
      <c r="LC262" s="216"/>
      <c r="LD262" s="216"/>
      <c r="LE262" s="216"/>
    </row>
    <row r="263" spans="1:317" x14ac:dyDescent="0.2">
      <c r="A263" s="179" t="s">
        <v>849</v>
      </c>
      <c r="B263" s="180" t="s">
        <v>1162</v>
      </c>
      <c r="C263" s="181"/>
      <c r="D263" s="182">
        <v>0</v>
      </c>
      <c r="E263" s="182">
        <v>0</v>
      </c>
      <c r="F263" s="183" t="s">
        <v>1341</v>
      </c>
      <c r="G263" s="183">
        <v>0</v>
      </c>
      <c r="H263" s="183">
        <v>0</v>
      </c>
      <c r="I263" s="183">
        <v>0</v>
      </c>
      <c r="J263" s="183">
        <v>0</v>
      </c>
      <c r="K263" s="183" t="s">
        <v>1401</v>
      </c>
      <c r="L263" s="183">
        <v>0</v>
      </c>
      <c r="M263" s="183">
        <v>0</v>
      </c>
      <c r="N263" s="183" t="s">
        <v>872</v>
      </c>
      <c r="O263" s="183">
        <v>0</v>
      </c>
      <c r="P263" s="183">
        <v>0</v>
      </c>
      <c r="Q263" s="183"/>
      <c r="R263" s="183"/>
      <c r="S263" s="183"/>
      <c r="T263" s="183"/>
      <c r="U263" s="183"/>
      <c r="V263" s="183">
        <v>0</v>
      </c>
      <c r="W263" s="183">
        <v>0</v>
      </c>
      <c r="X263" s="183">
        <v>0</v>
      </c>
      <c r="Y263" s="184">
        <v>6.4</v>
      </c>
      <c r="Z263" s="184">
        <v>12.02</v>
      </c>
      <c r="AA263" s="184">
        <v>0</v>
      </c>
      <c r="AB263" s="185" t="s">
        <v>615</v>
      </c>
      <c r="AC263" s="185" t="s">
        <v>615</v>
      </c>
      <c r="AD263" s="186" t="s">
        <v>872</v>
      </c>
      <c r="AE263" s="186" t="s">
        <v>852</v>
      </c>
      <c r="AF263" s="187">
        <v>7</v>
      </c>
      <c r="AG263" s="187">
        <v>3</v>
      </c>
      <c r="AH263" s="187">
        <v>4</v>
      </c>
      <c r="AI263" s="188">
        <v>1</v>
      </c>
      <c r="AJ263" s="188" t="s">
        <v>615</v>
      </c>
      <c r="AK263" s="187" t="s">
        <v>1741</v>
      </c>
      <c r="AL263" s="87" t="s">
        <v>615</v>
      </c>
      <c r="AM263" s="189"/>
      <c r="AN263" s="187" t="s">
        <v>615</v>
      </c>
      <c r="AO263" s="13" t="s">
        <v>615</v>
      </c>
      <c r="AP263" s="187">
        <v>0</v>
      </c>
      <c r="AQ263" s="187">
        <v>0</v>
      </c>
      <c r="AR263" s="190">
        <v>0</v>
      </c>
      <c r="AS263" s="190">
        <v>0</v>
      </c>
      <c r="AT263" s="190">
        <v>0</v>
      </c>
      <c r="AU263" s="187">
        <v>0</v>
      </c>
      <c r="AV263" s="187">
        <v>0</v>
      </c>
      <c r="AW263" s="191"/>
      <c r="AX263" s="192"/>
      <c r="AY263" s="193"/>
      <c r="AZ263" s="193"/>
      <c r="BA263" s="193"/>
      <c r="BB263" s="194"/>
      <c r="BC263" s="194"/>
      <c r="BD263" s="195"/>
      <c r="BE263" s="195" t="s">
        <v>532</v>
      </c>
      <c r="BF263" s="195"/>
      <c r="BG263" s="195">
        <v>20</v>
      </c>
      <c r="BH263" s="196" t="s">
        <v>547</v>
      </c>
      <c r="BI263" s="197">
        <v>1</v>
      </c>
      <c r="BJ263" s="198"/>
      <c r="BK263" s="199">
        <v>0</v>
      </c>
      <c r="BL263" s="13">
        <v>0</v>
      </c>
      <c r="BM263" s="13">
        <v>0</v>
      </c>
      <c r="BN263" s="13" t="s">
        <v>616</v>
      </c>
      <c r="BO263" s="13" t="s">
        <v>616</v>
      </c>
      <c r="BP263" s="200">
        <v>20</v>
      </c>
      <c r="BQ263" s="201"/>
      <c r="BR263" s="202"/>
      <c r="BS263" s="187">
        <v>1000000000</v>
      </c>
      <c r="BT263" s="203">
        <v>38</v>
      </c>
      <c r="BU263" s="204">
        <v>0</v>
      </c>
      <c r="BV263" s="203">
        <v>0</v>
      </c>
      <c r="BW263" s="205">
        <v>0</v>
      </c>
      <c r="BX263" s="205">
        <v>0</v>
      </c>
      <c r="BY263" s="205">
        <v>0</v>
      </c>
      <c r="BZ263" s="203">
        <v>0</v>
      </c>
      <c r="CA263" s="203">
        <v>0</v>
      </c>
      <c r="CB263" s="203">
        <v>38</v>
      </c>
      <c r="CC263" s="204">
        <v>0</v>
      </c>
      <c r="CD263" s="203">
        <v>0</v>
      </c>
      <c r="CE263" s="203">
        <v>0</v>
      </c>
      <c r="CF263" s="13">
        <v>0</v>
      </c>
      <c r="CG263" s="206">
        <v>0</v>
      </c>
      <c r="CH263" s="207">
        <v>0</v>
      </c>
      <c r="CI263" s="201"/>
      <c r="CJ263" s="208"/>
      <c r="CK263" s="209" t="s">
        <v>615</v>
      </c>
      <c r="CL263" s="210" t="s">
        <v>615</v>
      </c>
      <c r="CM263" s="207">
        <v>0</v>
      </c>
      <c r="CN263" s="207">
        <v>0</v>
      </c>
      <c r="CO263" s="204">
        <v>0</v>
      </c>
      <c r="CP263" s="204">
        <v>0</v>
      </c>
      <c r="CQ263" s="211"/>
      <c r="CR263" s="204">
        <v>1</v>
      </c>
      <c r="CS263" s="212">
        <v>42766</v>
      </c>
      <c r="CT263" s="212">
        <v>42780</v>
      </c>
      <c r="CU263" s="213">
        <v>42780</v>
      </c>
      <c r="CV263" s="214">
        <v>42829</v>
      </c>
      <c r="CW263" s="214" t="s">
        <v>615</v>
      </c>
      <c r="CX263" s="214" t="s">
        <v>615</v>
      </c>
      <c r="CY263" s="204">
        <v>0</v>
      </c>
      <c r="CZ263" s="204">
        <v>0.97959183673469385</v>
      </c>
      <c r="DA263" s="203">
        <v>0</v>
      </c>
      <c r="DB263" s="204">
        <v>0</v>
      </c>
      <c r="DC263" s="204">
        <v>0</v>
      </c>
      <c r="DD263" s="204">
        <v>0</v>
      </c>
      <c r="DE263" s="204">
        <v>0</v>
      </c>
      <c r="DF263" s="215">
        <v>0.97959183673469385</v>
      </c>
      <c r="DG263" s="13" t="s">
        <v>615</v>
      </c>
      <c r="DH263" s="86">
        <v>261</v>
      </c>
      <c r="DI263" s="86"/>
      <c r="DJ263" s="86">
        <v>140</v>
      </c>
      <c r="DK263" s="86" t="s">
        <v>1500</v>
      </c>
      <c r="DL263" s="86" t="e">
        <v>#N/A</v>
      </c>
      <c r="DM263" s="86">
        <v>62</v>
      </c>
      <c r="DN263" s="86" t="e">
        <v>#N/A</v>
      </c>
      <c r="DO263" s="86">
        <v>147</v>
      </c>
      <c r="DP263" s="86">
        <v>2</v>
      </c>
      <c r="DQ263" s="86">
        <v>49</v>
      </c>
      <c r="DR263" s="151"/>
      <c r="DS263" s="152"/>
      <c r="DT263" s="151"/>
      <c r="DU263" s="151"/>
      <c r="DV263" s="151"/>
      <c r="DW263" s="151"/>
      <c r="DX263" s="151"/>
      <c r="DY263" s="152"/>
      <c r="DZ263" s="151"/>
      <c r="EA263" s="151"/>
      <c r="EB263" s="151"/>
      <c r="EC263" s="151"/>
      <c r="ED263" s="151"/>
      <c r="EE263" s="151"/>
      <c r="EF263" s="226"/>
      <c r="EG263" s="226"/>
      <c r="EH263" s="151"/>
      <c r="EI263" s="151"/>
      <c r="EJ263" s="151"/>
      <c r="EK263" s="151"/>
      <c r="EL263" s="151"/>
      <c r="EM263" s="226"/>
      <c r="EN263" s="151"/>
      <c r="EO263" s="151"/>
      <c r="EP263" s="151"/>
      <c r="EQ263" s="151"/>
      <c r="ER263" s="226"/>
      <c r="ES263" s="226"/>
      <c r="ET263" s="151"/>
      <c r="EU263" s="151"/>
      <c r="EV263" s="151"/>
      <c r="EW263" s="151"/>
      <c r="EX263" s="151"/>
      <c r="EY263" s="226"/>
      <c r="EZ263" s="151"/>
      <c r="FA263" s="151"/>
      <c r="FB263" s="151"/>
      <c r="FC263" s="151"/>
      <c r="FD263" s="151"/>
      <c r="FE263" s="226"/>
      <c r="FF263" s="151"/>
      <c r="FG263" s="151"/>
      <c r="FH263" s="151"/>
      <c r="FI263" s="226"/>
      <c r="FJ263" s="226"/>
      <c r="FK263" s="151"/>
      <c r="FL263" s="151"/>
      <c r="FM263" s="167">
        <v>38</v>
      </c>
      <c r="FN263" s="167">
        <v>38</v>
      </c>
      <c r="FO263" s="161">
        <v>38</v>
      </c>
      <c r="FP263" s="161">
        <v>38</v>
      </c>
      <c r="FQ263" s="161">
        <v>38</v>
      </c>
      <c r="FR263" s="161">
        <v>38</v>
      </c>
      <c r="FS263" s="161">
        <v>38</v>
      </c>
      <c r="FT263" s="161">
        <v>38</v>
      </c>
      <c r="FU263" s="161">
        <v>38</v>
      </c>
      <c r="FV263" s="161">
        <v>38</v>
      </c>
      <c r="FW263" s="161">
        <v>38</v>
      </c>
      <c r="FX263" s="161">
        <v>38</v>
      </c>
      <c r="FY263" s="161">
        <v>38</v>
      </c>
      <c r="FZ263" s="161">
        <v>38</v>
      </c>
      <c r="GA263" s="161">
        <v>38</v>
      </c>
      <c r="GB263" s="161">
        <v>38</v>
      </c>
      <c r="GC263" s="161">
        <v>38</v>
      </c>
      <c r="GD263" s="161">
        <v>38</v>
      </c>
      <c r="GE263" s="161">
        <v>38</v>
      </c>
      <c r="GF263" s="161">
        <v>38</v>
      </c>
      <c r="GG263" s="161">
        <v>38</v>
      </c>
      <c r="GH263" s="161">
        <v>38</v>
      </c>
      <c r="GI263" s="161">
        <v>38</v>
      </c>
      <c r="GJ263" s="161">
        <v>38</v>
      </c>
      <c r="GK263" s="161">
        <v>38</v>
      </c>
      <c r="GL263" s="161">
        <v>38</v>
      </c>
      <c r="GM263" s="161">
        <v>38</v>
      </c>
      <c r="GN263" s="161">
        <v>38</v>
      </c>
      <c r="GO263" s="161">
        <v>38</v>
      </c>
      <c r="GP263" s="161">
        <v>38</v>
      </c>
      <c r="GQ263" s="161">
        <v>38</v>
      </c>
      <c r="GR263" s="161">
        <v>38</v>
      </c>
      <c r="GS263" s="161">
        <v>38</v>
      </c>
      <c r="GT263" s="161">
        <v>38</v>
      </c>
      <c r="GU263" s="161">
        <v>38</v>
      </c>
      <c r="GV263" s="161">
        <v>38</v>
      </c>
      <c r="GW263" s="161">
        <v>38</v>
      </c>
      <c r="GX263" s="161">
        <v>38</v>
      </c>
      <c r="GY263" s="161">
        <v>38</v>
      </c>
      <c r="GZ263" s="161">
        <v>38</v>
      </c>
      <c r="HA263" s="161">
        <v>38</v>
      </c>
      <c r="HB263" s="161">
        <v>38</v>
      </c>
      <c r="HC263" s="161">
        <v>38</v>
      </c>
      <c r="HD263" s="161">
        <v>38</v>
      </c>
      <c r="HE263" s="161">
        <v>38</v>
      </c>
      <c r="HF263" s="161">
        <v>38</v>
      </c>
      <c r="HG263" s="161">
        <v>38</v>
      </c>
      <c r="HH263" s="161">
        <v>38</v>
      </c>
      <c r="HI263" s="146">
        <v>38</v>
      </c>
      <c r="HJ263" s="146">
        <v>38</v>
      </c>
      <c r="HK263" s="146">
        <v>38</v>
      </c>
      <c r="HL263" s="146">
        <v>38</v>
      </c>
      <c r="HM263" s="146">
        <v>38</v>
      </c>
      <c r="HN263" s="146">
        <v>38</v>
      </c>
      <c r="HO263" s="146">
        <v>38</v>
      </c>
      <c r="HP263" s="146">
        <v>38</v>
      </c>
      <c r="HQ263" s="146">
        <v>38</v>
      </c>
      <c r="HR263" s="146">
        <v>38</v>
      </c>
      <c r="HS263" s="146">
        <v>38</v>
      </c>
      <c r="HT263" s="146">
        <v>38</v>
      </c>
      <c r="HU263" s="151"/>
      <c r="HV263" s="146">
        <v>38</v>
      </c>
      <c r="HW263" s="151"/>
      <c r="HX263" s="151"/>
      <c r="HY263" s="151"/>
      <c r="HZ263" s="151"/>
      <c r="IA263" s="151"/>
      <c r="IB263" s="151"/>
      <c r="IC263" s="151"/>
      <c r="ID263" s="151"/>
      <c r="IE263" s="151"/>
      <c r="IF263" s="151"/>
      <c r="IG263" s="151"/>
      <c r="IH263" s="151"/>
      <c r="II263" s="151"/>
      <c r="IJ263" s="151"/>
      <c r="IK263" s="151"/>
      <c r="IL263" s="151"/>
      <c r="IM263" s="151"/>
      <c r="IN263" s="151"/>
      <c r="IO263" s="151"/>
      <c r="IP263" s="151"/>
      <c r="IQ263" s="151"/>
      <c r="IR263" s="151"/>
      <c r="IS263" s="151"/>
      <c r="IT263" s="151"/>
      <c r="IU263" s="151"/>
      <c r="IV263" s="151"/>
      <c r="IW263" s="151"/>
      <c r="IX263" s="151"/>
      <c r="IY263" s="151"/>
      <c r="IZ263" s="151"/>
      <c r="JA263" s="151"/>
      <c r="JB263" s="151"/>
      <c r="JC263" s="151"/>
      <c r="JD263" s="151"/>
      <c r="JE263" s="151"/>
      <c r="JF263" s="151"/>
      <c r="JG263" s="151"/>
      <c r="JH263" s="151"/>
      <c r="JI263" s="151"/>
      <c r="JJ263" s="151"/>
      <c r="JK263" s="151"/>
      <c r="JL263" s="151"/>
      <c r="JM263" s="151"/>
      <c r="JN263" s="151"/>
      <c r="JO263" s="151"/>
      <c r="JP263" s="151"/>
      <c r="JQ263" s="151"/>
      <c r="JR263" s="151"/>
      <c r="JS263" s="151"/>
      <c r="JT263" s="151"/>
      <c r="JU263" s="151"/>
      <c r="JV263" s="151"/>
      <c r="JW263" s="151"/>
      <c r="JX263" s="151"/>
      <c r="JY263" s="151"/>
      <c r="JZ263" s="151"/>
      <c r="KA263" s="151"/>
      <c r="KB263" s="151"/>
      <c r="KC263" s="151"/>
      <c r="KD263" s="151"/>
      <c r="KE263" s="151"/>
      <c r="KF263" s="151"/>
      <c r="KG263" s="151"/>
      <c r="KH263" s="151"/>
      <c r="KI263" s="151"/>
      <c r="KJ263" s="151"/>
      <c r="KK263" s="151"/>
      <c r="KL263" s="151"/>
      <c r="KM263" s="151"/>
      <c r="KN263" s="151"/>
      <c r="KO263" s="151"/>
      <c r="KP263" s="151"/>
      <c r="KQ263" s="151"/>
      <c r="KR263" s="151"/>
      <c r="KS263" s="151"/>
      <c r="KT263" s="151"/>
      <c r="KU263" s="151"/>
      <c r="KV263" s="151"/>
      <c r="KW263" s="151"/>
      <c r="KX263" s="151"/>
      <c r="KY263" s="151"/>
      <c r="KZ263" s="151"/>
      <c r="LA263" s="151"/>
      <c r="LB263" s="151"/>
      <c r="LC263" s="151"/>
      <c r="LD263" s="151"/>
      <c r="LE263" s="151"/>
    </row>
    <row r="264" spans="1:317" x14ac:dyDescent="0.2">
      <c r="A264" s="179" t="s">
        <v>849</v>
      </c>
      <c r="B264" s="180" t="s">
        <v>1163</v>
      </c>
      <c r="C264" s="181"/>
      <c r="D264" s="182">
        <v>0</v>
      </c>
      <c r="E264" s="182">
        <v>0</v>
      </c>
      <c r="F264" s="183" t="s">
        <v>1340</v>
      </c>
      <c r="G264" s="183">
        <v>0</v>
      </c>
      <c r="H264" s="183">
        <v>0</v>
      </c>
      <c r="I264" s="183">
        <v>0</v>
      </c>
      <c r="J264" s="183">
        <v>0</v>
      </c>
      <c r="K264" s="183" t="s">
        <v>1401</v>
      </c>
      <c r="L264" s="183">
        <v>0</v>
      </c>
      <c r="M264" s="183">
        <v>0</v>
      </c>
      <c r="N264" s="183" t="s">
        <v>872</v>
      </c>
      <c r="O264" s="183">
        <v>0</v>
      </c>
      <c r="P264" s="183">
        <v>0</v>
      </c>
      <c r="Q264" s="183"/>
      <c r="R264" s="183"/>
      <c r="S264" s="183"/>
      <c r="T264" s="183"/>
      <c r="U264" s="183"/>
      <c r="V264" s="183">
        <v>0</v>
      </c>
      <c r="W264" s="183">
        <v>0</v>
      </c>
      <c r="X264" s="183">
        <v>0</v>
      </c>
      <c r="Y264" s="184">
        <v>0</v>
      </c>
      <c r="Z264" s="184">
        <v>0</v>
      </c>
      <c r="AA264" s="184">
        <v>0</v>
      </c>
      <c r="AB264" s="185" t="s">
        <v>615</v>
      </c>
      <c r="AC264" s="185" t="s">
        <v>615</v>
      </c>
      <c r="AD264" s="186" t="s">
        <v>872</v>
      </c>
      <c r="AE264" s="186" t="s">
        <v>852</v>
      </c>
      <c r="AF264" s="187">
        <v>7</v>
      </c>
      <c r="AG264" s="187">
        <v>3</v>
      </c>
      <c r="AH264" s="187">
        <v>4</v>
      </c>
      <c r="AI264" s="188">
        <v>1</v>
      </c>
      <c r="AJ264" s="188" t="s">
        <v>615</v>
      </c>
      <c r="AK264" s="187" t="s">
        <v>1741</v>
      </c>
      <c r="AL264" s="87" t="s">
        <v>615</v>
      </c>
      <c r="AM264" s="189"/>
      <c r="AN264" s="187" t="s">
        <v>615</v>
      </c>
      <c r="AO264" s="13" t="s">
        <v>615</v>
      </c>
      <c r="AP264" s="187">
        <v>0</v>
      </c>
      <c r="AQ264" s="187">
        <v>0</v>
      </c>
      <c r="AR264" s="190">
        <v>0</v>
      </c>
      <c r="AS264" s="190">
        <v>0</v>
      </c>
      <c r="AT264" s="190">
        <v>0</v>
      </c>
      <c r="AU264" s="187">
        <v>0</v>
      </c>
      <c r="AV264" s="187">
        <v>0</v>
      </c>
      <c r="AW264" s="191"/>
      <c r="AX264" s="192"/>
      <c r="AY264" s="193"/>
      <c r="AZ264" s="193"/>
      <c r="BA264" s="193"/>
      <c r="BB264" s="194"/>
      <c r="BC264" s="194"/>
      <c r="BD264" s="195"/>
      <c r="BE264" s="195" t="s">
        <v>532</v>
      </c>
      <c r="BF264" s="195"/>
      <c r="BG264" s="195">
        <v>20</v>
      </c>
      <c r="BH264" s="196" t="s">
        <v>547</v>
      </c>
      <c r="BI264" s="197">
        <v>1</v>
      </c>
      <c r="BJ264" s="198"/>
      <c r="BK264" s="199">
        <v>0</v>
      </c>
      <c r="BL264" s="13">
        <v>0</v>
      </c>
      <c r="BM264" s="13">
        <v>0</v>
      </c>
      <c r="BN264" s="13" t="s">
        <v>616</v>
      </c>
      <c r="BO264" s="13" t="s">
        <v>616</v>
      </c>
      <c r="BP264" s="200">
        <v>20</v>
      </c>
      <c r="BQ264" s="201"/>
      <c r="BR264" s="202"/>
      <c r="BS264" s="187">
        <v>1000000000</v>
      </c>
      <c r="BT264" s="203">
        <v>0</v>
      </c>
      <c r="BU264" s="204">
        <v>0</v>
      </c>
      <c r="BV264" s="203">
        <v>20</v>
      </c>
      <c r="BW264" s="205">
        <v>0</v>
      </c>
      <c r="BX264" s="205">
        <v>0</v>
      </c>
      <c r="BY264" s="205">
        <v>0</v>
      </c>
      <c r="BZ264" s="203">
        <v>0</v>
      </c>
      <c r="CA264" s="203">
        <v>0</v>
      </c>
      <c r="CB264" s="203">
        <v>20</v>
      </c>
      <c r="CC264" s="204">
        <v>0</v>
      </c>
      <c r="CD264" s="203">
        <v>0</v>
      </c>
      <c r="CE264" s="203">
        <v>0</v>
      </c>
      <c r="CF264" s="13">
        <v>0</v>
      </c>
      <c r="CG264" s="206">
        <v>0</v>
      </c>
      <c r="CH264" s="207">
        <v>0</v>
      </c>
      <c r="CI264" s="201"/>
      <c r="CJ264" s="208"/>
      <c r="CK264" s="209" t="s">
        <v>615</v>
      </c>
      <c r="CL264" s="210" t="s">
        <v>615</v>
      </c>
      <c r="CM264" s="207">
        <v>0</v>
      </c>
      <c r="CN264" s="207">
        <v>0</v>
      </c>
      <c r="CO264" s="204">
        <v>0</v>
      </c>
      <c r="CP264" s="204">
        <v>0</v>
      </c>
      <c r="CQ264" s="211"/>
      <c r="CR264" s="204">
        <v>1</v>
      </c>
      <c r="CS264" s="212">
        <v>42766</v>
      </c>
      <c r="CT264" s="212">
        <v>42780</v>
      </c>
      <c r="CU264" s="213">
        <v>42780</v>
      </c>
      <c r="CV264" s="214">
        <v>42829</v>
      </c>
      <c r="CW264" s="214" t="s">
        <v>615</v>
      </c>
      <c r="CX264" s="214" t="s">
        <v>615</v>
      </c>
      <c r="CY264" s="204">
        <v>1</v>
      </c>
      <c r="CZ264" s="204">
        <v>0.97959183673469385</v>
      </c>
      <c r="DA264" s="203">
        <v>0</v>
      </c>
      <c r="DB264" s="204">
        <v>0.97959183673469385</v>
      </c>
      <c r="DC264" s="204">
        <v>0</v>
      </c>
      <c r="DD264" s="204">
        <v>0</v>
      </c>
      <c r="DE264" s="204">
        <v>0</v>
      </c>
      <c r="DF264" s="215">
        <v>0</v>
      </c>
      <c r="DG264" s="13" t="s">
        <v>615</v>
      </c>
      <c r="DH264" s="86">
        <v>262</v>
      </c>
      <c r="DI264" s="86"/>
      <c r="DJ264" s="86">
        <v>141</v>
      </c>
      <c r="DK264" s="86" t="s">
        <v>1608</v>
      </c>
      <c r="DL264" s="86" t="e">
        <v>#N/A</v>
      </c>
      <c r="DM264" s="86" t="e">
        <v>#N/A</v>
      </c>
      <c r="DN264" s="86" t="e">
        <v>#N/A</v>
      </c>
      <c r="DO264" s="86">
        <v>148</v>
      </c>
      <c r="DP264" s="86">
        <v>2</v>
      </c>
      <c r="DQ264" s="86">
        <v>49</v>
      </c>
      <c r="DR264" s="216"/>
      <c r="DS264" s="152"/>
      <c r="DT264" s="216"/>
      <c r="DU264" s="216"/>
      <c r="DV264" s="216"/>
      <c r="DW264" s="216"/>
      <c r="DX264" s="216"/>
      <c r="DY264" s="152"/>
      <c r="DZ264" s="216"/>
      <c r="EA264" s="216"/>
      <c r="EB264" s="216"/>
      <c r="EC264" s="216"/>
      <c r="ED264" s="216"/>
      <c r="EE264" s="216"/>
      <c r="EF264" s="225"/>
      <c r="EG264" s="225"/>
      <c r="EH264" s="216"/>
      <c r="EI264" s="216"/>
      <c r="EJ264" s="216"/>
      <c r="EK264" s="216"/>
      <c r="EL264" s="216"/>
      <c r="EM264" s="225"/>
      <c r="EN264" s="216"/>
      <c r="EO264" s="216"/>
      <c r="EP264" s="216"/>
      <c r="EQ264" s="216"/>
      <c r="ER264" s="225"/>
      <c r="ES264" s="225"/>
      <c r="ET264" s="216"/>
      <c r="EU264" s="216"/>
      <c r="EV264" s="216"/>
      <c r="EW264" s="216"/>
      <c r="EX264" s="216"/>
      <c r="EY264" s="225"/>
      <c r="EZ264" s="216"/>
      <c r="FA264" s="216"/>
      <c r="FB264" s="216"/>
      <c r="FC264" s="216"/>
      <c r="FD264" s="216"/>
      <c r="FE264" s="225"/>
      <c r="FF264" s="216"/>
      <c r="FG264" s="216"/>
      <c r="FH264" s="216"/>
      <c r="FI264" s="225"/>
      <c r="FJ264" s="225"/>
      <c r="FK264" s="216"/>
      <c r="FL264" s="216"/>
      <c r="FM264" s="166">
        <v>0</v>
      </c>
      <c r="FN264" s="166">
        <v>0</v>
      </c>
      <c r="FO264" s="166">
        <v>0</v>
      </c>
      <c r="FP264" s="166">
        <v>0</v>
      </c>
      <c r="FQ264" s="166">
        <v>0</v>
      </c>
      <c r="FR264" s="166">
        <v>0</v>
      </c>
      <c r="FS264" s="166">
        <v>0</v>
      </c>
      <c r="FT264" s="166">
        <v>0</v>
      </c>
      <c r="FU264" s="166">
        <v>0</v>
      </c>
      <c r="FV264" s="166">
        <v>0</v>
      </c>
      <c r="FW264" s="166">
        <v>0</v>
      </c>
      <c r="FX264" s="166">
        <v>0</v>
      </c>
      <c r="FY264" s="166">
        <v>0</v>
      </c>
      <c r="FZ264" s="166">
        <v>0</v>
      </c>
      <c r="GA264" s="166">
        <v>0</v>
      </c>
      <c r="GB264" s="166">
        <v>0</v>
      </c>
      <c r="GC264" s="166">
        <v>0</v>
      </c>
      <c r="GD264" s="166">
        <v>0</v>
      </c>
      <c r="GE264" s="166">
        <v>0</v>
      </c>
      <c r="GF264" s="166">
        <v>0</v>
      </c>
      <c r="GG264" s="166">
        <v>0</v>
      </c>
      <c r="GH264" s="166">
        <v>0</v>
      </c>
      <c r="GI264" s="166">
        <v>0</v>
      </c>
      <c r="GJ264" s="166">
        <v>0</v>
      </c>
      <c r="GK264" s="166">
        <v>0</v>
      </c>
      <c r="GL264" s="166">
        <v>0</v>
      </c>
      <c r="GM264" s="166">
        <v>0</v>
      </c>
      <c r="GN264" s="166">
        <v>0</v>
      </c>
      <c r="GO264" s="166">
        <v>0</v>
      </c>
      <c r="GP264" s="166">
        <v>0</v>
      </c>
      <c r="GQ264" s="166">
        <v>0</v>
      </c>
      <c r="GR264" s="166">
        <v>0</v>
      </c>
      <c r="GS264" s="166">
        <v>0</v>
      </c>
      <c r="GT264" s="166">
        <v>0</v>
      </c>
      <c r="GU264" s="166">
        <v>0</v>
      </c>
      <c r="GV264" s="166">
        <v>0</v>
      </c>
      <c r="GW264" s="166">
        <v>0</v>
      </c>
      <c r="GX264" s="166">
        <v>0</v>
      </c>
      <c r="GY264" s="166">
        <v>0</v>
      </c>
      <c r="GZ264" s="166">
        <v>0</v>
      </c>
      <c r="HA264" s="166">
        <v>0</v>
      </c>
      <c r="HB264" s="166">
        <v>0</v>
      </c>
      <c r="HC264" s="166">
        <v>0</v>
      </c>
      <c r="HD264" s="166">
        <v>0</v>
      </c>
      <c r="HE264" s="166">
        <v>0</v>
      </c>
      <c r="HF264" s="166">
        <v>0</v>
      </c>
      <c r="HG264" s="166">
        <v>0</v>
      </c>
      <c r="HH264" s="152">
        <v>0</v>
      </c>
      <c r="HI264" s="152">
        <v>0</v>
      </c>
      <c r="HJ264" s="152">
        <v>0</v>
      </c>
      <c r="HK264" s="152">
        <v>0</v>
      </c>
      <c r="HL264" s="152">
        <v>0</v>
      </c>
      <c r="HM264" s="152">
        <v>0</v>
      </c>
      <c r="HN264" s="152">
        <v>0</v>
      </c>
      <c r="HO264" s="152">
        <v>0</v>
      </c>
      <c r="HP264" s="152">
        <v>0</v>
      </c>
      <c r="HQ264" s="152">
        <v>0</v>
      </c>
      <c r="HR264" s="152">
        <v>0</v>
      </c>
      <c r="HS264" s="152">
        <v>0</v>
      </c>
      <c r="HT264" s="152">
        <v>0</v>
      </c>
      <c r="HU264" s="216"/>
      <c r="HV264" s="152">
        <v>0</v>
      </c>
      <c r="HW264" s="216"/>
      <c r="HX264" s="216"/>
      <c r="HY264" s="216"/>
      <c r="HZ264" s="216"/>
      <c r="IA264" s="216"/>
      <c r="IB264" s="216"/>
      <c r="IC264" s="216"/>
      <c r="ID264" s="216"/>
      <c r="IE264" s="216"/>
      <c r="IF264" s="216"/>
      <c r="IG264" s="216"/>
      <c r="IH264" s="216"/>
      <c r="II264" s="216"/>
      <c r="IJ264" s="216"/>
      <c r="IK264" s="216"/>
      <c r="IL264" s="216"/>
      <c r="IM264" s="216"/>
      <c r="IN264" s="216"/>
      <c r="IO264" s="216"/>
      <c r="IP264" s="216"/>
      <c r="IQ264" s="216"/>
      <c r="IR264" s="216"/>
      <c r="IS264" s="216"/>
      <c r="IT264" s="216"/>
      <c r="IU264" s="216"/>
      <c r="IV264" s="216"/>
      <c r="IW264" s="216"/>
      <c r="IX264" s="216"/>
      <c r="IY264" s="216"/>
      <c r="IZ264" s="216"/>
      <c r="JA264" s="216"/>
      <c r="JB264" s="216"/>
      <c r="JC264" s="216"/>
      <c r="JD264" s="216"/>
      <c r="JE264" s="216"/>
      <c r="JF264" s="216"/>
      <c r="JG264" s="216"/>
      <c r="JH264" s="216"/>
      <c r="JI264" s="216"/>
      <c r="JJ264" s="216"/>
      <c r="JK264" s="216"/>
      <c r="JL264" s="216"/>
      <c r="JM264" s="216"/>
      <c r="JN264" s="216"/>
      <c r="JO264" s="216"/>
      <c r="JP264" s="216"/>
      <c r="JQ264" s="216"/>
      <c r="JR264" s="216"/>
      <c r="JS264" s="216"/>
      <c r="JT264" s="216"/>
      <c r="JU264" s="216"/>
      <c r="JV264" s="216"/>
      <c r="JW264" s="216"/>
      <c r="JX264" s="216"/>
      <c r="JY264" s="216"/>
      <c r="JZ264" s="216"/>
      <c r="KA264" s="216"/>
      <c r="KB264" s="216"/>
      <c r="KC264" s="216"/>
      <c r="KD264" s="216"/>
      <c r="KE264" s="216"/>
      <c r="KF264" s="216"/>
      <c r="KG264" s="216"/>
      <c r="KH264" s="216"/>
      <c r="KI264" s="216"/>
      <c r="KJ264" s="216"/>
      <c r="KK264" s="216"/>
      <c r="KL264" s="216"/>
      <c r="KM264" s="216"/>
      <c r="KN264" s="216"/>
      <c r="KO264" s="216"/>
      <c r="KP264" s="216"/>
      <c r="KQ264" s="216"/>
      <c r="KR264" s="216"/>
      <c r="KS264" s="216"/>
      <c r="KT264" s="216"/>
      <c r="KU264" s="216"/>
      <c r="KV264" s="216"/>
      <c r="KW264" s="216"/>
      <c r="KX264" s="216"/>
      <c r="KY264" s="216"/>
      <c r="KZ264" s="216"/>
      <c r="LA264" s="216"/>
      <c r="LB264" s="216"/>
      <c r="LC264" s="216"/>
      <c r="LD264" s="216"/>
      <c r="LE264" s="216"/>
    </row>
    <row r="265" spans="1:317" x14ac:dyDescent="0.2">
      <c r="A265" s="179" t="s">
        <v>849</v>
      </c>
      <c r="B265" s="180" t="s">
        <v>1164</v>
      </c>
      <c r="C265" s="181"/>
      <c r="D265" s="182">
        <v>0</v>
      </c>
      <c r="E265" s="182">
        <v>0</v>
      </c>
      <c r="F265" s="183" t="s">
        <v>1340</v>
      </c>
      <c r="G265" s="183">
        <v>0</v>
      </c>
      <c r="H265" s="183">
        <v>0</v>
      </c>
      <c r="I265" s="183">
        <v>0</v>
      </c>
      <c r="J265" s="183">
        <v>0</v>
      </c>
      <c r="K265" s="183" t="s">
        <v>1401</v>
      </c>
      <c r="L265" s="183">
        <v>0</v>
      </c>
      <c r="M265" s="183">
        <v>0</v>
      </c>
      <c r="N265" s="183" t="s">
        <v>872</v>
      </c>
      <c r="O265" s="183">
        <v>0</v>
      </c>
      <c r="P265" s="183">
        <v>0</v>
      </c>
      <c r="Q265" s="183"/>
      <c r="R265" s="183"/>
      <c r="S265" s="183"/>
      <c r="T265" s="183"/>
      <c r="U265" s="183"/>
      <c r="V265" s="183">
        <v>0</v>
      </c>
      <c r="W265" s="183">
        <v>0</v>
      </c>
      <c r="X265" s="183">
        <v>0</v>
      </c>
      <c r="Y265" s="184">
        <v>0</v>
      </c>
      <c r="Z265" s="184">
        <v>0</v>
      </c>
      <c r="AA265" s="184">
        <v>0</v>
      </c>
      <c r="AB265" s="185" t="s">
        <v>615</v>
      </c>
      <c r="AC265" s="185" t="s">
        <v>615</v>
      </c>
      <c r="AD265" s="186" t="s">
        <v>872</v>
      </c>
      <c r="AE265" s="186" t="s">
        <v>852</v>
      </c>
      <c r="AF265" s="187">
        <v>7</v>
      </c>
      <c r="AG265" s="187">
        <v>3</v>
      </c>
      <c r="AH265" s="187">
        <v>4</v>
      </c>
      <c r="AI265" s="188">
        <v>1</v>
      </c>
      <c r="AJ265" s="188" t="s">
        <v>615</v>
      </c>
      <c r="AK265" s="187" t="s">
        <v>1741</v>
      </c>
      <c r="AL265" s="87" t="s">
        <v>615</v>
      </c>
      <c r="AM265" s="189"/>
      <c r="AN265" s="187" t="s">
        <v>615</v>
      </c>
      <c r="AO265" s="13" t="s">
        <v>615</v>
      </c>
      <c r="AP265" s="187">
        <v>0</v>
      </c>
      <c r="AQ265" s="187">
        <v>0</v>
      </c>
      <c r="AR265" s="190">
        <v>0</v>
      </c>
      <c r="AS265" s="190">
        <v>0</v>
      </c>
      <c r="AT265" s="190">
        <v>0</v>
      </c>
      <c r="AU265" s="187">
        <v>0</v>
      </c>
      <c r="AV265" s="187">
        <v>0</v>
      </c>
      <c r="AW265" s="191"/>
      <c r="AX265" s="192"/>
      <c r="AY265" s="193"/>
      <c r="AZ265" s="193"/>
      <c r="BA265" s="193"/>
      <c r="BB265" s="194"/>
      <c r="BC265" s="194"/>
      <c r="BD265" s="195"/>
      <c r="BE265" s="195" t="s">
        <v>532</v>
      </c>
      <c r="BF265" s="195"/>
      <c r="BG265" s="195">
        <v>20</v>
      </c>
      <c r="BH265" s="196" t="s">
        <v>547</v>
      </c>
      <c r="BI265" s="197">
        <v>1</v>
      </c>
      <c r="BJ265" s="198"/>
      <c r="BK265" s="199">
        <v>0</v>
      </c>
      <c r="BL265" s="13">
        <v>0</v>
      </c>
      <c r="BM265" s="13">
        <v>0</v>
      </c>
      <c r="BN265" s="13" t="s">
        <v>616</v>
      </c>
      <c r="BO265" s="13" t="s">
        <v>616</v>
      </c>
      <c r="BP265" s="200">
        <v>20</v>
      </c>
      <c r="BQ265" s="201"/>
      <c r="BR265" s="202"/>
      <c r="BS265" s="187">
        <v>1000000000</v>
      </c>
      <c r="BT265" s="203">
        <v>0</v>
      </c>
      <c r="BU265" s="204">
        <v>0</v>
      </c>
      <c r="BV265" s="203">
        <v>20</v>
      </c>
      <c r="BW265" s="205">
        <v>0</v>
      </c>
      <c r="BX265" s="205">
        <v>0</v>
      </c>
      <c r="BY265" s="205">
        <v>0</v>
      </c>
      <c r="BZ265" s="203">
        <v>0</v>
      </c>
      <c r="CA265" s="203">
        <v>0</v>
      </c>
      <c r="CB265" s="203">
        <v>20</v>
      </c>
      <c r="CC265" s="204">
        <v>0</v>
      </c>
      <c r="CD265" s="203">
        <v>0</v>
      </c>
      <c r="CE265" s="203">
        <v>0</v>
      </c>
      <c r="CF265" s="13">
        <v>0</v>
      </c>
      <c r="CG265" s="206">
        <v>0</v>
      </c>
      <c r="CH265" s="207">
        <v>0</v>
      </c>
      <c r="CI265" s="201"/>
      <c r="CJ265" s="208"/>
      <c r="CK265" s="209" t="s">
        <v>615</v>
      </c>
      <c r="CL265" s="210" t="s">
        <v>615</v>
      </c>
      <c r="CM265" s="207">
        <v>0</v>
      </c>
      <c r="CN265" s="207">
        <v>0</v>
      </c>
      <c r="CO265" s="204">
        <v>0</v>
      </c>
      <c r="CP265" s="204">
        <v>0</v>
      </c>
      <c r="CQ265" s="211"/>
      <c r="CR265" s="204">
        <v>1</v>
      </c>
      <c r="CS265" s="212">
        <v>42766</v>
      </c>
      <c r="CT265" s="212">
        <v>42780</v>
      </c>
      <c r="CU265" s="213">
        <v>42780</v>
      </c>
      <c r="CV265" s="214">
        <v>42829</v>
      </c>
      <c r="CW265" s="214" t="s">
        <v>615</v>
      </c>
      <c r="CX265" s="214" t="s">
        <v>615</v>
      </c>
      <c r="CY265" s="204">
        <v>1</v>
      </c>
      <c r="CZ265" s="204">
        <v>0.97959183673469385</v>
      </c>
      <c r="DA265" s="203">
        <v>0</v>
      </c>
      <c r="DB265" s="204">
        <v>0.97959183673469385</v>
      </c>
      <c r="DC265" s="204">
        <v>0</v>
      </c>
      <c r="DD265" s="204">
        <v>0</v>
      </c>
      <c r="DE265" s="204">
        <v>0</v>
      </c>
      <c r="DF265" s="215">
        <v>0</v>
      </c>
      <c r="DG265" s="13" t="s">
        <v>615</v>
      </c>
      <c r="DH265" s="86">
        <v>263</v>
      </c>
      <c r="DI265" s="86"/>
      <c r="DJ265" s="86">
        <v>142</v>
      </c>
      <c r="DK265" s="86" t="s">
        <v>1609</v>
      </c>
      <c r="DL265" s="86" t="e">
        <v>#N/A</v>
      </c>
      <c r="DM265" s="86" t="e">
        <v>#N/A</v>
      </c>
      <c r="DN265" s="86" t="e">
        <v>#N/A</v>
      </c>
      <c r="DO265" s="86">
        <v>149</v>
      </c>
      <c r="DP265" s="86">
        <v>2</v>
      </c>
      <c r="DQ265" s="86">
        <v>49</v>
      </c>
      <c r="DR265" s="151"/>
      <c r="DS265" s="152"/>
      <c r="DT265" s="151"/>
      <c r="DU265" s="151"/>
      <c r="DV265" s="151"/>
      <c r="DW265" s="151"/>
      <c r="DX265" s="151"/>
      <c r="DY265" s="152"/>
      <c r="DZ265" s="151"/>
      <c r="EA265" s="151"/>
      <c r="EB265" s="151"/>
      <c r="EC265" s="151"/>
      <c r="ED265" s="151"/>
      <c r="EE265" s="151"/>
      <c r="EF265" s="226"/>
      <c r="EG265" s="226"/>
      <c r="EH265" s="151"/>
      <c r="EI265" s="151"/>
      <c r="EJ265" s="151"/>
      <c r="EK265" s="151"/>
      <c r="EL265" s="151"/>
      <c r="EM265" s="226"/>
      <c r="EN265" s="151"/>
      <c r="EO265" s="151"/>
      <c r="EP265" s="151"/>
      <c r="EQ265" s="151"/>
      <c r="ER265" s="226"/>
      <c r="ES265" s="226"/>
      <c r="ET265" s="151"/>
      <c r="EU265" s="151"/>
      <c r="EV265" s="151"/>
      <c r="EW265" s="151"/>
      <c r="EX265" s="151"/>
      <c r="EY265" s="226"/>
      <c r="EZ265" s="151"/>
      <c r="FA265" s="151"/>
      <c r="FB265" s="151"/>
      <c r="FC265" s="151"/>
      <c r="FD265" s="151"/>
      <c r="FE265" s="226"/>
      <c r="FF265" s="151"/>
      <c r="FG265" s="151"/>
      <c r="FH265" s="151"/>
      <c r="FI265" s="226"/>
      <c r="FJ265" s="226"/>
      <c r="FK265" s="151"/>
      <c r="FL265" s="151"/>
      <c r="FM265" s="166">
        <v>0</v>
      </c>
      <c r="FN265" s="166">
        <v>0</v>
      </c>
      <c r="FO265" s="160">
        <v>0</v>
      </c>
      <c r="FP265" s="160">
        <v>0</v>
      </c>
      <c r="FQ265" s="160">
        <v>0</v>
      </c>
      <c r="FR265" s="160">
        <v>0</v>
      </c>
      <c r="FS265" s="160">
        <v>0</v>
      </c>
      <c r="FT265" s="160">
        <v>0</v>
      </c>
      <c r="FU265" s="160">
        <v>0</v>
      </c>
      <c r="FV265" s="160">
        <v>0</v>
      </c>
      <c r="FW265" s="160">
        <v>0</v>
      </c>
      <c r="FX265" s="160">
        <v>0</v>
      </c>
      <c r="FY265" s="160">
        <v>0</v>
      </c>
      <c r="FZ265" s="160">
        <v>0</v>
      </c>
      <c r="GA265" s="160">
        <v>0</v>
      </c>
      <c r="GB265" s="160">
        <v>0</v>
      </c>
      <c r="GC265" s="160">
        <v>0</v>
      </c>
      <c r="GD265" s="160">
        <v>0</v>
      </c>
      <c r="GE265" s="160">
        <v>0</v>
      </c>
      <c r="GF265" s="160">
        <v>0</v>
      </c>
      <c r="GG265" s="160">
        <v>0</v>
      </c>
      <c r="GH265" s="160">
        <v>0</v>
      </c>
      <c r="GI265" s="160">
        <v>0</v>
      </c>
      <c r="GJ265" s="160">
        <v>0</v>
      </c>
      <c r="GK265" s="160">
        <v>0</v>
      </c>
      <c r="GL265" s="160">
        <v>0</v>
      </c>
      <c r="GM265" s="160">
        <v>0</v>
      </c>
      <c r="GN265" s="160">
        <v>0</v>
      </c>
      <c r="GO265" s="160">
        <v>0</v>
      </c>
      <c r="GP265" s="160">
        <v>0</v>
      </c>
      <c r="GQ265" s="160">
        <v>0</v>
      </c>
      <c r="GR265" s="160">
        <v>0</v>
      </c>
      <c r="GS265" s="160">
        <v>0</v>
      </c>
      <c r="GT265" s="160">
        <v>0</v>
      </c>
      <c r="GU265" s="160">
        <v>0</v>
      </c>
      <c r="GV265" s="160">
        <v>0</v>
      </c>
      <c r="GW265" s="160">
        <v>0</v>
      </c>
      <c r="GX265" s="160">
        <v>0</v>
      </c>
      <c r="GY265" s="160">
        <v>0</v>
      </c>
      <c r="GZ265" s="160">
        <v>0</v>
      </c>
      <c r="HA265" s="160">
        <v>0</v>
      </c>
      <c r="HB265" s="160">
        <v>0</v>
      </c>
      <c r="HC265" s="160">
        <v>0</v>
      </c>
      <c r="HD265" s="160">
        <v>0</v>
      </c>
      <c r="HE265" s="160">
        <v>0</v>
      </c>
      <c r="HF265" s="160">
        <v>0</v>
      </c>
      <c r="HG265" s="160">
        <v>0</v>
      </c>
      <c r="HH265" s="146">
        <v>0</v>
      </c>
      <c r="HI265" s="146">
        <v>0</v>
      </c>
      <c r="HJ265" s="146">
        <v>0</v>
      </c>
      <c r="HK265" s="146">
        <v>0</v>
      </c>
      <c r="HL265" s="146">
        <v>0</v>
      </c>
      <c r="HM265" s="146">
        <v>0</v>
      </c>
      <c r="HN265" s="146">
        <v>0</v>
      </c>
      <c r="HO265" s="146">
        <v>0</v>
      </c>
      <c r="HP265" s="146">
        <v>0</v>
      </c>
      <c r="HQ265" s="146">
        <v>0</v>
      </c>
      <c r="HR265" s="146">
        <v>0</v>
      </c>
      <c r="HS265" s="146">
        <v>0</v>
      </c>
      <c r="HT265" s="146">
        <v>0</v>
      </c>
      <c r="HU265" s="151"/>
      <c r="HV265" s="146">
        <v>0</v>
      </c>
      <c r="HW265" s="151"/>
      <c r="HX265" s="151"/>
      <c r="HY265" s="151"/>
      <c r="HZ265" s="151"/>
      <c r="IA265" s="151"/>
      <c r="IB265" s="151"/>
      <c r="IC265" s="151"/>
      <c r="ID265" s="151"/>
      <c r="IE265" s="151"/>
      <c r="IF265" s="151"/>
      <c r="IG265" s="151"/>
      <c r="IH265" s="151"/>
      <c r="II265" s="151"/>
      <c r="IJ265" s="151"/>
      <c r="IK265" s="151"/>
      <c r="IL265" s="151"/>
      <c r="IM265" s="151"/>
      <c r="IN265" s="151"/>
      <c r="IO265" s="151"/>
      <c r="IP265" s="151"/>
      <c r="IQ265" s="151"/>
      <c r="IR265" s="151"/>
      <c r="IS265" s="151"/>
      <c r="IT265" s="151"/>
      <c r="IU265" s="151"/>
      <c r="IV265" s="151"/>
      <c r="IW265" s="151"/>
      <c r="IX265" s="151"/>
      <c r="IY265" s="151"/>
      <c r="IZ265" s="151"/>
      <c r="JA265" s="151"/>
      <c r="JB265" s="151"/>
      <c r="JC265" s="151"/>
      <c r="JD265" s="151"/>
      <c r="JE265" s="151"/>
      <c r="JF265" s="151"/>
      <c r="JG265" s="151"/>
      <c r="JH265" s="151"/>
      <c r="JI265" s="151"/>
      <c r="JJ265" s="151"/>
      <c r="JK265" s="151"/>
      <c r="JL265" s="151"/>
      <c r="JM265" s="151"/>
      <c r="JN265" s="151"/>
      <c r="JO265" s="151"/>
      <c r="JP265" s="151"/>
      <c r="JQ265" s="151"/>
      <c r="JR265" s="151"/>
      <c r="JS265" s="151"/>
      <c r="JT265" s="151"/>
      <c r="JU265" s="151"/>
      <c r="JV265" s="151"/>
      <c r="JW265" s="151"/>
      <c r="JX265" s="151"/>
      <c r="JY265" s="151"/>
      <c r="JZ265" s="151"/>
      <c r="KA265" s="151"/>
      <c r="KB265" s="151"/>
      <c r="KC265" s="151"/>
      <c r="KD265" s="151"/>
      <c r="KE265" s="151"/>
      <c r="KF265" s="151"/>
      <c r="KG265" s="151"/>
      <c r="KH265" s="151"/>
      <c r="KI265" s="151"/>
      <c r="KJ265" s="151"/>
      <c r="KK265" s="151"/>
      <c r="KL265" s="151"/>
      <c r="KM265" s="151"/>
      <c r="KN265" s="151"/>
      <c r="KO265" s="151"/>
      <c r="KP265" s="151"/>
      <c r="KQ265" s="151"/>
      <c r="KR265" s="151"/>
      <c r="KS265" s="151"/>
      <c r="KT265" s="151"/>
      <c r="KU265" s="151"/>
      <c r="KV265" s="151"/>
      <c r="KW265" s="151"/>
      <c r="KX265" s="151"/>
      <c r="KY265" s="151"/>
      <c r="KZ265" s="151"/>
      <c r="LA265" s="151"/>
      <c r="LB265" s="151"/>
      <c r="LC265" s="151"/>
      <c r="LD265" s="151"/>
      <c r="LE265" s="151"/>
    </row>
    <row r="266" spans="1:317" x14ac:dyDescent="0.2">
      <c r="A266" s="179" t="s">
        <v>849</v>
      </c>
      <c r="B266" s="180" t="s">
        <v>1165</v>
      </c>
      <c r="C266" s="181"/>
      <c r="D266" s="182">
        <v>0</v>
      </c>
      <c r="E266" s="182">
        <v>0</v>
      </c>
      <c r="F266" s="183" t="s">
        <v>1342</v>
      </c>
      <c r="G266" s="183">
        <v>0</v>
      </c>
      <c r="H266" s="183">
        <v>0</v>
      </c>
      <c r="I266" s="183">
        <v>0</v>
      </c>
      <c r="J266" s="183">
        <v>0</v>
      </c>
      <c r="K266" s="183" t="s">
        <v>1402</v>
      </c>
      <c r="L266" s="183">
        <v>0</v>
      </c>
      <c r="M266" s="183">
        <v>0</v>
      </c>
      <c r="N266" s="183" t="s">
        <v>872</v>
      </c>
      <c r="O266" s="183">
        <v>0</v>
      </c>
      <c r="P266" s="183">
        <v>0</v>
      </c>
      <c r="Q266" s="183"/>
      <c r="R266" s="183"/>
      <c r="S266" s="183"/>
      <c r="T266" s="183"/>
      <c r="U266" s="183"/>
      <c r="V266" s="183">
        <v>0</v>
      </c>
      <c r="W266" s="183">
        <v>0</v>
      </c>
      <c r="X266" s="183">
        <v>0</v>
      </c>
      <c r="Y266" s="184">
        <v>19.059999999999999</v>
      </c>
      <c r="Z266" s="184">
        <v>37.71</v>
      </c>
      <c r="AA266" s="184">
        <v>0</v>
      </c>
      <c r="AB266" s="185" t="s">
        <v>615</v>
      </c>
      <c r="AC266" s="185" t="s">
        <v>615</v>
      </c>
      <c r="AD266" s="186" t="s">
        <v>872</v>
      </c>
      <c r="AE266" s="186" t="s">
        <v>852</v>
      </c>
      <c r="AF266" s="187">
        <v>7</v>
      </c>
      <c r="AG266" s="187">
        <v>3</v>
      </c>
      <c r="AH266" s="187">
        <v>4</v>
      </c>
      <c r="AI266" s="188">
        <v>1</v>
      </c>
      <c r="AJ266" s="188" t="s">
        <v>615</v>
      </c>
      <c r="AK266" s="187" t="s">
        <v>1741</v>
      </c>
      <c r="AL266" s="87" t="s">
        <v>615</v>
      </c>
      <c r="AM266" s="189"/>
      <c r="AN266" s="187" t="s">
        <v>615</v>
      </c>
      <c r="AO266" s="13" t="s">
        <v>615</v>
      </c>
      <c r="AP266" s="187">
        <v>0</v>
      </c>
      <c r="AQ266" s="187">
        <v>0</v>
      </c>
      <c r="AR266" s="190">
        <v>0</v>
      </c>
      <c r="AS266" s="190">
        <v>0</v>
      </c>
      <c r="AT266" s="190">
        <v>0</v>
      </c>
      <c r="AU266" s="187">
        <v>0</v>
      </c>
      <c r="AV266" s="187">
        <v>0</v>
      </c>
      <c r="AW266" s="191"/>
      <c r="AX266" s="192"/>
      <c r="AY266" s="193"/>
      <c r="AZ266" s="193"/>
      <c r="BA266" s="193"/>
      <c r="BB266" s="194"/>
      <c r="BC266" s="194"/>
      <c r="BD266" s="195"/>
      <c r="BE266" s="195" t="s">
        <v>532</v>
      </c>
      <c r="BF266" s="195"/>
      <c r="BG266" s="195">
        <v>10</v>
      </c>
      <c r="BH266" s="196" t="s">
        <v>547</v>
      </c>
      <c r="BI266" s="197">
        <v>1</v>
      </c>
      <c r="BJ266" s="198"/>
      <c r="BK266" s="199">
        <v>0</v>
      </c>
      <c r="BL266" s="13">
        <v>0</v>
      </c>
      <c r="BM266" s="13">
        <v>0</v>
      </c>
      <c r="BN266" s="13" t="s">
        <v>616</v>
      </c>
      <c r="BO266" s="13" t="s">
        <v>616</v>
      </c>
      <c r="BP266" s="200">
        <v>7</v>
      </c>
      <c r="BQ266" s="201"/>
      <c r="BR266" s="202"/>
      <c r="BS266" s="187">
        <v>1000000000</v>
      </c>
      <c r="BT266" s="203">
        <v>10</v>
      </c>
      <c r="BU266" s="204">
        <v>0</v>
      </c>
      <c r="BV266" s="203">
        <v>10</v>
      </c>
      <c r="BW266" s="205">
        <v>0</v>
      </c>
      <c r="BX266" s="205">
        <v>0</v>
      </c>
      <c r="BY266" s="205">
        <v>0</v>
      </c>
      <c r="BZ266" s="203">
        <v>0</v>
      </c>
      <c r="CA266" s="203">
        <v>0</v>
      </c>
      <c r="CB266" s="203">
        <v>20</v>
      </c>
      <c r="CC266" s="204">
        <v>0</v>
      </c>
      <c r="CD266" s="203">
        <v>0</v>
      </c>
      <c r="CE266" s="203">
        <v>0</v>
      </c>
      <c r="CF266" s="13">
        <v>0</v>
      </c>
      <c r="CG266" s="206">
        <v>0</v>
      </c>
      <c r="CH266" s="207">
        <v>0</v>
      </c>
      <c r="CI266" s="201"/>
      <c r="CJ266" s="208"/>
      <c r="CK266" s="209" t="s">
        <v>615</v>
      </c>
      <c r="CL266" s="210" t="s">
        <v>615</v>
      </c>
      <c r="CM266" s="207">
        <v>0</v>
      </c>
      <c r="CN266" s="207">
        <v>0</v>
      </c>
      <c r="CO266" s="204">
        <v>0</v>
      </c>
      <c r="CP266" s="204">
        <v>0</v>
      </c>
      <c r="CQ266" s="211"/>
      <c r="CR266" s="204">
        <v>1</v>
      </c>
      <c r="CS266" s="212">
        <v>42766</v>
      </c>
      <c r="CT266" s="212">
        <v>42780</v>
      </c>
      <c r="CU266" s="213">
        <v>42780</v>
      </c>
      <c r="CV266" s="214">
        <v>42829</v>
      </c>
      <c r="CW266" s="214" t="s">
        <v>615</v>
      </c>
      <c r="CX266" s="214" t="s">
        <v>615</v>
      </c>
      <c r="CY266" s="204">
        <v>0</v>
      </c>
      <c r="CZ266" s="204">
        <v>0.97959183673469385</v>
      </c>
      <c r="DA266" s="203">
        <v>0</v>
      </c>
      <c r="DB266" s="204">
        <v>0</v>
      </c>
      <c r="DC266" s="204">
        <v>0</v>
      </c>
      <c r="DD266" s="204">
        <v>0</v>
      </c>
      <c r="DE266" s="204">
        <v>0</v>
      </c>
      <c r="DF266" s="215">
        <v>0.97959183673469385</v>
      </c>
      <c r="DG266" s="13" t="s">
        <v>615</v>
      </c>
      <c r="DH266" s="86">
        <v>264</v>
      </c>
      <c r="DI266" s="86"/>
      <c r="DJ266" s="86">
        <v>143</v>
      </c>
      <c r="DK266" s="86" t="s">
        <v>1501</v>
      </c>
      <c r="DL266" s="86" t="e">
        <v>#N/A</v>
      </c>
      <c r="DM266" s="86">
        <v>63</v>
      </c>
      <c r="DN266" s="86" t="e">
        <v>#N/A</v>
      </c>
      <c r="DO266" s="86">
        <v>150</v>
      </c>
      <c r="DP266" s="86">
        <v>2</v>
      </c>
      <c r="DQ266" s="86">
        <v>49</v>
      </c>
      <c r="DR266" s="216"/>
      <c r="DS266" s="152"/>
      <c r="DT266" s="216"/>
      <c r="DU266" s="216"/>
      <c r="DV266" s="216"/>
      <c r="DW266" s="216"/>
      <c r="DX266" s="216"/>
      <c r="DY266" s="152"/>
      <c r="DZ266" s="216"/>
      <c r="EA266" s="216"/>
      <c r="EB266" s="216"/>
      <c r="EC266" s="216"/>
      <c r="ED266" s="216"/>
      <c r="EE266" s="216"/>
      <c r="EF266" s="225"/>
      <c r="EG266" s="225"/>
      <c r="EH266" s="216"/>
      <c r="EI266" s="216"/>
      <c r="EJ266" s="216"/>
      <c r="EK266" s="216"/>
      <c r="EL266" s="216"/>
      <c r="EM266" s="225"/>
      <c r="EN266" s="216"/>
      <c r="EO266" s="216"/>
      <c r="EP266" s="216"/>
      <c r="EQ266" s="216"/>
      <c r="ER266" s="225"/>
      <c r="ES266" s="225"/>
      <c r="ET266" s="216"/>
      <c r="EU266" s="216"/>
      <c r="EV266" s="216"/>
      <c r="EW266" s="216"/>
      <c r="EX266" s="216"/>
      <c r="EY266" s="225"/>
      <c r="EZ266" s="216"/>
      <c r="FA266" s="216"/>
      <c r="FB266" s="216"/>
      <c r="FC266" s="216"/>
      <c r="FD266" s="216"/>
      <c r="FE266" s="225"/>
      <c r="FF266" s="216"/>
      <c r="FG266" s="216"/>
      <c r="FH266" s="216"/>
      <c r="FI266" s="225"/>
      <c r="FJ266" s="225"/>
      <c r="FK266" s="216"/>
      <c r="FL266" s="216"/>
      <c r="FM266" s="168">
        <v>10</v>
      </c>
      <c r="FN266" s="168">
        <v>10</v>
      </c>
      <c r="FO266" s="168">
        <v>10</v>
      </c>
      <c r="FP266" s="168">
        <v>10</v>
      </c>
      <c r="FQ266" s="168">
        <v>10</v>
      </c>
      <c r="FR266" s="168">
        <v>10</v>
      </c>
      <c r="FS266" s="164">
        <v>10</v>
      </c>
      <c r="FT266" s="164">
        <v>10</v>
      </c>
      <c r="FU266" s="164">
        <v>10</v>
      </c>
      <c r="FV266" s="164">
        <v>10</v>
      </c>
      <c r="FW266" s="164">
        <v>10</v>
      </c>
      <c r="FX266" s="164">
        <v>10</v>
      </c>
      <c r="FY266" s="164">
        <v>10</v>
      </c>
      <c r="FZ266" s="164">
        <v>10</v>
      </c>
      <c r="GA266" s="164">
        <v>10</v>
      </c>
      <c r="GB266" s="164">
        <v>10</v>
      </c>
      <c r="GC266" s="164">
        <v>10</v>
      </c>
      <c r="GD266" s="164">
        <v>10</v>
      </c>
      <c r="GE266" s="164">
        <v>10</v>
      </c>
      <c r="GF266" s="164">
        <v>10</v>
      </c>
      <c r="GG266" s="164">
        <v>10</v>
      </c>
      <c r="GH266" s="164">
        <v>10</v>
      </c>
      <c r="GI266" s="164">
        <v>10</v>
      </c>
      <c r="GJ266" s="164">
        <v>10</v>
      </c>
      <c r="GK266" s="164">
        <v>10</v>
      </c>
      <c r="GL266" s="164">
        <v>10</v>
      </c>
      <c r="GM266" s="164">
        <v>10</v>
      </c>
      <c r="GN266" s="164">
        <v>10</v>
      </c>
      <c r="GO266" s="164">
        <v>10</v>
      </c>
      <c r="GP266" s="164">
        <v>10</v>
      </c>
      <c r="GQ266" s="164">
        <v>10</v>
      </c>
      <c r="GR266" s="164">
        <v>10</v>
      </c>
      <c r="GS266" s="164">
        <v>10</v>
      </c>
      <c r="GT266" s="164">
        <v>10</v>
      </c>
      <c r="GU266" s="164">
        <v>10</v>
      </c>
      <c r="GV266" s="164">
        <v>10</v>
      </c>
      <c r="GW266" s="164">
        <v>10</v>
      </c>
      <c r="GX266" s="164">
        <v>10</v>
      </c>
      <c r="GY266" s="164">
        <v>10</v>
      </c>
      <c r="GZ266" s="164">
        <v>10</v>
      </c>
      <c r="HA266" s="164">
        <v>10</v>
      </c>
      <c r="HB266" s="164">
        <v>10</v>
      </c>
      <c r="HC266" s="164">
        <v>10</v>
      </c>
      <c r="HD266" s="164">
        <v>10</v>
      </c>
      <c r="HE266" s="164">
        <v>10</v>
      </c>
      <c r="HF266" s="164">
        <v>10</v>
      </c>
      <c r="HG266" s="167">
        <v>10</v>
      </c>
      <c r="HH266" s="167">
        <v>10</v>
      </c>
      <c r="HI266" s="152">
        <v>10</v>
      </c>
      <c r="HJ266" s="152">
        <v>10</v>
      </c>
      <c r="HK266" s="152">
        <v>10</v>
      </c>
      <c r="HL266" s="152">
        <v>10</v>
      </c>
      <c r="HM266" s="152">
        <v>10</v>
      </c>
      <c r="HN266" s="152">
        <v>10</v>
      </c>
      <c r="HO266" s="152">
        <v>10</v>
      </c>
      <c r="HP266" s="152">
        <v>10</v>
      </c>
      <c r="HQ266" s="152">
        <v>10</v>
      </c>
      <c r="HR266" s="152">
        <v>10</v>
      </c>
      <c r="HS266" s="152">
        <v>10</v>
      </c>
      <c r="HT266" s="152">
        <v>10</v>
      </c>
      <c r="HU266" s="216"/>
      <c r="HV266" s="152">
        <v>10</v>
      </c>
      <c r="HW266" s="216"/>
      <c r="HX266" s="216"/>
      <c r="HY266" s="216"/>
      <c r="HZ266" s="216"/>
      <c r="IA266" s="216"/>
      <c r="IB266" s="216"/>
      <c r="IC266" s="216"/>
      <c r="ID266" s="216"/>
      <c r="IE266" s="216"/>
      <c r="IF266" s="216"/>
      <c r="IG266" s="216"/>
      <c r="IH266" s="216"/>
      <c r="II266" s="216"/>
      <c r="IJ266" s="216"/>
      <c r="IK266" s="216"/>
      <c r="IL266" s="216"/>
      <c r="IM266" s="216"/>
      <c r="IN266" s="216"/>
      <c r="IO266" s="216"/>
      <c r="IP266" s="216"/>
      <c r="IQ266" s="216"/>
      <c r="IR266" s="216"/>
      <c r="IS266" s="216"/>
      <c r="IT266" s="216"/>
      <c r="IU266" s="216"/>
      <c r="IV266" s="216"/>
      <c r="IW266" s="216"/>
      <c r="IX266" s="216"/>
      <c r="IY266" s="216"/>
      <c r="IZ266" s="216"/>
      <c r="JA266" s="216"/>
      <c r="JB266" s="216"/>
      <c r="JC266" s="216"/>
      <c r="JD266" s="216"/>
      <c r="JE266" s="216"/>
      <c r="JF266" s="216"/>
      <c r="JG266" s="216"/>
      <c r="JH266" s="216"/>
      <c r="JI266" s="216"/>
      <c r="JJ266" s="216"/>
      <c r="JK266" s="216"/>
      <c r="JL266" s="216"/>
      <c r="JM266" s="216"/>
      <c r="JN266" s="216"/>
      <c r="JO266" s="216"/>
      <c r="JP266" s="216"/>
      <c r="JQ266" s="216"/>
      <c r="JR266" s="216"/>
      <c r="JS266" s="216"/>
      <c r="JT266" s="216"/>
      <c r="JU266" s="216"/>
      <c r="JV266" s="216"/>
      <c r="JW266" s="216"/>
      <c r="JX266" s="216"/>
      <c r="JY266" s="216"/>
      <c r="JZ266" s="216"/>
      <c r="KA266" s="216"/>
      <c r="KB266" s="216"/>
      <c r="KC266" s="216"/>
      <c r="KD266" s="216"/>
      <c r="KE266" s="216"/>
      <c r="KF266" s="216"/>
      <c r="KG266" s="216"/>
      <c r="KH266" s="216"/>
      <c r="KI266" s="216"/>
      <c r="KJ266" s="216"/>
      <c r="KK266" s="216"/>
      <c r="KL266" s="216"/>
      <c r="KM266" s="216"/>
      <c r="KN266" s="216"/>
      <c r="KO266" s="216"/>
      <c r="KP266" s="216"/>
      <c r="KQ266" s="216"/>
      <c r="KR266" s="216"/>
      <c r="KS266" s="216"/>
      <c r="KT266" s="216"/>
      <c r="KU266" s="216"/>
      <c r="KV266" s="216"/>
      <c r="KW266" s="216"/>
      <c r="KX266" s="216"/>
      <c r="KY266" s="216"/>
      <c r="KZ266" s="216"/>
      <c r="LA266" s="216"/>
      <c r="LB266" s="216"/>
      <c r="LC266" s="216"/>
      <c r="LD266" s="216"/>
      <c r="LE266" s="216"/>
    </row>
    <row r="267" spans="1:317" x14ac:dyDescent="0.2">
      <c r="A267" s="179" t="s">
        <v>849</v>
      </c>
      <c r="B267" s="180" t="s">
        <v>1166</v>
      </c>
      <c r="C267" s="181"/>
      <c r="D267" s="182">
        <v>0</v>
      </c>
      <c r="E267" s="182">
        <v>0</v>
      </c>
      <c r="F267" s="183" t="s">
        <v>1343</v>
      </c>
      <c r="G267" s="183">
        <v>0</v>
      </c>
      <c r="H267" s="183">
        <v>0</v>
      </c>
      <c r="I267" s="183">
        <v>0</v>
      </c>
      <c r="J267" s="183">
        <v>0</v>
      </c>
      <c r="K267" s="183" t="s">
        <v>1402</v>
      </c>
      <c r="L267" s="183">
        <v>0</v>
      </c>
      <c r="M267" s="183">
        <v>0</v>
      </c>
      <c r="N267" s="183" t="s">
        <v>872</v>
      </c>
      <c r="O267" s="183">
        <v>0</v>
      </c>
      <c r="P267" s="183">
        <v>0</v>
      </c>
      <c r="Q267" s="183"/>
      <c r="R267" s="183"/>
      <c r="S267" s="183"/>
      <c r="T267" s="183"/>
      <c r="U267" s="183"/>
      <c r="V267" s="183">
        <v>0</v>
      </c>
      <c r="W267" s="183">
        <v>0</v>
      </c>
      <c r="X267" s="183">
        <v>0</v>
      </c>
      <c r="Y267" s="184">
        <v>17.54</v>
      </c>
      <c r="Z267" s="184">
        <v>37.71</v>
      </c>
      <c r="AA267" s="184">
        <v>0</v>
      </c>
      <c r="AB267" s="185" t="s">
        <v>615</v>
      </c>
      <c r="AC267" s="185" t="s">
        <v>615</v>
      </c>
      <c r="AD267" s="186" t="s">
        <v>872</v>
      </c>
      <c r="AE267" s="186" t="s">
        <v>852</v>
      </c>
      <c r="AF267" s="187">
        <v>7</v>
      </c>
      <c r="AG267" s="187">
        <v>3</v>
      </c>
      <c r="AH267" s="187">
        <v>4</v>
      </c>
      <c r="AI267" s="188">
        <v>1</v>
      </c>
      <c r="AJ267" s="188" t="s">
        <v>615</v>
      </c>
      <c r="AK267" s="187" t="s">
        <v>1741</v>
      </c>
      <c r="AL267" s="87" t="s">
        <v>615</v>
      </c>
      <c r="AM267" s="189"/>
      <c r="AN267" s="187" t="s">
        <v>615</v>
      </c>
      <c r="AO267" s="13" t="s">
        <v>615</v>
      </c>
      <c r="AP267" s="187">
        <v>0.36</v>
      </c>
      <c r="AQ267" s="187">
        <v>4</v>
      </c>
      <c r="AR267" s="190">
        <v>31.25</v>
      </c>
      <c r="AS267" s="190">
        <v>39.583333333333336</v>
      </c>
      <c r="AT267" s="190">
        <v>0</v>
      </c>
      <c r="AU267" s="187">
        <v>0</v>
      </c>
      <c r="AV267" s="187">
        <v>0</v>
      </c>
      <c r="AW267" s="191"/>
      <c r="AX267" s="192"/>
      <c r="AY267" s="193">
        <v>42845</v>
      </c>
      <c r="AZ267" s="193">
        <v>42796</v>
      </c>
      <c r="BA267" s="193"/>
      <c r="BB267" s="194"/>
      <c r="BC267" s="194"/>
      <c r="BD267" s="195"/>
      <c r="BE267" s="195" t="s">
        <v>532</v>
      </c>
      <c r="BF267" s="195"/>
      <c r="BG267" s="195">
        <v>10</v>
      </c>
      <c r="BH267" s="196" t="s">
        <v>547</v>
      </c>
      <c r="BI267" s="197">
        <v>1</v>
      </c>
      <c r="BJ267" s="198"/>
      <c r="BK267" s="199">
        <v>45</v>
      </c>
      <c r="BL267" s="13">
        <v>30</v>
      </c>
      <c r="BM267" s="13">
        <v>15</v>
      </c>
      <c r="BN267" s="13" t="s">
        <v>620</v>
      </c>
      <c r="BO267" s="13" t="s">
        <v>620</v>
      </c>
      <c r="BP267" s="200">
        <v>42</v>
      </c>
      <c r="BQ267" s="201"/>
      <c r="BR267" s="202"/>
      <c r="BS267" s="187">
        <v>1000000000</v>
      </c>
      <c r="BT267" s="203">
        <v>47</v>
      </c>
      <c r="BU267" s="204">
        <v>-0.04</v>
      </c>
      <c r="BV267" s="203">
        <v>10</v>
      </c>
      <c r="BW267" s="205">
        <v>0</v>
      </c>
      <c r="BX267" s="205">
        <v>0</v>
      </c>
      <c r="BY267" s="205">
        <v>0</v>
      </c>
      <c r="BZ267" s="203">
        <v>0</v>
      </c>
      <c r="CA267" s="203">
        <v>0</v>
      </c>
      <c r="CB267" s="203">
        <v>57</v>
      </c>
      <c r="CC267" s="204">
        <v>-0.27</v>
      </c>
      <c r="CD267" s="203">
        <v>0</v>
      </c>
      <c r="CE267" s="203">
        <v>0</v>
      </c>
      <c r="CF267" s="13">
        <v>0</v>
      </c>
      <c r="CG267" s="206">
        <v>0</v>
      </c>
      <c r="CH267" s="207">
        <v>26</v>
      </c>
      <c r="CI267" s="201"/>
      <c r="CJ267" s="208"/>
      <c r="CK267" s="209" t="s">
        <v>615</v>
      </c>
      <c r="CL267" s="210" t="s">
        <v>615</v>
      </c>
      <c r="CM267" s="207">
        <v>0</v>
      </c>
      <c r="CN267" s="207">
        <v>35.08</v>
      </c>
      <c r="CO267" s="204">
        <v>0</v>
      </c>
      <c r="CP267" s="204">
        <v>7.8853233425639377</v>
      </c>
      <c r="CQ267" s="211"/>
      <c r="CR267" s="204">
        <v>1</v>
      </c>
      <c r="CS267" s="212">
        <v>42766</v>
      </c>
      <c r="CT267" s="212">
        <v>42780</v>
      </c>
      <c r="CU267" s="213">
        <v>42780</v>
      </c>
      <c r="CV267" s="214">
        <v>42829</v>
      </c>
      <c r="CW267" s="214" t="s">
        <v>615</v>
      </c>
      <c r="CX267" s="214" t="s">
        <v>615</v>
      </c>
      <c r="CY267" s="204">
        <v>7.8488180590329609E-2</v>
      </c>
      <c r="CZ267" s="204">
        <v>0.97959183673469385</v>
      </c>
      <c r="DA267" s="203">
        <v>0</v>
      </c>
      <c r="DB267" s="204">
        <v>0</v>
      </c>
      <c r="DC267" s="204">
        <v>0</v>
      </c>
      <c r="DD267" s="204">
        <v>0</v>
      </c>
      <c r="DE267" s="204">
        <v>0.32653061224489793</v>
      </c>
      <c r="DF267" s="215">
        <v>0.65306122448979587</v>
      </c>
      <c r="DG267" s="13" t="s">
        <v>615</v>
      </c>
      <c r="DH267" s="86">
        <v>265</v>
      </c>
      <c r="DI267" s="86"/>
      <c r="DJ267" s="86">
        <v>144</v>
      </c>
      <c r="DK267" s="86" t="s">
        <v>1460</v>
      </c>
      <c r="DL267" s="86">
        <v>25</v>
      </c>
      <c r="DM267" s="86">
        <v>64</v>
      </c>
      <c r="DN267" s="86" t="e">
        <v>#N/A</v>
      </c>
      <c r="DO267" s="86">
        <v>151</v>
      </c>
      <c r="DP267" s="86">
        <v>2</v>
      </c>
      <c r="DQ267" s="86">
        <v>49</v>
      </c>
      <c r="DR267" s="151"/>
      <c r="DS267" s="152"/>
      <c r="DT267" s="151"/>
      <c r="DU267" s="151"/>
      <c r="DV267" s="151"/>
      <c r="DW267" s="151"/>
      <c r="DX267" s="151"/>
      <c r="DY267" s="152"/>
      <c r="DZ267" s="151"/>
      <c r="EA267" s="151"/>
      <c r="EB267" s="151"/>
      <c r="EC267" s="151"/>
      <c r="ED267" s="151"/>
      <c r="EE267" s="151"/>
      <c r="EF267" s="226"/>
      <c r="EG267" s="226"/>
      <c r="EH267" s="151"/>
      <c r="EI267" s="151"/>
      <c r="EJ267" s="151"/>
      <c r="EK267" s="151"/>
      <c r="EL267" s="151"/>
      <c r="EM267" s="226"/>
      <c r="EN267" s="151"/>
      <c r="EO267" s="151"/>
      <c r="EP267" s="151"/>
      <c r="EQ267" s="151"/>
      <c r="ER267" s="226"/>
      <c r="ES267" s="226"/>
      <c r="ET267" s="151"/>
      <c r="EU267" s="151"/>
      <c r="EV267" s="151"/>
      <c r="EW267" s="151"/>
      <c r="EX267" s="151"/>
      <c r="EY267" s="226"/>
      <c r="EZ267" s="151"/>
      <c r="FA267" s="151"/>
      <c r="FB267" s="151"/>
      <c r="FC267" s="151"/>
      <c r="FD267" s="151"/>
      <c r="FE267" s="226"/>
      <c r="FF267" s="151"/>
      <c r="FG267" s="151"/>
      <c r="FH267" s="151"/>
      <c r="FI267" s="226"/>
      <c r="FJ267" s="226"/>
      <c r="FK267" s="151"/>
      <c r="FL267" s="151"/>
      <c r="FM267" s="164">
        <v>47</v>
      </c>
      <c r="FN267" s="164">
        <v>47</v>
      </c>
      <c r="FO267" s="162">
        <v>47</v>
      </c>
      <c r="FP267" s="162">
        <v>47</v>
      </c>
      <c r="FQ267" s="162">
        <v>47</v>
      </c>
      <c r="FR267" s="162">
        <v>47</v>
      </c>
      <c r="FS267" s="162">
        <v>47</v>
      </c>
      <c r="FT267" s="162">
        <v>47</v>
      </c>
      <c r="FU267" s="162">
        <v>47</v>
      </c>
      <c r="FV267" s="162">
        <v>47</v>
      </c>
      <c r="FW267" s="162">
        <v>47</v>
      </c>
      <c r="FX267" s="162">
        <v>47</v>
      </c>
      <c r="FY267" s="162">
        <v>47</v>
      </c>
      <c r="FZ267" s="162">
        <v>47</v>
      </c>
      <c r="GA267" s="162">
        <v>47</v>
      </c>
      <c r="GB267" s="162">
        <v>47</v>
      </c>
      <c r="GC267" s="162">
        <v>47</v>
      </c>
      <c r="GD267" s="162">
        <v>47</v>
      </c>
      <c r="GE267" s="162">
        <v>47</v>
      </c>
      <c r="GF267" s="162">
        <v>47</v>
      </c>
      <c r="GG267" s="162">
        <v>47</v>
      </c>
      <c r="GH267" s="162">
        <v>47</v>
      </c>
      <c r="GI267" s="162">
        <v>47</v>
      </c>
      <c r="GJ267" s="162">
        <v>47</v>
      </c>
      <c r="GK267" s="162">
        <v>47</v>
      </c>
      <c r="GL267" s="162">
        <v>47</v>
      </c>
      <c r="GM267" s="162">
        <v>47</v>
      </c>
      <c r="GN267" s="162">
        <v>47</v>
      </c>
      <c r="GO267" s="162">
        <v>47</v>
      </c>
      <c r="GP267" s="162">
        <v>47</v>
      </c>
      <c r="GQ267" s="162">
        <v>47</v>
      </c>
      <c r="GR267" s="162">
        <v>47</v>
      </c>
      <c r="GS267" s="162">
        <v>47</v>
      </c>
      <c r="GT267" s="162">
        <v>47</v>
      </c>
      <c r="GU267" s="162">
        <v>47</v>
      </c>
      <c r="GV267" s="162">
        <v>47</v>
      </c>
      <c r="GW267" s="162">
        <v>47</v>
      </c>
      <c r="GX267" s="162">
        <v>47</v>
      </c>
      <c r="GY267" s="162">
        <v>47</v>
      </c>
      <c r="GZ267" s="162">
        <v>47</v>
      </c>
      <c r="HA267" s="162">
        <v>47</v>
      </c>
      <c r="HB267" s="162">
        <v>47</v>
      </c>
      <c r="HC267" s="162">
        <v>47</v>
      </c>
      <c r="HD267" s="163">
        <v>35</v>
      </c>
      <c r="HE267" s="163">
        <v>35</v>
      </c>
      <c r="HF267" s="163">
        <v>35</v>
      </c>
      <c r="HG267" s="162">
        <v>35</v>
      </c>
      <c r="HH267" s="162">
        <v>45</v>
      </c>
      <c r="HI267" s="162">
        <v>45</v>
      </c>
      <c r="HJ267" s="162">
        <v>45</v>
      </c>
      <c r="HK267" s="162">
        <v>45</v>
      </c>
      <c r="HL267" s="162">
        <v>45</v>
      </c>
      <c r="HM267" s="162">
        <v>45</v>
      </c>
      <c r="HN267" s="162">
        <v>45</v>
      </c>
      <c r="HO267" s="162">
        <v>45</v>
      </c>
      <c r="HP267" s="162">
        <v>41</v>
      </c>
      <c r="HQ267" s="162">
        <v>41</v>
      </c>
      <c r="HR267" s="162">
        <v>41</v>
      </c>
      <c r="HS267" s="162">
        <v>41</v>
      </c>
      <c r="HT267" s="161">
        <v>47</v>
      </c>
      <c r="HU267" s="151"/>
      <c r="HV267" s="161">
        <v>47</v>
      </c>
      <c r="HW267" s="151"/>
      <c r="HX267" s="151"/>
      <c r="HY267" s="151"/>
      <c r="HZ267" s="151"/>
      <c r="IA267" s="151"/>
      <c r="IB267" s="151"/>
      <c r="IC267" s="151"/>
      <c r="ID267" s="151"/>
      <c r="IE267" s="151"/>
      <c r="IF267" s="151"/>
      <c r="IG267" s="151"/>
      <c r="IH267" s="151"/>
      <c r="II267" s="151"/>
      <c r="IJ267" s="151"/>
      <c r="IK267" s="151"/>
      <c r="IL267" s="151"/>
      <c r="IM267" s="151"/>
      <c r="IN267" s="151"/>
      <c r="IO267" s="151"/>
      <c r="IP267" s="151"/>
      <c r="IQ267" s="151"/>
      <c r="IR267" s="151"/>
      <c r="IS267" s="151"/>
      <c r="IT267" s="151"/>
      <c r="IU267" s="151"/>
      <c r="IV267" s="151"/>
      <c r="IW267" s="151"/>
      <c r="IX267" s="151"/>
      <c r="IY267" s="151"/>
      <c r="IZ267" s="151"/>
      <c r="JA267" s="151"/>
      <c r="JB267" s="151"/>
      <c r="JC267" s="151"/>
      <c r="JD267" s="151"/>
      <c r="JE267" s="151"/>
      <c r="JF267" s="151"/>
      <c r="JG267" s="151"/>
      <c r="JH267" s="151"/>
      <c r="JI267" s="151"/>
      <c r="JJ267" s="151"/>
      <c r="JK267" s="151"/>
      <c r="JL267" s="151"/>
      <c r="JM267" s="151"/>
      <c r="JN267" s="151"/>
      <c r="JO267" s="151"/>
      <c r="JP267" s="151"/>
      <c r="JQ267" s="151"/>
      <c r="JR267" s="151"/>
      <c r="JS267" s="151"/>
      <c r="JT267" s="151"/>
      <c r="JU267" s="151"/>
      <c r="JV267" s="151"/>
      <c r="JW267" s="151"/>
      <c r="JX267" s="151"/>
      <c r="JY267" s="151"/>
      <c r="JZ267" s="151"/>
      <c r="KA267" s="151"/>
      <c r="KB267" s="151"/>
      <c r="KC267" s="151"/>
      <c r="KD267" s="151"/>
      <c r="KE267" s="151"/>
      <c r="KF267" s="151"/>
      <c r="KG267" s="151"/>
      <c r="KH267" s="151"/>
      <c r="KI267" s="151"/>
      <c r="KJ267" s="151"/>
      <c r="KK267" s="151"/>
      <c r="KL267" s="151"/>
      <c r="KM267" s="151"/>
      <c r="KN267" s="151"/>
      <c r="KO267" s="151"/>
      <c r="KP267" s="151"/>
      <c r="KQ267" s="151"/>
      <c r="KR267" s="151"/>
      <c r="KS267" s="151"/>
      <c r="KT267" s="151"/>
      <c r="KU267" s="151"/>
      <c r="KV267" s="151"/>
      <c r="KW267" s="151"/>
      <c r="KX267" s="151"/>
      <c r="KY267" s="151"/>
      <c r="KZ267" s="151"/>
      <c r="LA267" s="151"/>
      <c r="LB267" s="151"/>
      <c r="LC267" s="151"/>
      <c r="LD267" s="151"/>
      <c r="LE267" s="151"/>
    </row>
    <row r="268" spans="1:317" x14ac:dyDescent="0.2">
      <c r="A268" s="179" t="s">
        <v>849</v>
      </c>
      <c r="B268" s="180" t="s">
        <v>1167</v>
      </c>
      <c r="C268" s="181"/>
      <c r="D268" s="182">
        <v>0</v>
      </c>
      <c r="E268" s="182">
        <v>0</v>
      </c>
      <c r="F268" s="183" t="s">
        <v>1344</v>
      </c>
      <c r="G268" s="183">
        <v>0</v>
      </c>
      <c r="H268" s="183">
        <v>0</v>
      </c>
      <c r="I268" s="183">
        <v>0</v>
      </c>
      <c r="J268" s="183">
        <v>0</v>
      </c>
      <c r="K268" s="183" t="s">
        <v>1402</v>
      </c>
      <c r="L268" s="183">
        <v>0</v>
      </c>
      <c r="M268" s="183">
        <v>0</v>
      </c>
      <c r="N268" s="183" t="s">
        <v>872</v>
      </c>
      <c r="O268" s="183">
        <v>0</v>
      </c>
      <c r="P268" s="183">
        <v>0</v>
      </c>
      <c r="Q268" s="183"/>
      <c r="R268" s="183"/>
      <c r="S268" s="183"/>
      <c r="T268" s="183"/>
      <c r="U268" s="183"/>
      <c r="V268" s="183">
        <v>0</v>
      </c>
      <c r="W268" s="183">
        <v>0</v>
      </c>
      <c r="X268" s="183">
        <v>0</v>
      </c>
      <c r="Y268" s="184">
        <v>19.059999999999999</v>
      </c>
      <c r="Z268" s="184">
        <v>37.71</v>
      </c>
      <c r="AA268" s="184">
        <v>0</v>
      </c>
      <c r="AB268" s="185" t="s">
        <v>615</v>
      </c>
      <c r="AC268" s="185" t="s">
        <v>615</v>
      </c>
      <c r="AD268" s="186" t="s">
        <v>872</v>
      </c>
      <c r="AE268" s="186" t="s">
        <v>852</v>
      </c>
      <c r="AF268" s="187">
        <v>7</v>
      </c>
      <c r="AG268" s="187">
        <v>3</v>
      </c>
      <c r="AH268" s="187">
        <v>4</v>
      </c>
      <c r="AI268" s="188">
        <v>1</v>
      </c>
      <c r="AJ268" s="188" t="s">
        <v>617</v>
      </c>
      <c r="AK268" s="187" t="s">
        <v>1741</v>
      </c>
      <c r="AL268" s="87">
        <v>8</v>
      </c>
      <c r="AM268" s="189"/>
      <c r="AN268" s="187">
        <v>8</v>
      </c>
      <c r="AO268" s="13" t="s">
        <v>615</v>
      </c>
      <c r="AP268" s="187">
        <v>0</v>
      </c>
      <c r="AQ268" s="187">
        <v>0</v>
      </c>
      <c r="AR268" s="190">
        <v>0</v>
      </c>
      <c r="AS268" s="190">
        <v>0</v>
      </c>
      <c r="AT268" s="190">
        <v>0</v>
      </c>
      <c r="AU268" s="187">
        <v>0</v>
      </c>
      <c r="AV268" s="187">
        <v>0</v>
      </c>
      <c r="AW268" s="191"/>
      <c r="AX268" s="192"/>
      <c r="AY268" s="193"/>
      <c r="AZ268" s="193"/>
      <c r="BA268" s="193"/>
      <c r="BB268" s="194"/>
      <c r="BC268" s="194"/>
      <c r="BD268" s="195"/>
      <c r="BE268" s="195" t="s">
        <v>532</v>
      </c>
      <c r="BF268" s="195"/>
      <c r="BG268" s="195">
        <v>10</v>
      </c>
      <c r="BH268" s="196" t="s">
        <v>547</v>
      </c>
      <c r="BI268" s="197">
        <v>1</v>
      </c>
      <c r="BJ268" s="198"/>
      <c r="BK268" s="199">
        <v>10</v>
      </c>
      <c r="BL268" s="13">
        <v>7</v>
      </c>
      <c r="BM268" s="13">
        <v>3</v>
      </c>
      <c r="BN268" s="13" t="s">
        <v>619</v>
      </c>
      <c r="BO268" s="13" t="s">
        <v>620</v>
      </c>
      <c r="BP268" s="200">
        <v>10</v>
      </c>
      <c r="BQ268" s="201"/>
      <c r="BR268" s="202"/>
      <c r="BS268" s="187">
        <v>1000000000</v>
      </c>
      <c r="BT268" s="203">
        <v>6</v>
      </c>
      <c r="BU268" s="204">
        <v>0.4</v>
      </c>
      <c r="BV268" s="203">
        <v>10</v>
      </c>
      <c r="BW268" s="205">
        <v>0</v>
      </c>
      <c r="BX268" s="205">
        <v>0</v>
      </c>
      <c r="BY268" s="205">
        <v>0</v>
      </c>
      <c r="BZ268" s="203">
        <v>0</v>
      </c>
      <c r="CA268" s="203">
        <v>0</v>
      </c>
      <c r="CB268" s="203">
        <v>16</v>
      </c>
      <c r="CC268" s="204">
        <v>-0.6</v>
      </c>
      <c r="CD268" s="203">
        <v>0</v>
      </c>
      <c r="CE268" s="203">
        <v>0</v>
      </c>
      <c r="CF268" s="13">
        <v>0</v>
      </c>
      <c r="CG268" s="206">
        <v>0</v>
      </c>
      <c r="CH268" s="207">
        <v>6</v>
      </c>
      <c r="CI268" s="201"/>
      <c r="CJ268" s="208"/>
      <c r="CK268" s="209" t="s">
        <v>615</v>
      </c>
      <c r="CL268" s="210" t="s">
        <v>615</v>
      </c>
      <c r="CM268" s="207">
        <v>0</v>
      </c>
      <c r="CN268" s="207">
        <v>0</v>
      </c>
      <c r="CO268" s="204">
        <v>0</v>
      </c>
      <c r="CP268" s="204">
        <v>6.7096387348223674</v>
      </c>
      <c r="CQ268" s="211"/>
      <c r="CR268" s="204">
        <v>1</v>
      </c>
      <c r="CS268" s="212">
        <v>42766</v>
      </c>
      <c r="CT268" s="212">
        <v>42780</v>
      </c>
      <c r="CU268" s="213">
        <v>42780</v>
      </c>
      <c r="CV268" s="214">
        <v>42829</v>
      </c>
      <c r="CW268" s="214" t="s">
        <v>615</v>
      </c>
      <c r="CX268" s="214" t="s">
        <v>615</v>
      </c>
      <c r="CY268" s="204">
        <v>0.19386329906252048</v>
      </c>
      <c r="CZ268" s="204">
        <v>0.97959183673469397</v>
      </c>
      <c r="DA268" s="203">
        <v>0</v>
      </c>
      <c r="DB268" s="204">
        <v>0</v>
      </c>
      <c r="DC268" s="204">
        <v>0</v>
      </c>
      <c r="DD268" s="204">
        <v>0.93877551020408168</v>
      </c>
      <c r="DE268" s="204">
        <v>0</v>
      </c>
      <c r="DF268" s="215">
        <v>4.0816326530612242E-2</v>
      </c>
      <c r="DG268" s="13" t="s">
        <v>615</v>
      </c>
      <c r="DH268" s="86">
        <v>266</v>
      </c>
      <c r="DI268" s="86"/>
      <c r="DJ268" s="86">
        <v>145</v>
      </c>
      <c r="DK268" s="86" t="s">
        <v>1502</v>
      </c>
      <c r="DL268" s="86" t="e">
        <v>#N/A</v>
      </c>
      <c r="DM268" s="86">
        <v>65</v>
      </c>
      <c r="DN268" s="86" t="e">
        <v>#N/A</v>
      </c>
      <c r="DO268" s="86">
        <v>152</v>
      </c>
      <c r="DP268" s="86">
        <v>2</v>
      </c>
      <c r="DQ268" s="86">
        <v>49</v>
      </c>
      <c r="DR268" s="216"/>
      <c r="DS268" s="152"/>
      <c r="DT268" s="216"/>
      <c r="DU268" s="216"/>
      <c r="DV268" s="216"/>
      <c r="DW268" s="216"/>
      <c r="DX268" s="216"/>
      <c r="DY268" s="152"/>
      <c r="DZ268" s="216"/>
      <c r="EA268" s="216"/>
      <c r="EB268" s="216"/>
      <c r="EC268" s="216"/>
      <c r="ED268" s="216"/>
      <c r="EE268" s="216"/>
      <c r="EF268" s="225"/>
      <c r="EG268" s="225"/>
      <c r="EH268" s="216"/>
      <c r="EI268" s="216"/>
      <c r="EJ268" s="216"/>
      <c r="EK268" s="216"/>
      <c r="EL268" s="216"/>
      <c r="EM268" s="225"/>
      <c r="EN268" s="216"/>
      <c r="EO268" s="216"/>
      <c r="EP268" s="216"/>
      <c r="EQ268" s="216"/>
      <c r="ER268" s="225"/>
      <c r="ES268" s="225"/>
      <c r="ET268" s="216"/>
      <c r="EU268" s="216"/>
      <c r="EV268" s="216"/>
      <c r="EW268" s="216"/>
      <c r="EX268" s="216"/>
      <c r="EY268" s="225"/>
      <c r="EZ268" s="216"/>
      <c r="FA268" s="216"/>
      <c r="FB268" s="216"/>
      <c r="FC268" s="216"/>
      <c r="FD268" s="216"/>
      <c r="FE268" s="225"/>
      <c r="FF268" s="216"/>
      <c r="FG268" s="216"/>
      <c r="FH268" s="216"/>
      <c r="FI268" s="225"/>
      <c r="FJ268" s="225"/>
      <c r="FK268" s="216"/>
      <c r="FL268" s="216"/>
      <c r="FM268" s="165">
        <v>6</v>
      </c>
      <c r="FN268" s="165">
        <v>6</v>
      </c>
      <c r="FO268" s="165">
        <v>6</v>
      </c>
      <c r="FP268" s="165">
        <v>6</v>
      </c>
      <c r="FQ268" s="165">
        <v>6</v>
      </c>
      <c r="FR268" s="165">
        <v>6</v>
      </c>
      <c r="FS268" s="168">
        <v>6</v>
      </c>
      <c r="FT268" s="168">
        <v>6</v>
      </c>
      <c r="FU268" s="168">
        <v>6</v>
      </c>
      <c r="FV268" s="168">
        <v>6</v>
      </c>
      <c r="FW268" s="168">
        <v>6</v>
      </c>
      <c r="FX268" s="168">
        <v>6</v>
      </c>
      <c r="FY268" s="168">
        <v>6</v>
      </c>
      <c r="FZ268" s="168">
        <v>6</v>
      </c>
      <c r="GA268" s="168">
        <v>6</v>
      </c>
      <c r="GB268" s="168">
        <v>6</v>
      </c>
      <c r="GC268" s="168">
        <v>6</v>
      </c>
      <c r="GD268" s="168">
        <v>6</v>
      </c>
      <c r="GE268" s="168">
        <v>6</v>
      </c>
      <c r="GF268" s="168">
        <v>6</v>
      </c>
      <c r="GG268" s="168">
        <v>6</v>
      </c>
      <c r="GH268" s="168">
        <v>6</v>
      </c>
      <c r="GI268" s="168">
        <v>6</v>
      </c>
      <c r="GJ268" s="168">
        <v>6</v>
      </c>
      <c r="GK268" s="168">
        <v>6</v>
      </c>
      <c r="GL268" s="168">
        <v>6</v>
      </c>
      <c r="GM268" s="168">
        <v>6</v>
      </c>
      <c r="GN268" s="168">
        <v>6</v>
      </c>
      <c r="GO268" s="168">
        <v>6</v>
      </c>
      <c r="GP268" s="168">
        <v>6</v>
      </c>
      <c r="GQ268" s="168">
        <v>6</v>
      </c>
      <c r="GR268" s="168">
        <v>6</v>
      </c>
      <c r="GS268" s="168">
        <v>6</v>
      </c>
      <c r="GT268" s="168">
        <v>6</v>
      </c>
      <c r="GU268" s="168">
        <v>6</v>
      </c>
      <c r="GV268" s="168">
        <v>6</v>
      </c>
      <c r="GW268" s="168">
        <v>6</v>
      </c>
      <c r="GX268" s="168">
        <v>6</v>
      </c>
      <c r="GY268" s="168">
        <v>6</v>
      </c>
      <c r="GZ268" s="168">
        <v>6</v>
      </c>
      <c r="HA268" s="168">
        <v>6</v>
      </c>
      <c r="HB268" s="168">
        <v>6</v>
      </c>
      <c r="HC268" s="168">
        <v>6</v>
      </c>
      <c r="HD268" s="168">
        <v>6</v>
      </c>
      <c r="HE268" s="168">
        <v>6</v>
      </c>
      <c r="HF268" s="168">
        <v>6</v>
      </c>
      <c r="HG268" s="168">
        <v>6</v>
      </c>
      <c r="HH268" s="168">
        <v>6</v>
      </c>
      <c r="HI268" s="168">
        <v>6</v>
      </c>
      <c r="HJ268" s="168">
        <v>6</v>
      </c>
      <c r="HK268" s="168">
        <v>6</v>
      </c>
      <c r="HL268" s="168">
        <v>6</v>
      </c>
      <c r="HM268" s="168">
        <v>6</v>
      </c>
      <c r="HN268" s="168">
        <v>6</v>
      </c>
      <c r="HO268" s="168">
        <v>6</v>
      </c>
      <c r="HP268" s="168">
        <v>6</v>
      </c>
      <c r="HQ268" s="168">
        <v>6</v>
      </c>
      <c r="HR268" s="167">
        <v>12</v>
      </c>
      <c r="HS268" s="167">
        <v>12</v>
      </c>
      <c r="HT268" s="168">
        <v>6</v>
      </c>
      <c r="HU268" s="216"/>
      <c r="HV268" s="168">
        <v>6</v>
      </c>
      <c r="HW268" s="216"/>
      <c r="HX268" s="216"/>
      <c r="HY268" s="216"/>
      <c r="HZ268" s="216"/>
      <c r="IA268" s="216"/>
      <c r="IB268" s="216"/>
      <c r="IC268" s="216"/>
      <c r="ID268" s="216"/>
      <c r="IE268" s="216"/>
      <c r="IF268" s="216"/>
      <c r="IG268" s="216"/>
      <c r="IH268" s="216"/>
      <c r="II268" s="216"/>
      <c r="IJ268" s="216"/>
      <c r="IK268" s="216"/>
      <c r="IL268" s="216"/>
      <c r="IM268" s="216"/>
      <c r="IN268" s="216"/>
      <c r="IO268" s="216"/>
      <c r="IP268" s="216"/>
      <c r="IQ268" s="216"/>
      <c r="IR268" s="216"/>
      <c r="IS268" s="216"/>
      <c r="IT268" s="216"/>
      <c r="IU268" s="216"/>
      <c r="IV268" s="216"/>
      <c r="IW268" s="216"/>
      <c r="IX268" s="216"/>
      <c r="IY268" s="216"/>
      <c r="IZ268" s="216"/>
      <c r="JA268" s="216"/>
      <c r="JB268" s="216"/>
      <c r="JC268" s="216"/>
      <c r="JD268" s="216"/>
      <c r="JE268" s="216"/>
      <c r="JF268" s="216"/>
      <c r="JG268" s="216"/>
      <c r="JH268" s="216"/>
      <c r="JI268" s="216"/>
      <c r="JJ268" s="216"/>
      <c r="JK268" s="216"/>
      <c r="JL268" s="216"/>
      <c r="JM268" s="216"/>
      <c r="JN268" s="216"/>
      <c r="JO268" s="216"/>
      <c r="JP268" s="216"/>
      <c r="JQ268" s="216"/>
      <c r="JR268" s="216"/>
      <c r="JS268" s="216"/>
      <c r="JT268" s="216"/>
      <c r="JU268" s="216"/>
      <c r="JV268" s="216"/>
      <c r="JW268" s="216"/>
      <c r="JX268" s="216"/>
      <c r="JY268" s="216"/>
      <c r="JZ268" s="216"/>
      <c r="KA268" s="216"/>
      <c r="KB268" s="216"/>
      <c r="KC268" s="216"/>
      <c r="KD268" s="216"/>
      <c r="KE268" s="216"/>
      <c r="KF268" s="216"/>
      <c r="KG268" s="216"/>
      <c r="KH268" s="216"/>
      <c r="KI268" s="216"/>
      <c r="KJ268" s="216"/>
      <c r="KK268" s="216"/>
      <c r="KL268" s="216"/>
      <c r="KM268" s="216"/>
      <c r="KN268" s="216"/>
      <c r="KO268" s="216"/>
      <c r="KP268" s="216"/>
      <c r="KQ268" s="216"/>
      <c r="KR268" s="216"/>
      <c r="KS268" s="216"/>
      <c r="KT268" s="216"/>
      <c r="KU268" s="216"/>
      <c r="KV268" s="216"/>
      <c r="KW268" s="216"/>
      <c r="KX268" s="216"/>
      <c r="KY268" s="216"/>
      <c r="KZ268" s="216"/>
      <c r="LA268" s="216"/>
      <c r="LB268" s="216"/>
      <c r="LC268" s="216"/>
      <c r="LD268" s="216"/>
      <c r="LE268" s="216"/>
    </row>
    <row r="269" spans="1:317" x14ac:dyDescent="0.2">
      <c r="A269" s="179" t="s">
        <v>849</v>
      </c>
      <c r="B269" s="180" t="s">
        <v>1168</v>
      </c>
      <c r="C269" s="181"/>
      <c r="D269" s="182">
        <v>0</v>
      </c>
      <c r="E269" s="182">
        <v>0</v>
      </c>
      <c r="F269" s="183" t="s">
        <v>1345</v>
      </c>
      <c r="G269" s="183">
        <v>0</v>
      </c>
      <c r="H269" s="183">
        <v>0</v>
      </c>
      <c r="I269" s="183">
        <v>0</v>
      </c>
      <c r="J269" s="183">
        <v>0</v>
      </c>
      <c r="K269" s="183" t="s">
        <v>1402</v>
      </c>
      <c r="L269" s="183">
        <v>0</v>
      </c>
      <c r="M269" s="183">
        <v>0</v>
      </c>
      <c r="N269" s="183" t="s">
        <v>872</v>
      </c>
      <c r="O269" s="183">
        <v>0</v>
      </c>
      <c r="P269" s="183">
        <v>0</v>
      </c>
      <c r="Q269" s="183"/>
      <c r="R269" s="183"/>
      <c r="S269" s="183"/>
      <c r="T269" s="183"/>
      <c r="U269" s="183"/>
      <c r="V269" s="183">
        <v>0</v>
      </c>
      <c r="W269" s="183">
        <v>0</v>
      </c>
      <c r="X269" s="183">
        <v>0</v>
      </c>
      <c r="Y269" s="184">
        <v>19.059999999999999</v>
      </c>
      <c r="Z269" s="184">
        <v>37.71</v>
      </c>
      <c r="AA269" s="184">
        <v>0</v>
      </c>
      <c r="AB269" s="185" t="s">
        <v>615</v>
      </c>
      <c r="AC269" s="185" t="s">
        <v>615</v>
      </c>
      <c r="AD269" s="186" t="s">
        <v>872</v>
      </c>
      <c r="AE269" s="186" t="s">
        <v>852</v>
      </c>
      <c r="AF269" s="187">
        <v>7</v>
      </c>
      <c r="AG269" s="187">
        <v>3</v>
      </c>
      <c r="AH269" s="187">
        <v>4</v>
      </c>
      <c r="AI269" s="188">
        <v>1</v>
      </c>
      <c r="AJ269" s="188" t="s">
        <v>617</v>
      </c>
      <c r="AK269" s="187" t="s">
        <v>1741</v>
      </c>
      <c r="AL269" s="87">
        <v>27</v>
      </c>
      <c r="AM269" s="189"/>
      <c r="AN269" s="187">
        <v>27</v>
      </c>
      <c r="AO269" s="13" t="s">
        <v>615</v>
      </c>
      <c r="AP269" s="187">
        <v>0</v>
      </c>
      <c r="AQ269" s="187">
        <v>0</v>
      </c>
      <c r="AR269" s="190">
        <v>0</v>
      </c>
      <c r="AS269" s="190">
        <v>0</v>
      </c>
      <c r="AT269" s="190">
        <v>0</v>
      </c>
      <c r="AU269" s="187">
        <v>0</v>
      </c>
      <c r="AV269" s="187">
        <v>0</v>
      </c>
      <c r="AW269" s="191"/>
      <c r="AX269" s="192"/>
      <c r="AY269" s="193"/>
      <c r="AZ269" s="193"/>
      <c r="BA269" s="193"/>
      <c r="BB269" s="194"/>
      <c r="BC269" s="194"/>
      <c r="BD269" s="195"/>
      <c r="BE269" s="195" t="s">
        <v>532</v>
      </c>
      <c r="BF269" s="195"/>
      <c r="BG269" s="195">
        <v>10</v>
      </c>
      <c r="BH269" s="196" t="s">
        <v>547</v>
      </c>
      <c r="BI269" s="197">
        <v>1</v>
      </c>
      <c r="BJ269" s="198"/>
      <c r="BK269" s="199">
        <v>20</v>
      </c>
      <c r="BL269" s="13">
        <v>13</v>
      </c>
      <c r="BM269" s="13">
        <v>7</v>
      </c>
      <c r="BN269" s="13" t="s">
        <v>622</v>
      </c>
      <c r="BO269" s="13" t="s">
        <v>620</v>
      </c>
      <c r="BP269" s="200">
        <v>20</v>
      </c>
      <c r="BQ269" s="201"/>
      <c r="BR269" s="202"/>
      <c r="BS269" s="187">
        <v>1000000000</v>
      </c>
      <c r="BT269" s="203">
        <v>4</v>
      </c>
      <c r="BU269" s="204">
        <v>0.8</v>
      </c>
      <c r="BV269" s="203">
        <v>20</v>
      </c>
      <c r="BW269" s="205">
        <v>0</v>
      </c>
      <c r="BX269" s="205">
        <v>0</v>
      </c>
      <c r="BY269" s="205">
        <v>0</v>
      </c>
      <c r="BZ269" s="203">
        <v>0</v>
      </c>
      <c r="CA269" s="203">
        <v>0</v>
      </c>
      <c r="CB269" s="203">
        <v>24</v>
      </c>
      <c r="CC269" s="204">
        <v>-0.2</v>
      </c>
      <c r="CD269" s="203">
        <v>0</v>
      </c>
      <c r="CE269" s="203">
        <v>0</v>
      </c>
      <c r="CF269" s="13">
        <v>0</v>
      </c>
      <c r="CG269" s="206">
        <v>0</v>
      </c>
      <c r="CH269" s="207">
        <v>11</v>
      </c>
      <c r="CI269" s="201"/>
      <c r="CJ269" s="208"/>
      <c r="CK269" s="209" t="s">
        <v>615</v>
      </c>
      <c r="CL269" s="210" t="s">
        <v>615</v>
      </c>
      <c r="CM269" s="207">
        <v>55.95</v>
      </c>
      <c r="CN269" s="207">
        <v>0</v>
      </c>
      <c r="CO269" s="204">
        <v>0</v>
      </c>
      <c r="CP269" s="204">
        <v>6.7096387348223674</v>
      </c>
      <c r="CQ269" s="211"/>
      <c r="CR269" s="204">
        <v>1</v>
      </c>
      <c r="CS269" s="212">
        <v>42766</v>
      </c>
      <c r="CT269" s="212">
        <v>42780</v>
      </c>
      <c r="CU269" s="213">
        <v>42780</v>
      </c>
      <c r="CV269" s="214">
        <v>42829</v>
      </c>
      <c r="CW269" s="214" t="s">
        <v>615</v>
      </c>
      <c r="CX269" s="214" t="s">
        <v>615</v>
      </c>
      <c r="CY269" s="204">
        <v>0.82411582764042068</v>
      </c>
      <c r="CZ269" s="204">
        <v>0.97959183673469397</v>
      </c>
      <c r="DA269" s="203">
        <v>173</v>
      </c>
      <c r="DB269" s="204">
        <v>0</v>
      </c>
      <c r="DC269" s="204">
        <v>0.93877551020408168</v>
      </c>
      <c r="DD269" s="204">
        <v>0</v>
      </c>
      <c r="DE269" s="204">
        <v>4.0816326530612242E-2</v>
      </c>
      <c r="DF269" s="215">
        <v>0</v>
      </c>
      <c r="DG269" s="13" t="s">
        <v>615</v>
      </c>
      <c r="DH269" s="86">
        <v>267</v>
      </c>
      <c r="DI269" s="86"/>
      <c r="DJ269" s="86">
        <v>146</v>
      </c>
      <c r="DK269" s="86" t="s">
        <v>1503</v>
      </c>
      <c r="DL269" s="86" t="e">
        <v>#N/A</v>
      </c>
      <c r="DM269" s="86">
        <v>66</v>
      </c>
      <c r="DN269" s="86" t="e">
        <v>#N/A</v>
      </c>
      <c r="DO269" s="86">
        <v>153</v>
      </c>
      <c r="DP269" s="86">
        <v>2</v>
      </c>
      <c r="DQ269" s="86">
        <v>49</v>
      </c>
      <c r="DR269" s="151"/>
      <c r="DS269" s="152"/>
      <c r="DT269" s="151"/>
      <c r="DU269" s="151"/>
      <c r="DV269" s="151"/>
      <c r="DW269" s="151"/>
      <c r="DX269" s="151"/>
      <c r="DY269" s="152"/>
      <c r="DZ269" s="151"/>
      <c r="EA269" s="151"/>
      <c r="EB269" s="151"/>
      <c r="EC269" s="151"/>
      <c r="ED269" s="151"/>
      <c r="EE269" s="151"/>
      <c r="EF269" s="226"/>
      <c r="EG269" s="226"/>
      <c r="EH269" s="151"/>
      <c r="EI269" s="151"/>
      <c r="EJ269" s="151"/>
      <c r="EK269" s="151"/>
      <c r="EL269" s="151"/>
      <c r="EM269" s="226"/>
      <c r="EN269" s="151"/>
      <c r="EO269" s="151"/>
      <c r="EP269" s="151"/>
      <c r="EQ269" s="151"/>
      <c r="ER269" s="226"/>
      <c r="ES269" s="226"/>
      <c r="ET269" s="151"/>
      <c r="EU269" s="151"/>
      <c r="EV269" s="151"/>
      <c r="EW269" s="151"/>
      <c r="EX269" s="151"/>
      <c r="EY269" s="226"/>
      <c r="EZ269" s="151"/>
      <c r="FA269" s="151"/>
      <c r="FB269" s="151"/>
      <c r="FC269" s="151"/>
      <c r="FD269" s="151"/>
      <c r="FE269" s="226"/>
      <c r="FF269" s="151"/>
      <c r="FG269" s="151"/>
      <c r="FH269" s="151"/>
      <c r="FI269" s="226"/>
      <c r="FJ269" s="226"/>
      <c r="FK269" s="151"/>
      <c r="FL269" s="151"/>
      <c r="FM269" s="165">
        <v>4</v>
      </c>
      <c r="FN269" s="165">
        <v>4</v>
      </c>
      <c r="FO269" s="140">
        <v>4</v>
      </c>
      <c r="FP269" s="140">
        <v>4</v>
      </c>
      <c r="FQ269" s="140">
        <v>4</v>
      </c>
      <c r="FR269" s="140">
        <v>4</v>
      </c>
      <c r="FS269" s="140">
        <v>4</v>
      </c>
      <c r="FT269" s="140">
        <v>4</v>
      </c>
      <c r="FU269" s="140">
        <v>4</v>
      </c>
      <c r="FV269" s="140">
        <v>4</v>
      </c>
      <c r="FW269" s="140">
        <v>4</v>
      </c>
      <c r="FX269" s="140">
        <v>4</v>
      </c>
      <c r="FY269" s="140">
        <v>4</v>
      </c>
      <c r="FZ269" s="140">
        <v>4</v>
      </c>
      <c r="GA269" s="140">
        <v>4</v>
      </c>
      <c r="GB269" s="140">
        <v>4</v>
      </c>
      <c r="GC269" s="140">
        <v>4</v>
      </c>
      <c r="GD269" s="140">
        <v>4</v>
      </c>
      <c r="GE269" s="140">
        <v>4</v>
      </c>
      <c r="GF269" s="140">
        <v>4</v>
      </c>
      <c r="GG269" s="140">
        <v>4</v>
      </c>
      <c r="GH269" s="140">
        <v>4</v>
      </c>
      <c r="GI269" s="140">
        <v>3</v>
      </c>
      <c r="GJ269" s="140">
        <v>3</v>
      </c>
      <c r="GK269" s="140">
        <v>3</v>
      </c>
      <c r="GL269" s="140">
        <v>3</v>
      </c>
      <c r="GM269" s="140">
        <v>3</v>
      </c>
      <c r="GN269" s="140">
        <v>3</v>
      </c>
      <c r="GO269" s="140">
        <v>3</v>
      </c>
      <c r="GP269" s="140">
        <v>3</v>
      </c>
      <c r="GQ269" s="140">
        <v>3</v>
      </c>
      <c r="GR269" s="140">
        <v>3</v>
      </c>
      <c r="GS269" s="140">
        <v>3</v>
      </c>
      <c r="GT269" s="140">
        <v>3</v>
      </c>
      <c r="GU269" s="140">
        <v>3</v>
      </c>
      <c r="GV269" s="140">
        <v>3</v>
      </c>
      <c r="GW269" s="140">
        <v>3</v>
      </c>
      <c r="GX269" s="140">
        <v>3</v>
      </c>
      <c r="GY269" s="140">
        <v>3</v>
      </c>
      <c r="GZ269" s="140">
        <v>3</v>
      </c>
      <c r="HA269" s="140">
        <v>3</v>
      </c>
      <c r="HB269" s="140">
        <v>3</v>
      </c>
      <c r="HC269" s="140">
        <v>3</v>
      </c>
      <c r="HD269" s="140">
        <v>3</v>
      </c>
      <c r="HE269" s="140">
        <v>3</v>
      </c>
      <c r="HF269" s="140">
        <v>3</v>
      </c>
      <c r="HG269" s="140">
        <v>3</v>
      </c>
      <c r="HH269" s="140">
        <v>3</v>
      </c>
      <c r="HI269" s="140">
        <v>3</v>
      </c>
      <c r="HJ269" s="140">
        <v>3</v>
      </c>
      <c r="HK269" s="140">
        <v>3</v>
      </c>
      <c r="HL269" s="140">
        <v>3</v>
      </c>
      <c r="HM269" s="140">
        <v>3</v>
      </c>
      <c r="HN269" s="140">
        <v>3</v>
      </c>
      <c r="HO269" s="140">
        <v>3</v>
      </c>
      <c r="HP269" s="140">
        <v>3</v>
      </c>
      <c r="HQ269" s="140">
        <v>3</v>
      </c>
      <c r="HR269" s="162">
        <v>19</v>
      </c>
      <c r="HS269" s="162">
        <v>19</v>
      </c>
      <c r="HT269" s="140">
        <v>4</v>
      </c>
      <c r="HU269" s="151"/>
      <c r="HV269" s="140">
        <v>4</v>
      </c>
      <c r="HW269" s="151"/>
      <c r="HX269" s="151"/>
      <c r="HY269" s="151"/>
      <c r="HZ269" s="151"/>
      <c r="IA269" s="151"/>
      <c r="IB269" s="151"/>
      <c r="IC269" s="151"/>
      <c r="ID269" s="151"/>
      <c r="IE269" s="151"/>
      <c r="IF269" s="151"/>
      <c r="IG269" s="151"/>
      <c r="IH269" s="151"/>
      <c r="II269" s="151"/>
      <c r="IJ269" s="151"/>
      <c r="IK269" s="151"/>
      <c r="IL269" s="151"/>
      <c r="IM269" s="151"/>
      <c r="IN269" s="151"/>
      <c r="IO269" s="151"/>
      <c r="IP269" s="151"/>
      <c r="IQ269" s="151"/>
      <c r="IR269" s="151"/>
      <c r="IS269" s="151"/>
      <c r="IT269" s="151"/>
      <c r="IU269" s="151"/>
      <c r="IV269" s="151"/>
      <c r="IW269" s="151"/>
      <c r="IX269" s="151"/>
      <c r="IY269" s="151"/>
      <c r="IZ269" s="151"/>
      <c r="JA269" s="151"/>
      <c r="JB269" s="151"/>
      <c r="JC269" s="151"/>
      <c r="JD269" s="151"/>
      <c r="JE269" s="151"/>
      <c r="JF269" s="151"/>
      <c r="JG269" s="151"/>
      <c r="JH269" s="151"/>
      <c r="JI269" s="151"/>
      <c r="JJ269" s="151"/>
      <c r="JK269" s="151"/>
      <c r="JL269" s="151"/>
      <c r="JM269" s="151"/>
      <c r="JN269" s="151"/>
      <c r="JO269" s="151"/>
      <c r="JP269" s="151"/>
      <c r="JQ269" s="151"/>
      <c r="JR269" s="151"/>
      <c r="JS269" s="151"/>
      <c r="JT269" s="151"/>
      <c r="JU269" s="151"/>
      <c r="JV269" s="151"/>
      <c r="JW269" s="151"/>
      <c r="JX269" s="151"/>
      <c r="JY269" s="151"/>
      <c r="JZ269" s="151"/>
      <c r="KA269" s="151"/>
      <c r="KB269" s="151"/>
      <c r="KC269" s="151"/>
      <c r="KD269" s="151"/>
      <c r="KE269" s="151"/>
      <c r="KF269" s="151"/>
      <c r="KG269" s="151"/>
      <c r="KH269" s="151"/>
      <c r="KI269" s="151"/>
      <c r="KJ269" s="151"/>
      <c r="KK269" s="151"/>
      <c r="KL269" s="151"/>
      <c r="KM269" s="151"/>
      <c r="KN269" s="151"/>
      <c r="KO269" s="151"/>
      <c r="KP269" s="151"/>
      <c r="KQ269" s="151"/>
      <c r="KR269" s="151"/>
      <c r="KS269" s="151"/>
      <c r="KT269" s="151"/>
      <c r="KU269" s="151"/>
      <c r="KV269" s="151"/>
      <c r="KW269" s="151"/>
      <c r="KX269" s="151"/>
      <c r="KY269" s="151"/>
      <c r="KZ269" s="151"/>
      <c r="LA269" s="151"/>
      <c r="LB269" s="151"/>
      <c r="LC269" s="151"/>
      <c r="LD269" s="151"/>
      <c r="LE269" s="151"/>
    </row>
    <row r="270" spans="1:317" x14ac:dyDescent="0.2">
      <c r="A270" s="179" t="s">
        <v>849</v>
      </c>
      <c r="B270" s="180" t="s">
        <v>1169</v>
      </c>
      <c r="C270" s="181"/>
      <c r="D270" s="182">
        <v>0</v>
      </c>
      <c r="E270" s="182">
        <v>0</v>
      </c>
      <c r="F270" s="183" t="s">
        <v>1346</v>
      </c>
      <c r="G270" s="183">
        <v>0</v>
      </c>
      <c r="H270" s="183">
        <v>0</v>
      </c>
      <c r="I270" s="183">
        <v>0</v>
      </c>
      <c r="J270" s="183">
        <v>0</v>
      </c>
      <c r="K270" s="183" t="s">
        <v>1402</v>
      </c>
      <c r="L270" s="183">
        <v>0</v>
      </c>
      <c r="M270" s="183">
        <v>0</v>
      </c>
      <c r="N270" s="183" t="s">
        <v>872</v>
      </c>
      <c r="O270" s="183">
        <v>0</v>
      </c>
      <c r="P270" s="183">
        <v>0</v>
      </c>
      <c r="Q270" s="183"/>
      <c r="R270" s="183"/>
      <c r="S270" s="183"/>
      <c r="T270" s="183"/>
      <c r="U270" s="183"/>
      <c r="V270" s="183">
        <v>0</v>
      </c>
      <c r="W270" s="183">
        <v>0</v>
      </c>
      <c r="X270" s="183">
        <v>0</v>
      </c>
      <c r="Y270" s="184">
        <v>0</v>
      </c>
      <c r="Z270" s="184">
        <v>0</v>
      </c>
      <c r="AA270" s="184">
        <v>0</v>
      </c>
      <c r="AB270" s="185" t="s">
        <v>615</v>
      </c>
      <c r="AC270" s="185" t="s">
        <v>615</v>
      </c>
      <c r="AD270" s="186" t="s">
        <v>872</v>
      </c>
      <c r="AE270" s="186" t="s">
        <v>852</v>
      </c>
      <c r="AF270" s="187">
        <v>7</v>
      </c>
      <c r="AG270" s="187">
        <v>3</v>
      </c>
      <c r="AH270" s="187">
        <v>4</v>
      </c>
      <c r="AI270" s="188">
        <v>1</v>
      </c>
      <c r="AJ270" s="188" t="s">
        <v>615</v>
      </c>
      <c r="AK270" s="187" t="s">
        <v>1741</v>
      </c>
      <c r="AL270" s="87" t="s">
        <v>615</v>
      </c>
      <c r="AM270" s="189"/>
      <c r="AN270" s="187" t="s">
        <v>615</v>
      </c>
      <c r="AO270" s="13" t="s">
        <v>615</v>
      </c>
      <c r="AP270" s="187">
        <v>0</v>
      </c>
      <c r="AQ270" s="187">
        <v>0</v>
      </c>
      <c r="AR270" s="190">
        <v>0</v>
      </c>
      <c r="AS270" s="190">
        <v>0</v>
      </c>
      <c r="AT270" s="190">
        <v>0</v>
      </c>
      <c r="AU270" s="187">
        <v>0</v>
      </c>
      <c r="AV270" s="187">
        <v>0</v>
      </c>
      <c r="AW270" s="191"/>
      <c r="AX270" s="192"/>
      <c r="AY270" s="193"/>
      <c r="AZ270" s="193"/>
      <c r="BA270" s="193"/>
      <c r="BB270" s="194"/>
      <c r="BC270" s="194"/>
      <c r="BD270" s="195"/>
      <c r="BE270" s="195" t="s">
        <v>532</v>
      </c>
      <c r="BF270" s="195"/>
      <c r="BG270" s="195">
        <v>10</v>
      </c>
      <c r="BH270" s="196" t="s">
        <v>547</v>
      </c>
      <c r="BI270" s="197">
        <v>1</v>
      </c>
      <c r="BJ270" s="198"/>
      <c r="BK270" s="199">
        <v>0</v>
      </c>
      <c r="BL270" s="13">
        <v>0</v>
      </c>
      <c r="BM270" s="13">
        <v>0</v>
      </c>
      <c r="BN270" s="13" t="s">
        <v>616</v>
      </c>
      <c r="BO270" s="13" t="s">
        <v>616</v>
      </c>
      <c r="BP270" s="200">
        <v>10</v>
      </c>
      <c r="BQ270" s="201"/>
      <c r="BR270" s="202"/>
      <c r="BS270" s="187">
        <v>1000000000</v>
      </c>
      <c r="BT270" s="203">
        <v>0</v>
      </c>
      <c r="BU270" s="204">
        <v>0</v>
      </c>
      <c r="BV270" s="203">
        <v>10</v>
      </c>
      <c r="BW270" s="205">
        <v>0</v>
      </c>
      <c r="BX270" s="205">
        <v>0</v>
      </c>
      <c r="BY270" s="205">
        <v>0</v>
      </c>
      <c r="BZ270" s="203">
        <v>0</v>
      </c>
      <c r="CA270" s="203">
        <v>0</v>
      </c>
      <c r="CB270" s="203">
        <v>10</v>
      </c>
      <c r="CC270" s="204">
        <v>0</v>
      </c>
      <c r="CD270" s="203">
        <v>0</v>
      </c>
      <c r="CE270" s="203">
        <v>0</v>
      </c>
      <c r="CF270" s="13">
        <v>0</v>
      </c>
      <c r="CG270" s="206">
        <v>0</v>
      </c>
      <c r="CH270" s="207">
        <v>0</v>
      </c>
      <c r="CI270" s="201"/>
      <c r="CJ270" s="208"/>
      <c r="CK270" s="209" t="s">
        <v>615</v>
      </c>
      <c r="CL270" s="210" t="s">
        <v>615</v>
      </c>
      <c r="CM270" s="207">
        <v>0</v>
      </c>
      <c r="CN270" s="207">
        <v>0</v>
      </c>
      <c r="CO270" s="204">
        <v>0</v>
      </c>
      <c r="CP270" s="204">
        <v>0</v>
      </c>
      <c r="CQ270" s="211"/>
      <c r="CR270" s="204">
        <v>1</v>
      </c>
      <c r="CS270" s="212">
        <v>42766</v>
      </c>
      <c r="CT270" s="212">
        <v>42780</v>
      </c>
      <c r="CU270" s="213">
        <v>42780</v>
      </c>
      <c r="CV270" s="214">
        <v>42829</v>
      </c>
      <c r="CW270" s="214" t="s">
        <v>615</v>
      </c>
      <c r="CX270" s="214" t="s">
        <v>615</v>
      </c>
      <c r="CY270" s="204">
        <v>1</v>
      </c>
      <c r="CZ270" s="204">
        <v>0.97959183673469385</v>
      </c>
      <c r="DA270" s="203">
        <v>0</v>
      </c>
      <c r="DB270" s="204">
        <v>0.97959183673469385</v>
      </c>
      <c r="DC270" s="204">
        <v>0</v>
      </c>
      <c r="DD270" s="204">
        <v>0</v>
      </c>
      <c r="DE270" s="204">
        <v>0</v>
      </c>
      <c r="DF270" s="215">
        <v>0</v>
      </c>
      <c r="DG270" s="13" t="s">
        <v>615</v>
      </c>
      <c r="DH270" s="86">
        <v>268</v>
      </c>
      <c r="DI270" s="86"/>
      <c r="DJ270" s="86">
        <v>147</v>
      </c>
      <c r="DK270" s="86" t="s">
        <v>1610</v>
      </c>
      <c r="DL270" s="86" t="e">
        <v>#N/A</v>
      </c>
      <c r="DM270" s="86" t="e">
        <v>#N/A</v>
      </c>
      <c r="DN270" s="86" t="e">
        <v>#N/A</v>
      </c>
      <c r="DO270" s="86">
        <v>154</v>
      </c>
      <c r="DP270" s="86">
        <v>2</v>
      </c>
      <c r="DQ270" s="86">
        <v>49</v>
      </c>
      <c r="DR270" s="216"/>
      <c r="DS270" s="152"/>
      <c r="DT270" s="216"/>
      <c r="DU270" s="216"/>
      <c r="DV270" s="216"/>
      <c r="DW270" s="216"/>
      <c r="DX270" s="216"/>
      <c r="DY270" s="152"/>
      <c r="DZ270" s="216"/>
      <c r="EA270" s="216"/>
      <c r="EB270" s="216"/>
      <c r="EC270" s="216"/>
      <c r="ED270" s="216"/>
      <c r="EE270" s="216"/>
      <c r="EF270" s="225"/>
      <c r="EG270" s="225"/>
      <c r="EH270" s="216"/>
      <c r="EI270" s="216"/>
      <c r="EJ270" s="216"/>
      <c r="EK270" s="216"/>
      <c r="EL270" s="216"/>
      <c r="EM270" s="225"/>
      <c r="EN270" s="216"/>
      <c r="EO270" s="216"/>
      <c r="EP270" s="216"/>
      <c r="EQ270" s="216"/>
      <c r="ER270" s="225"/>
      <c r="ES270" s="225"/>
      <c r="ET270" s="216"/>
      <c r="EU270" s="216"/>
      <c r="EV270" s="216"/>
      <c r="EW270" s="216"/>
      <c r="EX270" s="216"/>
      <c r="EY270" s="225"/>
      <c r="EZ270" s="216"/>
      <c r="FA270" s="216"/>
      <c r="FB270" s="216"/>
      <c r="FC270" s="216"/>
      <c r="FD270" s="216"/>
      <c r="FE270" s="225"/>
      <c r="FF270" s="216"/>
      <c r="FG270" s="216"/>
      <c r="FH270" s="216"/>
      <c r="FI270" s="225"/>
      <c r="FJ270" s="225"/>
      <c r="FK270" s="216"/>
      <c r="FL270" s="216"/>
      <c r="FM270" s="166">
        <v>0</v>
      </c>
      <c r="FN270" s="166">
        <v>0</v>
      </c>
      <c r="FO270" s="166">
        <v>0</v>
      </c>
      <c r="FP270" s="166">
        <v>0</v>
      </c>
      <c r="FQ270" s="166">
        <v>0</v>
      </c>
      <c r="FR270" s="166">
        <v>0</v>
      </c>
      <c r="FS270" s="166">
        <v>0</v>
      </c>
      <c r="FT270" s="166">
        <v>0</v>
      </c>
      <c r="FU270" s="166">
        <v>0</v>
      </c>
      <c r="FV270" s="166">
        <v>0</v>
      </c>
      <c r="FW270" s="166">
        <v>0</v>
      </c>
      <c r="FX270" s="166">
        <v>0</v>
      </c>
      <c r="FY270" s="166">
        <v>0</v>
      </c>
      <c r="FZ270" s="166">
        <v>0</v>
      </c>
      <c r="GA270" s="166">
        <v>0</v>
      </c>
      <c r="GB270" s="166">
        <v>0</v>
      </c>
      <c r="GC270" s="166">
        <v>0</v>
      </c>
      <c r="GD270" s="166">
        <v>0</v>
      </c>
      <c r="GE270" s="166">
        <v>0</v>
      </c>
      <c r="GF270" s="166">
        <v>0</v>
      </c>
      <c r="GG270" s="166">
        <v>0</v>
      </c>
      <c r="GH270" s="166">
        <v>0</v>
      </c>
      <c r="GI270" s="166">
        <v>0</v>
      </c>
      <c r="GJ270" s="166">
        <v>0</v>
      </c>
      <c r="GK270" s="166">
        <v>0</v>
      </c>
      <c r="GL270" s="166">
        <v>0</v>
      </c>
      <c r="GM270" s="166">
        <v>0</v>
      </c>
      <c r="GN270" s="166">
        <v>0</v>
      </c>
      <c r="GO270" s="166">
        <v>0</v>
      </c>
      <c r="GP270" s="166">
        <v>0</v>
      </c>
      <c r="GQ270" s="166">
        <v>0</v>
      </c>
      <c r="GR270" s="166">
        <v>0</v>
      </c>
      <c r="GS270" s="166">
        <v>0</v>
      </c>
      <c r="GT270" s="166">
        <v>0</v>
      </c>
      <c r="GU270" s="166">
        <v>0</v>
      </c>
      <c r="GV270" s="166">
        <v>0</v>
      </c>
      <c r="GW270" s="166">
        <v>0</v>
      </c>
      <c r="GX270" s="166">
        <v>0</v>
      </c>
      <c r="GY270" s="166">
        <v>0</v>
      </c>
      <c r="GZ270" s="166">
        <v>0</v>
      </c>
      <c r="HA270" s="166">
        <v>0</v>
      </c>
      <c r="HB270" s="166">
        <v>0</v>
      </c>
      <c r="HC270" s="166">
        <v>0</v>
      </c>
      <c r="HD270" s="166">
        <v>0</v>
      </c>
      <c r="HE270" s="166">
        <v>0</v>
      </c>
      <c r="HF270" s="166">
        <v>0</v>
      </c>
      <c r="HG270" s="166">
        <v>0</v>
      </c>
      <c r="HH270" s="152">
        <v>0</v>
      </c>
      <c r="HI270" s="152">
        <v>0</v>
      </c>
      <c r="HJ270" s="152">
        <v>0</v>
      </c>
      <c r="HK270" s="152">
        <v>0</v>
      </c>
      <c r="HL270" s="152">
        <v>0</v>
      </c>
      <c r="HM270" s="152">
        <v>0</v>
      </c>
      <c r="HN270" s="152">
        <v>0</v>
      </c>
      <c r="HO270" s="152">
        <v>0</v>
      </c>
      <c r="HP270" s="152">
        <v>0</v>
      </c>
      <c r="HQ270" s="152">
        <v>0</v>
      </c>
      <c r="HR270" s="152">
        <v>0</v>
      </c>
      <c r="HS270" s="152">
        <v>0</v>
      </c>
      <c r="HT270" s="152">
        <v>0</v>
      </c>
      <c r="HU270" s="216"/>
      <c r="HV270" s="152">
        <v>0</v>
      </c>
      <c r="HW270" s="216"/>
      <c r="HX270" s="216"/>
      <c r="HY270" s="216"/>
      <c r="HZ270" s="216"/>
      <c r="IA270" s="216"/>
      <c r="IB270" s="216"/>
      <c r="IC270" s="216"/>
      <c r="ID270" s="216"/>
      <c r="IE270" s="216"/>
      <c r="IF270" s="216"/>
      <c r="IG270" s="216"/>
      <c r="IH270" s="216"/>
      <c r="II270" s="216"/>
      <c r="IJ270" s="216"/>
      <c r="IK270" s="216"/>
      <c r="IL270" s="216"/>
      <c r="IM270" s="216"/>
      <c r="IN270" s="216"/>
      <c r="IO270" s="216"/>
      <c r="IP270" s="216"/>
      <c r="IQ270" s="216"/>
      <c r="IR270" s="216"/>
      <c r="IS270" s="216"/>
      <c r="IT270" s="216"/>
      <c r="IU270" s="216"/>
      <c r="IV270" s="216"/>
      <c r="IW270" s="216"/>
      <c r="IX270" s="216"/>
      <c r="IY270" s="216"/>
      <c r="IZ270" s="216"/>
      <c r="JA270" s="216"/>
      <c r="JB270" s="216"/>
      <c r="JC270" s="216"/>
      <c r="JD270" s="216"/>
      <c r="JE270" s="216"/>
      <c r="JF270" s="216"/>
      <c r="JG270" s="216"/>
      <c r="JH270" s="216"/>
      <c r="JI270" s="216"/>
      <c r="JJ270" s="216"/>
      <c r="JK270" s="216"/>
      <c r="JL270" s="216"/>
      <c r="JM270" s="216"/>
      <c r="JN270" s="216"/>
      <c r="JO270" s="216"/>
      <c r="JP270" s="216"/>
      <c r="JQ270" s="216"/>
      <c r="JR270" s="216"/>
      <c r="JS270" s="216"/>
      <c r="JT270" s="216"/>
      <c r="JU270" s="216"/>
      <c r="JV270" s="216"/>
      <c r="JW270" s="216"/>
      <c r="JX270" s="216"/>
      <c r="JY270" s="216"/>
      <c r="JZ270" s="216"/>
      <c r="KA270" s="216"/>
      <c r="KB270" s="216"/>
      <c r="KC270" s="216"/>
      <c r="KD270" s="216"/>
      <c r="KE270" s="216"/>
      <c r="KF270" s="216"/>
      <c r="KG270" s="216"/>
      <c r="KH270" s="216"/>
      <c r="KI270" s="216"/>
      <c r="KJ270" s="216"/>
      <c r="KK270" s="216"/>
      <c r="KL270" s="216"/>
      <c r="KM270" s="216"/>
      <c r="KN270" s="216"/>
      <c r="KO270" s="216"/>
      <c r="KP270" s="216"/>
      <c r="KQ270" s="216"/>
      <c r="KR270" s="216"/>
      <c r="KS270" s="216"/>
      <c r="KT270" s="216"/>
      <c r="KU270" s="216"/>
      <c r="KV270" s="216"/>
      <c r="KW270" s="216"/>
      <c r="KX270" s="216"/>
      <c r="KY270" s="216"/>
      <c r="KZ270" s="216"/>
      <c r="LA270" s="216"/>
      <c r="LB270" s="216"/>
      <c r="LC270" s="216"/>
      <c r="LD270" s="216"/>
      <c r="LE270" s="216"/>
    </row>
    <row r="271" spans="1:317" x14ac:dyDescent="0.2">
      <c r="A271" s="179" t="s">
        <v>849</v>
      </c>
      <c r="B271" s="180" t="s">
        <v>1170</v>
      </c>
      <c r="C271" s="181"/>
      <c r="D271" s="182">
        <v>0</v>
      </c>
      <c r="E271" s="182">
        <v>0</v>
      </c>
      <c r="F271" s="183" t="s">
        <v>1347</v>
      </c>
      <c r="G271" s="183">
        <v>0</v>
      </c>
      <c r="H271" s="183">
        <v>0</v>
      </c>
      <c r="I271" s="183">
        <v>0</v>
      </c>
      <c r="J271" s="183">
        <v>0</v>
      </c>
      <c r="K271" s="183" t="s">
        <v>1402</v>
      </c>
      <c r="L271" s="183">
        <v>0</v>
      </c>
      <c r="M271" s="183">
        <v>0</v>
      </c>
      <c r="N271" s="183" t="s">
        <v>872</v>
      </c>
      <c r="O271" s="183">
        <v>0</v>
      </c>
      <c r="P271" s="183">
        <v>0</v>
      </c>
      <c r="Q271" s="183"/>
      <c r="R271" s="183"/>
      <c r="S271" s="183"/>
      <c r="T271" s="183"/>
      <c r="U271" s="183"/>
      <c r="V271" s="183">
        <v>0</v>
      </c>
      <c r="W271" s="183">
        <v>0</v>
      </c>
      <c r="X271" s="183">
        <v>0</v>
      </c>
      <c r="Y271" s="184">
        <v>0</v>
      </c>
      <c r="Z271" s="184">
        <v>0</v>
      </c>
      <c r="AA271" s="184">
        <v>0</v>
      </c>
      <c r="AB271" s="185" t="s">
        <v>615</v>
      </c>
      <c r="AC271" s="185" t="s">
        <v>615</v>
      </c>
      <c r="AD271" s="186" t="s">
        <v>872</v>
      </c>
      <c r="AE271" s="186" t="s">
        <v>852</v>
      </c>
      <c r="AF271" s="187">
        <v>7</v>
      </c>
      <c r="AG271" s="187">
        <v>3</v>
      </c>
      <c r="AH271" s="187">
        <v>4</v>
      </c>
      <c r="AI271" s="188">
        <v>1</v>
      </c>
      <c r="AJ271" s="188" t="s">
        <v>615</v>
      </c>
      <c r="AK271" s="187" t="s">
        <v>1741</v>
      </c>
      <c r="AL271" s="87" t="s">
        <v>615</v>
      </c>
      <c r="AM271" s="189"/>
      <c r="AN271" s="187" t="s">
        <v>615</v>
      </c>
      <c r="AO271" s="13" t="s">
        <v>615</v>
      </c>
      <c r="AP271" s="187">
        <v>0</v>
      </c>
      <c r="AQ271" s="187">
        <v>0</v>
      </c>
      <c r="AR271" s="190">
        <v>0</v>
      </c>
      <c r="AS271" s="190">
        <v>0</v>
      </c>
      <c r="AT271" s="190">
        <v>0</v>
      </c>
      <c r="AU271" s="187">
        <v>0</v>
      </c>
      <c r="AV271" s="187">
        <v>0</v>
      </c>
      <c r="AW271" s="191"/>
      <c r="AX271" s="192"/>
      <c r="AY271" s="193"/>
      <c r="AZ271" s="193"/>
      <c r="BA271" s="193"/>
      <c r="BB271" s="194"/>
      <c r="BC271" s="194"/>
      <c r="BD271" s="195"/>
      <c r="BE271" s="195" t="s">
        <v>532</v>
      </c>
      <c r="BF271" s="195"/>
      <c r="BG271" s="195">
        <v>10</v>
      </c>
      <c r="BH271" s="196" t="s">
        <v>547</v>
      </c>
      <c r="BI271" s="197">
        <v>1</v>
      </c>
      <c r="BJ271" s="198"/>
      <c r="BK271" s="199">
        <v>0</v>
      </c>
      <c r="BL271" s="13">
        <v>0</v>
      </c>
      <c r="BM271" s="13">
        <v>0</v>
      </c>
      <c r="BN271" s="13" t="s">
        <v>616</v>
      </c>
      <c r="BO271" s="13" t="s">
        <v>616</v>
      </c>
      <c r="BP271" s="200">
        <v>10</v>
      </c>
      <c r="BQ271" s="201"/>
      <c r="BR271" s="202"/>
      <c r="BS271" s="187">
        <v>1000000000</v>
      </c>
      <c r="BT271" s="203">
        <v>0</v>
      </c>
      <c r="BU271" s="204">
        <v>0</v>
      </c>
      <c r="BV271" s="203">
        <v>10</v>
      </c>
      <c r="BW271" s="205">
        <v>0</v>
      </c>
      <c r="BX271" s="205">
        <v>0</v>
      </c>
      <c r="BY271" s="205">
        <v>0</v>
      </c>
      <c r="BZ271" s="203">
        <v>0</v>
      </c>
      <c r="CA271" s="203">
        <v>0</v>
      </c>
      <c r="CB271" s="203">
        <v>10</v>
      </c>
      <c r="CC271" s="204">
        <v>0</v>
      </c>
      <c r="CD271" s="203">
        <v>0</v>
      </c>
      <c r="CE271" s="203">
        <v>0</v>
      </c>
      <c r="CF271" s="13">
        <v>0</v>
      </c>
      <c r="CG271" s="206">
        <v>0</v>
      </c>
      <c r="CH271" s="207">
        <v>0</v>
      </c>
      <c r="CI271" s="201"/>
      <c r="CJ271" s="208"/>
      <c r="CK271" s="209" t="s">
        <v>615</v>
      </c>
      <c r="CL271" s="210" t="s">
        <v>615</v>
      </c>
      <c r="CM271" s="207">
        <v>0</v>
      </c>
      <c r="CN271" s="207">
        <v>0</v>
      </c>
      <c r="CO271" s="204">
        <v>0</v>
      </c>
      <c r="CP271" s="204">
        <v>0</v>
      </c>
      <c r="CQ271" s="211"/>
      <c r="CR271" s="204">
        <v>1</v>
      </c>
      <c r="CS271" s="212">
        <v>42766</v>
      </c>
      <c r="CT271" s="212">
        <v>42780</v>
      </c>
      <c r="CU271" s="213">
        <v>42780</v>
      </c>
      <c r="CV271" s="214">
        <v>42829</v>
      </c>
      <c r="CW271" s="214" t="s">
        <v>615</v>
      </c>
      <c r="CX271" s="214" t="s">
        <v>615</v>
      </c>
      <c r="CY271" s="204">
        <v>1</v>
      </c>
      <c r="CZ271" s="204">
        <v>0.97959183673469385</v>
      </c>
      <c r="DA271" s="203">
        <v>0</v>
      </c>
      <c r="DB271" s="204">
        <v>0.97959183673469385</v>
      </c>
      <c r="DC271" s="204">
        <v>0</v>
      </c>
      <c r="DD271" s="204">
        <v>0</v>
      </c>
      <c r="DE271" s="204">
        <v>0</v>
      </c>
      <c r="DF271" s="215">
        <v>0</v>
      </c>
      <c r="DG271" s="13" t="s">
        <v>615</v>
      </c>
      <c r="DH271" s="86">
        <v>269</v>
      </c>
      <c r="DI271" s="86"/>
      <c r="DJ271" s="86">
        <v>148</v>
      </c>
      <c r="DK271" s="86" t="s">
        <v>1611</v>
      </c>
      <c r="DL271" s="86" t="e">
        <v>#N/A</v>
      </c>
      <c r="DM271" s="86" t="e">
        <v>#N/A</v>
      </c>
      <c r="DN271" s="86" t="e">
        <v>#N/A</v>
      </c>
      <c r="DO271" s="86">
        <v>155</v>
      </c>
      <c r="DP271" s="86">
        <v>2</v>
      </c>
      <c r="DQ271" s="86">
        <v>49</v>
      </c>
      <c r="DR271" s="151"/>
      <c r="DS271" s="152"/>
      <c r="DT271" s="151"/>
      <c r="DU271" s="151"/>
      <c r="DV271" s="151"/>
      <c r="DW271" s="151"/>
      <c r="DX271" s="151"/>
      <c r="DY271" s="152"/>
      <c r="DZ271" s="151"/>
      <c r="EA271" s="151"/>
      <c r="EB271" s="151"/>
      <c r="EC271" s="151"/>
      <c r="ED271" s="151"/>
      <c r="EE271" s="151"/>
      <c r="EF271" s="226"/>
      <c r="EG271" s="226"/>
      <c r="EH271" s="151"/>
      <c r="EI271" s="151"/>
      <c r="EJ271" s="151"/>
      <c r="EK271" s="151"/>
      <c r="EL271" s="151"/>
      <c r="EM271" s="226"/>
      <c r="EN271" s="151"/>
      <c r="EO271" s="151"/>
      <c r="EP271" s="151"/>
      <c r="EQ271" s="151"/>
      <c r="ER271" s="226"/>
      <c r="ES271" s="226"/>
      <c r="ET271" s="151"/>
      <c r="EU271" s="151"/>
      <c r="EV271" s="151"/>
      <c r="EW271" s="151"/>
      <c r="EX271" s="151"/>
      <c r="EY271" s="226"/>
      <c r="EZ271" s="151"/>
      <c r="FA271" s="151"/>
      <c r="FB271" s="151"/>
      <c r="FC271" s="151"/>
      <c r="FD271" s="151"/>
      <c r="FE271" s="226"/>
      <c r="FF271" s="151"/>
      <c r="FG271" s="151"/>
      <c r="FH271" s="151"/>
      <c r="FI271" s="226"/>
      <c r="FJ271" s="226"/>
      <c r="FK271" s="151"/>
      <c r="FL271" s="151"/>
      <c r="FM271" s="166">
        <v>0</v>
      </c>
      <c r="FN271" s="166">
        <v>0</v>
      </c>
      <c r="FO271" s="160">
        <v>0</v>
      </c>
      <c r="FP271" s="160">
        <v>0</v>
      </c>
      <c r="FQ271" s="160">
        <v>0</v>
      </c>
      <c r="FR271" s="160">
        <v>0</v>
      </c>
      <c r="FS271" s="160">
        <v>0</v>
      </c>
      <c r="FT271" s="160">
        <v>0</v>
      </c>
      <c r="FU271" s="160">
        <v>0</v>
      </c>
      <c r="FV271" s="160">
        <v>0</v>
      </c>
      <c r="FW271" s="160">
        <v>0</v>
      </c>
      <c r="FX271" s="160">
        <v>0</v>
      </c>
      <c r="FY271" s="160">
        <v>0</v>
      </c>
      <c r="FZ271" s="160">
        <v>0</v>
      </c>
      <c r="GA271" s="160">
        <v>0</v>
      </c>
      <c r="GB271" s="160">
        <v>0</v>
      </c>
      <c r="GC271" s="160">
        <v>0</v>
      </c>
      <c r="GD271" s="160">
        <v>0</v>
      </c>
      <c r="GE271" s="160">
        <v>0</v>
      </c>
      <c r="GF271" s="160">
        <v>0</v>
      </c>
      <c r="GG271" s="160">
        <v>0</v>
      </c>
      <c r="GH271" s="160">
        <v>0</v>
      </c>
      <c r="GI271" s="160">
        <v>0</v>
      </c>
      <c r="GJ271" s="160">
        <v>0</v>
      </c>
      <c r="GK271" s="160">
        <v>0</v>
      </c>
      <c r="GL271" s="160">
        <v>0</v>
      </c>
      <c r="GM271" s="160">
        <v>0</v>
      </c>
      <c r="GN271" s="160">
        <v>0</v>
      </c>
      <c r="GO271" s="160">
        <v>0</v>
      </c>
      <c r="GP271" s="160">
        <v>0</v>
      </c>
      <c r="GQ271" s="160">
        <v>0</v>
      </c>
      <c r="GR271" s="160">
        <v>0</v>
      </c>
      <c r="GS271" s="160">
        <v>0</v>
      </c>
      <c r="GT271" s="160">
        <v>0</v>
      </c>
      <c r="GU271" s="160">
        <v>0</v>
      </c>
      <c r="GV271" s="160">
        <v>0</v>
      </c>
      <c r="GW271" s="160">
        <v>0</v>
      </c>
      <c r="GX271" s="160">
        <v>0</v>
      </c>
      <c r="GY271" s="160">
        <v>0</v>
      </c>
      <c r="GZ271" s="160">
        <v>0</v>
      </c>
      <c r="HA271" s="160">
        <v>0</v>
      </c>
      <c r="HB271" s="160">
        <v>0</v>
      </c>
      <c r="HC271" s="160">
        <v>0</v>
      </c>
      <c r="HD271" s="160">
        <v>0</v>
      </c>
      <c r="HE271" s="160">
        <v>0</v>
      </c>
      <c r="HF271" s="160">
        <v>0</v>
      </c>
      <c r="HG271" s="160">
        <v>0</v>
      </c>
      <c r="HH271" s="146">
        <v>0</v>
      </c>
      <c r="HI271" s="146">
        <v>0</v>
      </c>
      <c r="HJ271" s="146">
        <v>0</v>
      </c>
      <c r="HK271" s="146">
        <v>0</v>
      </c>
      <c r="HL271" s="146">
        <v>0</v>
      </c>
      <c r="HM271" s="146">
        <v>0</v>
      </c>
      <c r="HN271" s="146">
        <v>0</v>
      </c>
      <c r="HO271" s="146">
        <v>0</v>
      </c>
      <c r="HP271" s="146">
        <v>0</v>
      </c>
      <c r="HQ271" s="146">
        <v>0</v>
      </c>
      <c r="HR271" s="146">
        <v>0</v>
      </c>
      <c r="HS271" s="146">
        <v>0</v>
      </c>
      <c r="HT271" s="146">
        <v>0</v>
      </c>
      <c r="HU271" s="151"/>
      <c r="HV271" s="146">
        <v>0</v>
      </c>
      <c r="HW271" s="151"/>
      <c r="HX271" s="151"/>
      <c r="HY271" s="151"/>
      <c r="HZ271" s="151"/>
      <c r="IA271" s="151"/>
      <c r="IB271" s="151"/>
      <c r="IC271" s="151"/>
      <c r="ID271" s="151"/>
      <c r="IE271" s="151"/>
      <c r="IF271" s="151"/>
      <c r="IG271" s="151"/>
      <c r="IH271" s="151"/>
      <c r="II271" s="151"/>
      <c r="IJ271" s="151"/>
      <c r="IK271" s="151"/>
      <c r="IL271" s="151"/>
      <c r="IM271" s="151"/>
      <c r="IN271" s="151"/>
      <c r="IO271" s="151"/>
      <c r="IP271" s="151"/>
      <c r="IQ271" s="151"/>
      <c r="IR271" s="151"/>
      <c r="IS271" s="151"/>
      <c r="IT271" s="151"/>
      <c r="IU271" s="151"/>
      <c r="IV271" s="151"/>
      <c r="IW271" s="151"/>
      <c r="IX271" s="151"/>
      <c r="IY271" s="151"/>
      <c r="IZ271" s="151"/>
      <c r="JA271" s="151"/>
      <c r="JB271" s="151"/>
      <c r="JC271" s="151"/>
      <c r="JD271" s="151"/>
      <c r="JE271" s="151"/>
      <c r="JF271" s="151"/>
      <c r="JG271" s="151"/>
      <c r="JH271" s="151"/>
      <c r="JI271" s="151"/>
      <c r="JJ271" s="151"/>
      <c r="JK271" s="151"/>
      <c r="JL271" s="151"/>
      <c r="JM271" s="151"/>
      <c r="JN271" s="151"/>
      <c r="JO271" s="151"/>
      <c r="JP271" s="151"/>
      <c r="JQ271" s="151"/>
      <c r="JR271" s="151"/>
      <c r="JS271" s="151"/>
      <c r="JT271" s="151"/>
      <c r="JU271" s="151"/>
      <c r="JV271" s="151"/>
      <c r="JW271" s="151"/>
      <c r="JX271" s="151"/>
      <c r="JY271" s="151"/>
      <c r="JZ271" s="151"/>
      <c r="KA271" s="151"/>
      <c r="KB271" s="151"/>
      <c r="KC271" s="151"/>
      <c r="KD271" s="151"/>
      <c r="KE271" s="151"/>
      <c r="KF271" s="151"/>
      <c r="KG271" s="151"/>
      <c r="KH271" s="151"/>
      <c r="KI271" s="151"/>
      <c r="KJ271" s="151"/>
      <c r="KK271" s="151"/>
      <c r="KL271" s="151"/>
      <c r="KM271" s="151"/>
      <c r="KN271" s="151"/>
      <c r="KO271" s="151"/>
      <c r="KP271" s="151"/>
      <c r="KQ271" s="151"/>
      <c r="KR271" s="151"/>
      <c r="KS271" s="151"/>
      <c r="KT271" s="151"/>
      <c r="KU271" s="151"/>
      <c r="KV271" s="151"/>
      <c r="KW271" s="151"/>
      <c r="KX271" s="151"/>
      <c r="KY271" s="151"/>
      <c r="KZ271" s="151"/>
      <c r="LA271" s="151"/>
      <c r="LB271" s="151"/>
      <c r="LC271" s="151"/>
      <c r="LD271" s="151"/>
      <c r="LE271" s="151"/>
    </row>
    <row r="272" spans="1:317" x14ac:dyDescent="0.2">
      <c r="A272" s="179" t="s">
        <v>849</v>
      </c>
      <c r="B272" s="180" t="s">
        <v>1171</v>
      </c>
      <c r="C272" s="181"/>
      <c r="D272" s="182">
        <v>0</v>
      </c>
      <c r="E272" s="182">
        <v>0</v>
      </c>
      <c r="F272" s="183" t="s">
        <v>1348</v>
      </c>
      <c r="G272" s="183">
        <v>0</v>
      </c>
      <c r="H272" s="183">
        <v>0</v>
      </c>
      <c r="I272" s="183">
        <v>0</v>
      </c>
      <c r="J272" s="183">
        <v>0</v>
      </c>
      <c r="K272" s="183" t="s">
        <v>1402</v>
      </c>
      <c r="L272" s="183">
        <v>0</v>
      </c>
      <c r="M272" s="183">
        <v>0</v>
      </c>
      <c r="N272" s="183" t="s">
        <v>872</v>
      </c>
      <c r="O272" s="183">
        <v>0</v>
      </c>
      <c r="P272" s="183">
        <v>0</v>
      </c>
      <c r="Q272" s="183"/>
      <c r="R272" s="183"/>
      <c r="S272" s="183"/>
      <c r="T272" s="183"/>
      <c r="U272" s="183"/>
      <c r="V272" s="183">
        <v>0</v>
      </c>
      <c r="W272" s="183">
        <v>0</v>
      </c>
      <c r="X272" s="183">
        <v>0</v>
      </c>
      <c r="Y272" s="184">
        <v>0</v>
      </c>
      <c r="Z272" s="184">
        <v>0</v>
      </c>
      <c r="AA272" s="184">
        <v>0</v>
      </c>
      <c r="AB272" s="185" t="s">
        <v>615</v>
      </c>
      <c r="AC272" s="185" t="s">
        <v>615</v>
      </c>
      <c r="AD272" s="186" t="s">
        <v>872</v>
      </c>
      <c r="AE272" s="186" t="s">
        <v>852</v>
      </c>
      <c r="AF272" s="187">
        <v>7</v>
      </c>
      <c r="AG272" s="187">
        <v>3</v>
      </c>
      <c r="AH272" s="187">
        <v>4</v>
      </c>
      <c r="AI272" s="188">
        <v>1</v>
      </c>
      <c r="AJ272" s="188" t="s">
        <v>615</v>
      </c>
      <c r="AK272" s="187" t="s">
        <v>1741</v>
      </c>
      <c r="AL272" s="87" t="s">
        <v>615</v>
      </c>
      <c r="AM272" s="189"/>
      <c r="AN272" s="187" t="s">
        <v>615</v>
      </c>
      <c r="AO272" s="13" t="s">
        <v>615</v>
      </c>
      <c r="AP272" s="187">
        <v>0</v>
      </c>
      <c r="AQ272" s="187">
        <v>0</v>
      </c>
      <c r="AR272" s="190">
        <v>0</v>
      </c>
      <c r="AS272" s="190">
        <v>0</v>
      </c>
      <c r="AT272" s="190">
        <v>0</v>
      </c>
      <c r="AU272" s="187">
        <v>0</v>
      </c>
      <c r="AV272" s="187">
        <v>0</v>
      </c>
      <c r="AW272" s="191"/>
      <c r="AX272" s="192"/>
      <c r="AY272" s="193"/>
      <c r="AZ272" s="193"/>
      <c r="BA272" s="193"/>
      <c r="BB272" s="194"/>
      <c r="BC272" s="194"/>
      <c r="BD272" s="195"/>
      <c r="BE272" s="195" t="s">
        <v>532</v>
      </c>
      <c r="BF272" s="195"/>
      <c r="BG272" s="195">
        <v>10</v>
      </c>
      <c r="BH272" s="196" t="s">
        <v>547</v>
      </c>
      <c r="BI272" s="197">
        <v>1</v>
      </c>
      <c r="BJ272" s="198"/>
      <c r="BK272" s="199">
        <v>0</v>
      </c>
      <c r="BL272" s="13">
        <v>0</v>
      </c>
      <c r="BM272" s="13">
        <v>0</v>
      </c>
      <c r="BN272" s="13" t="s">
        <v>616</v>
      </c>
      <c r="BO272" s="13" t="s">
        <v>616</v>
      </c>
      <c r="BP272" s="200">
        <v>10</v>
      </c>
      <c r="BQ272" s="201"/>
      <c r="BR272" s="202"/>
      <c r="BS272" s="187">
        <v>1000000000</v>
      </c>
      <c r="BT272" s="203">
        <v>0</v>
      </c>
      <c r="BU272" s="204">
        <v>0</v>
      </c>
      <c r="BV272" s="203">
        <v>10</v>
      </c>
      <c r="BW272" s="205">
        <v>0</v>
      </c>
      <c r="BX272" s="205">
        <v>0</v>
      </c>
      <c r="BY272" s="205">
        <v>0</v>
      </c>
      <c r="BZ272" s="203">
        <v>0</v>
      </c>
      <c r="CA272" s="203">
        <v>0</v>
      </c>
      <c r="CB272" s="203">
        <v>10</v>
      </c>
      <c r="CC272" s="204">
        <v>0</v>
      </c>
      <c r="CD272" s="203">
        <v>0</v>
      </c>
      <c r="CE272" s="203">
        <v>0</v>
      </c>
      <c r="CF272" s="13">
        <v>0</v>
      </c>
      <c r="CG272" s="206">
        <v>0</v>
      </c>
      <c r="CH272" s="207">
        <v>0</v>
      </c>
      <c r="CI272" s="201"/>
      <c r="CJ272" s="208"/>
      <c r="CK272" s="209" t="s">
        <v>615</v>
      </c>
      <c r="CL272" s="210" t="s">
        <v>615</v>
      </c>
      <c r="CM272" s="207">
        <v>0</v>
      </c>
      <c r="CN272" s="207">
        <v>0</v>
      </c>
      <c r="CO272" s="204">
        <v>0</v>
      </c>
      <c r="CP272" s="204">
        <v>0</v>
      </c>
      <c r="CQ272" s="211"/>
      <c r="CR272" s="204">
        <v>1</v>
      </c>
      <c r="CS272" s="212">
        <v>42766</v>
      </c>
      <c r="CT272" s="212">
        <v>42780</v>
      </c>
      <c r="CU272" s="213">
        <v>42780</v>
      </c>
      <c r="CV272" s="214">
        <v>42829</v>
      </c>
      <c r="CW272" s="214" t="s">
        <v>615</v>
      </c>
      <c r="CX272" s="214" t="s">
        <v>615</v>
      </c>
      <c r="CY272" s="204">
        <v>1</v>
      </c>
      <c r="CZ272" s="204">
        <v>0.97959183673469385</v>
      </c>
      <c r="DA272" s="203">
        <v>0</v>
      </c>
      <c r="DB272" s="204">
        <v>0.97959183673469385</v>
      </c>
      <c r="DC272" s="204">
        <v>0</v>
      </c>
      <c r="DD272" s="204">
        <v>0</v>
      </c>
      <c r="DE272" s="204">
        <v>0</v>
      </c>
      <c r="DF272" s="215">
        <v>0</v>
      </c>
      <c r="DG272" s="13" t="s">
        <v>615</v>
      </c>
      <c r="DH272" s="86">
        <v>270</v>
      </c>
      <c r="DI272" s="86"/>
      <c r="DJ272" s="86">
        <v>150</v>
      </c>
      <c r="DK272" s="86" t="s">
        <v>1612</v>
      </c>
      <c r="DL272" s="86" t="e">
        <v>#N/A</v>
      </c>
      <c r="DM272" s="86" t="e">
        <v>#N/A</v>
      </c>
      <c r="DN272" s="86" t="e">
        <v>#N/A</v>
      </c>
      <c r="DO272" s="86">
        <v>157</v>
      </c>
      <c r="DP272" s="86">
        <v>2</v>
      </c>
      <c r="DQ272" s="86">
        <v>49</v>
      </c>
      <c r="DR272" s="216"/>
      <c r="DS272" s="152"/>
      <c r="DT272" s="216"/>
      <c r="DU272" s="216"/>
      <c r="DV272" s="216"/>
      <c r="DW272" s="216"/>
      <c r="DX272" s="216"/>
      <c r="DY272" s="152"/>
      <c r="DZ272" s="216"/>
      <c r="EA272" s="216"/>
      <c r="EB272" s="216"/>
      <c r="EC272" s="216"/>
      <c r="ED272" s="216"/>
      <c r="EE272" s="216"/>
      <c r="EF272" s="225"/>
      <c r="EG272" s="225"/>
      <c r="EH272" s="216"/>
      <c r="EI272" s="216"/>
      <c r="EJ272" s="216"/>
      <c r="EK272" s="216"/>
      <c r="EL272" s="216"/>
      <c r="EM272" s="225"/>
      <c r="EN272" s="216"/>
      <c r="EO272" s="216"/>
      <c r="EP272" s="216"/>
      <c r="EQ272" s="216"/>
      <c r="ER272" s="225"/>
      <c r="ES272" s="225"/>
      <c r="ET272" s="216"/>
      <c r="EU272" s="216"/>
      <c r="EV272" s="216"/>
      <c r="EW272" s="216"/>
      <c r="EX272" s="216"/>
      <c r="EY272" s="225"/>
      <c r="EZ272" s="216"/>
      <c r="FA272" s="216"/>
      <c r="FB272" s="216"/>
      <c r="FC272" s="216"/>
      <c r="FD272" s="216"/>
      <c r="FE272" s="225"/>
      <c r="FF272" s="216"/>
      <c r="FG272" s="216"/>
      <c r="FH272" s="216"/>
      <c r="FI272" s="225"/>
      <c r="FJ272" s="225"/>
      <c r="FK272" s="216"/>
      <c r="FL272" s="216"/>
      <c r="FM272" s="166">
        <v>0</v>
      </c>
      <c r="FN272" s="166">
        <v>0</v>
      </c>
      <c r="FO272" s="166">
        <v>0</v>
      </c>
      <c r="FP272" s="166">
        <v>0</v>
      </c>
      <c r="FQ272" s="166">
        <v>0</v>
      </c>
      <c r="FR272" s="166">
        <v>0</v>
      </c>
      <c r="FS272" s="166">
        <v>0</v>
      </c>
      <c r="FT272" s="166">
        <v>0</v>
      </c>
      <c r="FU272" s="166">
        <v>0</v>
      </c>
      <c r="FV272" s="166">
        <v>0</v>
      </c>
      <c r="FW272" s="166">
        <v>0</v>
      </c>
      <c r="FX272" s="166">
        <v>0</v>
      </c>
      <c r="FY272" s="166">
        <v>0</v>
      </c>
      <c r="FZ272" s="166">
        <v>0</v>
      </c>
      <c r="GA272" s="166">
        <v>0</v>
      </c>
      <c r="GB272" s="166">
        <v>0</v>
      </c>
      <c r="GC272" s="166">
        <v>0</v>
      </c>
      <c r="GD272" s="166">
        <v>0</v>
      </c>
      <c r="GE272" s="166">
        <v>0</v>
      </c>
      <c r="GF272" s="166">
        <v>0</v>
      </c>
      <c r="GG272" s="166">
        <v>0</v>
      </c>
      <c r="GH272" s="166">
        <v>0</v>
      </c>
      <c r="GI272" s="166">
        <v>0</v>
      </c>
      <c r="GJ272" s="166">
        <v>0</v>
      </c>
      <c r="GK272" s="166">
        <v>0</v>
      </c>
      <c r="GL272" s="166">
        <v>0</v>
      </c>
      <c r="GM272" s="166">
        <v>0</v>
      </c>
      <c r="GN272" s="166">
        <v>0</v>
      </c>
      <c r="GO272" s="166">
        <v>0</v>
      </c>
      <c r="GP272" s="166">
        <v>0</v>
      </c>
      <c r="GQ272" s="166">
        <v>0</v>
      </c>
      <c r="GR272" s="166">
        <v>0</v>
      </c>
      <c r="GS272" s="166">
        <v>0</v>
      </c>
      <c r="GT272" s="166">
        <v>0</v>
      </c>
      <c r="GU272" s="166">
        <v>0</v>
      </c>
      <c r="GV272" s="166">
        <v>0</v>
      </c>
      <c r="GW272" s="166">
        <v>0</v>
      </c>
      <c r="GX272" s="166">
        <v>0</v>
      </c>
      <c r="GY272" s="166">
        <v>0</v>
      </c>
      <c r="GZ272" s="166">
        <v>0</v>
      </c>
      <c r="HA272" s="166">
        <v>0</v>
      </c>
      <c r="HB272" s="166">
        <v>0</v>
      </c>
      <c r="HC272" s="166">
        <v>0</v>
      </c>
      <c r="HD272" s="166">
        <v>0</v>
      </c>
      <c r="HE272" s="166">
        <v>0</v>
      </c>
      <c r="HF272" s="166">
        <v>0</v>
      </c>
      <c r="HG272" s="166">
        <v>0</v>
      </c>
      <c r="HH272" s="152">
        <v>0</v>
      </c>
      <c r="HI272" s="152">
        <v>0</v>
      </c>
      <c r="HJ272" s="152">
        <v>0</v>
      </c>
      <c r="HK272" s="152">
        <v>0</v>
      </c>
      <c r="HL272" s="152">
        <v>0</v>
      </c>
      <c r="HM272" s="152">
        <v>0</v>
      </c>
      <c r="HN272" s="152">
        <v>0</v>
      </c>
      <c r="HO272" s="152">
        <v>0</v>
      </c>
      <c r="HP272" s="152">
        <v>0</v>
      </c>
      <c r="HQ272" s="152">
        <v>0</v>
      </c>
      <c r="HR272" s="152">
        <v>0</v>
      </c>
      <c r="HS272" s="152">
        <v>0</v>
      </c>
      <c r="HT272" s="152">
        <v>0</v>
      </c>
      <c r="HU272" s="216"/>
      <c r="HV272" s="152">
        <v>0</v>
      </c>
      <c r="HW272" s="216"/>
      <c r="HX272" s="216"/>
      <c r="HY272" s="216"/>
      <c r="HZ272" s="216"/>
      <c r="IA272" s="216"/>
      <c r="IB272" s="216"/>
      <c r="IC272" s="216"/>
      <c r="ID272" s="216"/>
      <c r="IE272" s="216"/>
      <c r="IF272" s="216"/>
      <c r="IG272" s="216"/>
      <c r="IH272" s="216"/>
      <c r="II272" s="216"/>
      <c r="IJ272" s="216"/>
      <c r="IK272" s="216"/>
      <c r="IL272" s="216"/>
      <c r="IM272" s="216"/>
      <c r="IN272" s="216"/>
      <c r="IO272" s="216"/>
      <c r="IP272" s="216"/>
      <c r="IQ272" s="216"/>
      <c r="IR272" s="216"/>
      <c r="IS272" s="216"/>
      <c r="IT272" s="216"/>
      <c r="IU272" s="216"/>
      <c r="IV272" s="216"/>
      <c r="IW272" s="216"/>
      <c r="IX272" s="216"/>
      <c r="IY272" s="216"/>
      <c r="IZ272" s="216"/>
      <c r="JA272" s="216"/>
      <c r="JB272" s="216"/>
      <c r="JC272" s="216"/>
      <c r="JD272" s="216"/>
      <c r="JE272" s="216"/>
      <c r="JF272" s="216"/>
      <c r="JG272" s="216"/>
      <c r="JH272" s="216"/>
      <c r="JI272" s="216"/>
      <c r="JJ272" s="216"/>
      <c r="JK272" s="216"/>
      <c r="JL272" s="216"/>
      <c r="JM272" s="216"/>
      <c r="JN272" s="216"/>
      <c r="JO272" s="216"/>
      <c r="JP272" s="216"/>
      <c r="JQ272" s="216"/>
      <c r="JR272" s="216"/>
      <c r="JS272" s="216"/>
      <c r="JT272" s="216"/>
      <c r="JU272" s="216"/>
      <c r="JV272" s="216"/>
      <c r="JW272" s="216"/>
      <c r="JX272" s="216"/>
      <c r="JY272" s="216"/>
      <c r="JZ272" s="216"/>
      <c r="KA272" s="216"/>
      <c r="KB272" s="216"/>
      <c r="KC272" s="216"/>
      <c r="KD272" s="216"/>
      <c r="KE272" s="216"/>
      <c r="KF272" s="216"/>
      <c r="KG272" s="216"/>
      <c r="KH272" s="216"/>
      <c r="KI272" s="216"/>
      <c r="KJ272" s="216"/>
      <c r="KK272" s="216"/>
      <c r="KL272" s="216"/>
      <c r="KM272" s="216"/>
      <c r="KN272" s="216"/>
      <c r="KO272" s="216"/>
      <c r="KP272" s="216"/>
      <c r="KQ272" s="216"/>
      <c r="KR272" s="216"/>
      <c r="KS272" s="216"/>
      <c r="KT272" s="216"/>
      <c r="KU272" s="216"/>
      <c r="KV272" s="216"/>
      <c r="KW272" s="216"/>
      <c r="KX272" s="216"/>
      <c r="KY272" s="216"/>
      <c r="KZ272" s="216"/>
      <c r="LA272" s="216"/>
      <c r="LB272" s="216"/>
      <c r="LC272" s="216"/>
      <c r="LD272" s="216"/>
      <c r="LE272" s="216"/>
    </row>
    <row r="273" spans="1:317" x14ac:dyDescent="0.2">
      <c r="A273" s="179" t="s">
        <v>849</v>
      </c>
      <c r="B273" s="180" t="s">
        <v>1172</v>
      </c>
      <c r="C273" s="181"/>
      <c r="D273" s="182">
        <v>0</v>
      </c>
      <c r="E273" s="182">
        <v>0</v>
      </c>
      <c r="F273" s="183" t="s">
        <v>1349</v>
      </c>
      <c r="G273" s="183">
        <v>0</v>
      </c>
      <c r="H273" s="183">
        <v>0</v>
      </c>
      <c r="I273" s="183">
        <v>0</v>
      </c>
      <c r="J273" s="183">
        <v>0</v>
      </c>
      <c r="K273" s="183" t="s">
        <v>1402</v>
      </c>
      <c r="L273" s="183">
        <v>0</v>
      </c>
      <c r="M273" s="183">
        <v>0</v>
      </c>
      <c r="N273" s="183" t="s">
        <v>872</v>
      </c>
      <c r="O273" s="183">
        <v>0</v>
      </c>
      <c r="P273" s="183">
        <v>0</v>
      </c>
      <c r="Q273" s="183"/>
      <c r="R273" s="183"/>
      <c r="S273" s="183"/>
      <c r="T273" s="183"/>
      <c r="U273" s="183"/>
      <c r="V273" s="183">
        <v>0</v>
      </c>
      <c r="W273" s="183">
        <v>0</v>
      </c>
      <c r="X273" s="183">
        <v>0</v>
      </c>
      <c r="Y273" s="184">
        <v>0</v>
      </c>
      <c r="Z273" s="184">
        <v>0</v>
      </c>
      <c r="AA273" s="184">
        <v>0</v>
      </c>
      <c r="AB273" s="185" t="s">
        <v>615</v>
      </c>
      <c r="AC273" s="185" t="s">
        <v>615</v>
      </c>
      <c r="AD273" s="186" t="s">
        <v>872</v>
      </c>
      <c r="AE273" s="186" t="s">
        <v>852</v>
      </c>
      <c r="AF273" s="187">
        <v>7</v>
      </c>
      <c r="AG273" s="187">
        <v>3</v>
      </c>
      <c r="AH273" s="187">
        <v>4</v>
      </c>
      <c r="AI273" s="188">
        <v>1</v>
      </c>
      <c r="AJ273" s="188" t="s">
        <v>615</v>
      </c>
      <c r="AK273" s="187" t="s">
        <v>1741</v>
      </c>
      <c r="AL273" s="87" t="s">
        <v>615</v>
      </c>
      <c r="AM273" s="189"/>
      <c r="AN273" s="187" t="s">
        <v>615</v>
      </c>
      <c r="AO273" s="13" t="s">
        <v>615</v>
      </c>
      <c r="AP273" s="187">
        <v>0</v>
      </c>
      <c r="AQ273" s="187">
        <v>0</v>
      </c>
      <c r="AR273" s="190">
        <v>0</v>
      </c>
      <c r="AS273" s="190">
        <v>0</v>
      </c>
      <c r="AT273" s="190">
        <v>0</v>
      </c>
      <c r="AU273" s="187">
        <v>0</v>
      </c>
      <c r="AV273" s="187">
        <v>0</v>
      </c>
      <c r="AW273" s="191"/>
      <c r="AX273" s="192"/>
      <c r="AY273" s="193"/>
      <c r="AZ273" s="193"/>
      <c r="BA273" s="193"/>
      <c r="BB273" s="194"/>
      <c r="BC273" s="194"/>
      <c r="BD273" s="195"/>
      <c r="BE273" s="195" t="s">
        <v>532</v>
      </c>
      <c r="BF273" s="195"/>
      <c r="BG273" s="195">
        <v>10</v>
      </c>
      <c r="BH273" s="196" t="s">
        <v>547</v>
      </c>
      <c r="BI273" s="197">
        <v>1</v>
      </c>
      <c r="BJ273" s="198"/>
      <c r="BK273" s="199">
        <v>0</v>
      </c>
      <c r="BL273" s="13">
        <v>0</v>
      </c>
      <c r="BM273" s="13">
        <v>0</v>
      </c>
      <c r="BN273" s="13" t="s">
        <v>616</v>
      </c>
      <c r="BO273" s="13" t="s">
        <v>616</v>
      </c>
      <c r="BP273" s="200">
        <v>10</v>
      </c>
      <c r="BQ273" s="201"/>
      <c r="BR273" s="202"/>
      <c r="BS273" s="187">
        <v>1000000000</v>
      </c>
      <c r="BT273" s="203">
        <v>0</v>
      </c>
      <c r="BU273" s="204">
        <v>0</v>
      </c>
      <c r="BV273" s="203">
        <v>10</v>
      </c>
      <c r="BW273" s="205">
        <v>0</v>
      </c>
      <c r="BX273" s="205">
        <v>0</v>
      </c>
      <c r="BY273" s="205">
        <v>0</v>
      </c>
      <c r="BZ273" s="203">
        <v>0</v>
      </c>
      <c r="CA273" s="203">
        <v>0</v>
      </c>
      <c r="CB273" s="203">
        <v>10</v>
      </c>
      <c r="CC273" s="204">
        <v>0</v>
      </c>
      <c r="CD273" s="203">
        <v>0</v>
      </c>
      <c r="CE273" s="203">
        <v>0</v>
      </c>
      <c r="CF273" s="13">
        <v>0</v>
      </c>
      <c r="CG273" s="206">
        <v>0</v>
      </c>
      <c r="CH273" s="207">
        <v>0</v>
      </c>
      <c r="CI273" s="201"/>
      <c r="CJ273" s="208"/>
      <c r="CK273" s="209" t="s">
        <v>615</v>
      </c>
      <c r="CL273" s="210" t="s">
        <v>615</v>
      </c>
      <c r="CM273" s="207">
        <v>0</v>
      </c>
      <c r="CN273" s="207">
        <v>0</v>
      </c>
      <c r="CO273" s="204">
        <v>0</v>
      </c>
      <c r="CP273" s="204">
        <v>0</v>
      </c>
      <c r="CQ273" s="211"/>
      <c r="CR273" s="204">
        <v>1</v>
      </c>
      <c r="CS273" s="212">
        <v>42766</v>
      </c>
      <c r="CT273" s="212">
        <v>42780</v>
      </c>
      <c r="CU273" s="213">
        <v>42780</v>
      </c>
      <c r="CV273" s="214">
        <v>42829</v>
      </c>
      <c r="CW273" s="214" t="s">
        <v>615</v>
      </c>
      <c r="CX273" s="214" t="s">
        <v>615</v>
      </c>
      <c r="CY273" s="204">
        <v>1</v>
      </c>
      <c r="CZ273" s="204">
        <v>0.97959183673469385</v>
      </c>
      <c r="DA273" s="203">
        <v>0</v>
      </c>
      <c r="DB273" s="204">
        <v>0.97959183673469385</v>
      </c>
      <c r="DC273" s="204">
        <v>0</v>
      </c>
      <c r="DD273" s="204">
        <v>0</v>
      </c>
      <c r="DE273" s="204">
        <v>0</v>
      </c>
      <c r="DF273" s="215">
        <v>0</v>
      </c>
      <c r="DG273" s="13" t="s">
        <v>615</v>
      </c>
      <c r="DH273" s="86">
        <v>271</v>
      </c>
      <c r="DI273" s="86"/>
      <c r="DJ273" s="86">
        <v>151</v>
      </c>
      <c r="DK273" s="86" t="s">
        <v>1613</v>
      </c>
      <c r="DL273" s="86" t="e">
        <v>#N/A</v>
      </c>
      <c r="DM273" s="86" t="e">
        <v>#N/A</v>
      </c>
      <c r="DN273" s="86" t="e">
        <v>#N/A</v>
      </c>
      <c r="DO273" s="86">
        <v>158</v>
      </c>
      <c r="DP273" s="86">
        <v>2</v>
      </c>
      <c r="DQ273" s="86">
        <v>49</v>
      </c>
      <c r="DR273" s="151"/>
      <c r="DS273" s="152"/>
      <c r="DT273" s="151"/>
      <c r="DU273" s="151"/>
      <c r="DV273" s="151"/>
      <c r="DW273" s="151"/>
      <c r="DX273" s="151"/>
      <c r="DY273" s="152"/>
      <c r="DZ273" s="151"/>
      <c r="EA273" s="151"/>
      <c r="EB273" s="151"/>
      <c r="EC273" s="151"/>
      <c r="ED273" s="151"/>
      <c r="EE273" s="151"/>
      <c r="EF273" s="226"/>
      <c r="EG273" s="226"/>
      <c r="EH273" s="151"/>
      <c r="EI273" s="151"/>
      <c r="EJ273" s="151"/>
      <c r="EK273" s="151"/>
      <c r="EL273" s="151"/>
      <c r="EM273" s="226"/>
      <c r="EN273" s="151"/>
      <c r="EO273" s="151"/>
      <c r="EP273" s="151"/>
      <c r="EQ273" s="151"/>
      <c r="ER273" s="226"/>
      <c r="ES273" s="226"/>
      <c r="ET273" s="151"/>
      <c r="EU273" s="151"/>
      <c r="EV273" s="151"/>
      <c r="EW273" s="151"/>
      <c r="EX273" s="151"/>
      <c r="EY273" s="226"/>
      <c r="EZ273" s="151"/>
      <c r="FA273" s="151"/>
      <c r="FB273" s="151"/>
      <c r="FC273" s="151"/>
      <c r="FD273" s="151"/>
      <c r="FE273" s="226"/>
      <c r="FF273" s="151"/>
      <c r="FG273" s="151"/>
      <c r="FH273" s="151"/>
      <c r="FI273" s="226"/>
      <c r="FJ273" s="226"/>
      <c r="FK273" s="151"/>
      <c r="FL273" s="151"/>
      <c r="FM273" s="166">
        <v>0</v>
      </c>
      <c r="FN273" s="166">
        <v>0</v>
      </c>
      <c r="FO273" s="160">
        <v>0</v>
      </c>
      <c r="FP273" s="160">
        <v>0</v>
      </c>
      <c r="FQ273" s="160">
        <v>0</v>
      </c>
      <c r="FR273" s="160">
        <v>0</v>
      </c>
      <c r="FS273" s="160">
        <v>0</v>
      </c>
      <c r="FT273" s="160">
        <v>0</v>
      </c>
      <c r="FU273" s="160">
        <v>0</v>
      </c>
      <c r="FV273" s="160">
        <v>0</v>
      </c>
      <c r="FW273" s="160">
        <v>0</v>
      </c>
      <c r="FX273" s="160">
        <v>0</v>
      </c>
      <c r="FY273" s="160">
        <v>0</v>
      </c>
      <c r="FZ273" s="160">
        <v>0</v>
      </c>
      <c r="GA273" s="160">
        <v>0</v>
      </c>
      <c r="GB273" s="160">
        <v>0</v>
      </c>
      <c r="GC273" s="160">
        <v>0</v>
      </c>
      <c r="GD273" s="160">
        <v>0</v>
      </c>
      <c r="GE273" s="160">
        <v>0</v>
      </c>
      <c r="GF273" s="160">
        <v>0</v>
      </c>
      <c r="GG273" s="160">
        <v>0</v>
      </c>
      <c r="GH273" s="160">
        <v>0</v>
      </c>
      <c r="GI273" s="160">
        <v>0</v>
      </c>
      <c r="GJ273" s="160">
        <v>0</v>
      </c>
      <c r="GK273" s="160">
        <v>0</v>
      </c>
      <c r="GL273" s="160">
        <v>0</v>
      </c>
      <c r="GM273" s="160">
        <v>0</v>
      </c>
      <c r="GN273" s="160">
        <v>0</v>
      </c>
      <c r="GO273" s="160">
        <v>0</v>
      </c>
      <c r="GP273" s="160">
        <v>0</v>
      </c>
      <c r="GQ273" s="160">
        <v>0</v>
      </c>
      <c r="GR273" s="160">
        <v>0</v>
      </c>
      <c r="GS273" s="160">
        <v>0</v>
      </c>
      <c r="GT273" s="160">
        <v>0</v>
      </c>
      <c r="GU273" s="160">
        <v>0</v>
      </c>
      <c r="GV273" s="160">
        <v>0</v>
      </c>
      <c r="GW273" s="160">
        <v>0</v>
      </c>
      <c r="GX273" s="160">
        <v>0</v>
      </c>
      <c r="GY273" s="160">
        <v>0</v>
      </c>
      <c r="GZ273" s="160">
        <v>0</v>
      </c>
      <c r="HA273" s="160">
        <v>0</v>
      </c>
      <c r="HB273" s="160">
        <v>0</v>
      </c>
      <c r="HC273" s="160">
        <v>0</v>
      </c>
      <c r="HD273" s="160">
        <v>0</v>
      </c>
      <c r="HE273" s="160">
        <v>0</v>
      </c>
      <c r="HF273" s="160">
        <v>0</v>
      </c>
      <c r="HG273" s="160">
        <v>0</v>
      </c>
      <c r="HH273" s="146">
        <v>0</v>
      </c>
      <c r="HI273" s="146">
        <v>0</v>
      </c>
      <c r="HJ273" s="146">
        <v>0</v>
      </c>
      <c r="HK273" s="146">
        <v>0</v>
      </c>
      <c r="HL273" s="146">
        <v>0</v>
      </c>
      <c r="HM273" s="146">
        <v>0</v>
      </c>
      <c r="HN273" s="146">
        <v>0</v>
      </c>
      <c r="HO273" s="146">
        <v>0</v>
      </c>
      <c r="HP273" s="146">
        <v>0</v>
      </c>
      <c r="HQ273" s="146">
        <v>0</v>
      </c>
      <c r="HR273" s="146">
        <v>0</v>
      </c>
      <c r="HS273" s="146">
        <v>0</v>
      </c>
      <c r="HT273" s="146">
        <v>0</v>
      </c>
      <c r="HU273" s="151"/>
      <c r="HV273" s="146">
        <v>0</v>
      </c>
      <c r="HW273" s="151"/>
      <c r="HX273" s="151"/>
      <c r="HY273" s="151"/>
      <c r="HZ273" s="151"/>
      <c r="IA273" s="151"/>
      <c r="IB273" s="151"/>
      <c r="IC273" s="151"/>
      <c r="ID273" s="151"/>
      <c r="IE273" s="151"/>
      <c r="IF273" s="151"/>
      <c r="IG273" s="151"/>
      <c r="IH273" s="151"/>
      <c r="II273" s="151"/>
      <c r="IJ273" s="151"/>
      <c r="IK273" s="151"/>
      <c r="IL273" s="151"/>
      <c r="IM273" s="151"/>
      <c r="IN273" s="151"/>
      <c r="IO273" s="151"/>
      <c r="IP273" s="151"/>
      <c r="IQ273" s="151"/>
      <c r="IR273" s="151"/>
      <c r="IS273" s="151"/>
      <c r="IT273" s="151"/>
      <c r="IU273" s="151"/>
      <c r="IV273" s="151"/>
      <c r="IW273" s="151"/>
      <c r="IX273" s="151"/>
      <c r="IY273" s="151"/>
      <c r="IZ273" s="151"/>
      <c r="JA273" s="151"/>
      <c r="JB273" s="151"/>
      <c r="JC273" s="151"/>
      <c r="JD273" s="151"/>
      <c r="JE273" s="151"/>
      <c r="JF273" s="151"/>
      <c r="JG273" s="151"/>
      <c r="JH273" s="151"/>
      <c r="JI273" s="151"/>
      <c r="JJ273" s="151"/>
      <c r="JK273" s="151"/>
      <c r="JL273" s="151"/>
      <c r="JM273" s="151"/>
      <c r="JN273" s="151"/>
      <c r="JO273" s="151"/>
      <c r="JP273" s="151"/>
      <c r="JQ273" s="151"/>
      <c r="JR273" s="151"/>
      <c r="JS273" s="151"/>
      <c r="JT273" s="151"/>
      <c r="JU273" s="151"/>
      <c r="JV273" s="151"/>
      <c r="JW273" s="151"/>
      <c r="JX273" s="151"/>
      <c r="JY273" s="151"/>
      <c r="JZ273" s="151"/>
      <c r="KA273" s="151"/>
      <c r="KB273" s="151"/>
      <c r="KC273" s="151"/>
      <c r="KD273" s="151"/>
      <c r="KE273" s="151"/>
      <c r="KF273" s="151"/>
      <c r="KG273" s="151"/>
      <c r="KH273" s="151"/>
      <c r="KI273" s="151"/>
      <c r="KJ273" s="151"/>
      <c r="KK273" s="151"/>
      <c r="KL273" s="151"/>
      <c r="KM273" s="151"/>
      <c r="KN273" s="151"/>
      <c r="KO273" s="151"/>
      <c r="KP273" s="151"/>
      <c r="KQ273" s="151"/>
      <c r="KR273" s="151"/>
      <c r="KS273" s="151"/>
      <c r="KT273" s="151"/>
      <c r="KU273" s="151"/>
      <c r="KV273" s="151"/>
      <c r="KW273" s="151"/>
      <c r="KX273" s="151"/>
      <c r="KY273" s="151"/>
      <c r="KZ273" s="151"/>
      <c r="LA273" s="151"/>
      <c r="LB273" s="151"/>
      <c r="LC273" s="151"/>
      <c r="LD273" s="151"/>
      <c r="LE273" s="151"/>
    </row>
    <row r="274" spans="1:317" x14ac:dyDescent="0.2">
      <c r="A274" s="179" t="s">
        <v>849</v>
      </c>
      <c r="B274" s="180" t="s">
        <v>1173</v>
      </c>
      <c r="C274" s="181"/>
      <c r="D274" s="182">
        <v>0</v>
      </c>
      <c r="E274" s="182">
        <v>0</v>
      </c>
      <c r="F274" s="183" t="s">
        <v>1350</v>
      </c>
      <c r="G274" s="183">
        <v>0</v>
      </c>
      <c r="H274" s="183">
        <v>0</v>
      </c>
      <c r="I274" s="183">
        <v>0</v>
      </c>
      <c r="J274" s="183">
        <v>0</v>
      </c>
      <c r="K274" s="183" t="s">
        <v>1402</v>
      </c>
      <c r="L274" s="183">
        <v>0</v>
      </c>
      <c r="M274" s="183">
        <v>0</v>
      </c>
      <c r="N274" s="183" t="s">
        <v>872</v>
      </c>
      <c r="O274" s="183">
        <v>0</v>
      </c>
      <c r="P274" s="183">
        <v>0</v>
      </c>
      <c r="Q274" s="183"/>
      <c r="R274" s="183"/>
      <c r="S274" s="183"/>
      <c r="T274" s="183"/>
      <c r="U274" s="183"/>
      <c r="V274" s="183">
        <v>0</v>
      </c>
      <c r="W274" s="183">
        <v>0</v>
      </c>
      <c r="X274" s="183">
        <v>0</v>
      </c>
      <c r="Y274" s="184">
        <v>0</v>
      </c>
      <c r="Z274" s="184">
        <v>0</v>
      </c>
      <c r="AA274" s="184">
        <v>0</v>
      </c>
      <c r="AB274" s="185" t="s">
        <v>615</v>
      </c>
      <c r="AC274" s="185" t="s">
        <v>615</v>
      </c>
      <c r="AD274" s="186" t="s">
        <v>872</v>
      </c>
      <c r="AE274" s="186" t="s">
        <v>852</v>
      </c>
      <c r="AF274" s="187">
        <v>7</v>
      </c>
      <c r="AG274" s="187">
        <v>3</v>
      </c>
      <c r="AH274" s="187">
        <v>4</v>
      </c>
      <c r="AI274" s="188">
        <v>1</v>
      </c>
      <c r="AJ274" s="188" t="s">
        <v>615</v>
      </c>
      <c r="AK274" s="187" t="s">
        <v>1741</v>
      </c>
      <c r="AL274" s="87" t="s">
        <v>615</v>
      </c>
      <c r="AM274" s="189"/>
      <c r="AN274" s="187" t="s">
        <v>615</v>
      </c>
      <c r="AO274" s="13" t="s">
        <v>615</v>
      </c>
      <c r="AP274" s="187">
        <v>0</v>
      </c>
      <c r="AQ274" s="187">
        <v>0</v>
      </c>
      <c r="AR274" s="190">
        <v>0</v>
      </c>
      <c r="AS274" s="190">
        <v>0</v>
      </c>
      <c r="AT274" s="190">
        <v>0</v>
      </c>
      <c r="AU274" s="187">
        <v>0</v>
      </c>
      <c r="AV274" s="187">
        <v>0</v>
      </c>
      <c r="AW274" s="191"/>
      <c r="AX274" s="192"/>
      <c r="AY274" s="193"/>
      <c r="AZ274" s="193"/>
      <c r="BA274" s="193"/>
      <c r="BB274" s="194"/>
      <c r="BC274" s="194"/>
      <c r="BD274" s="195"/>
      <c r="BE274" s="195" t="s">
        <v>532</v>
      </c>
      <c r="BF274" s="195"/>
      <c r="BG274" s="195">
        <v>10</v>
      </c>
      <c r="BH274" s="196" t="s">
        <v>547</v>
      </c>
      <c r="BI274" s="197">
        <v>1</v>
      </c>
      <c r="BJ274" s="198"/>
      <c r="BK274" s="199">
        <v>0</v>
      </c>
      <c r="BL274" s="13">
        <v>0</v>
      </c>
      <c r="BM274" s="13">
        <v>0</v>
      </c>
      <c r="BN274" s="13" t="s">
        <v>616</v>
      </c>
      <c r="BO274" s="13" t="s">
        <v>616</v>
      </c>
      <c r="BP274" s="200">
        <v>10</v>
      </c>
      <c r="BQ274" s="201"/>
      <c r="BR274" s="202"/>
      <c r="BS274" s="187">
        <v>1000000000</v>
      </c>
      <c r="BT274" s="203">
        <v>0</v>
      </c>
      <c r="BU274" s="204">
        <v>0</v>
      </c>
      <c r="BV274" s="203">
        <v>10</v>
      </c>
      <c r="BW274" s="205">
        <v>0</v>
      </c>
      <c r="BX274" s="205">
        <v>0</v>
      </c>
      <c r="BY274" s="205">
        <v>0</v>
      </c>
      <c r="BZ274" s="203">
        <v>0</v>
      </c>
      <c r="CA274" s="203">
        <v>0</v>
      </c>
      <c r="CB274" s="203">
        <v>10</v>
      </c>
      <c r="CC274" s="204">
        <v>0</v>
      </c>
      <c r="CD274" s="203">
        <v>0</v>
      </c>
      <c r="CE274" s="203">
        <v>0</v>
      </c>
      <c r="CF274" s="13">
        <v>0</v>
      </c>
      <c r="CG274" s="206">
        <v>0</v>
      </c>
      <c r="CH274" s="207">
        <v>0</v>
      </c>
      <c r="CI274" s="201"/>
      <c r="CJ274" s="208"/>
      <c r="CK274" s="209" t="s">
        <v>615</v>
      </c>
      <c r="CL274" s="210" t="s">
        <v>615</v>
      </c>
      <c r="CM274" s="207">
        <v>0</v>
      </c>
      <c r="CN274" s="207">
        <v>0</v>
      </c>
      <c r="CO274" s="204">
        <v>0</v>
      </c>
      <c r="CP274" s="204">
        <v>0</v>
      </c>
      <c r="CQ274" s="211"/>
      <c r="CR274" s="204">
        <v>1</v>
      </c>
      <c r="CS274" s="212">
        <v>42766</v>
      </c>
      <c r="CT274" s="212">
        <v>42780</v>
      </c>
      <c r="CU274" s="213">
        <v>42780</v>
      </c>
      <c r="CV274" s="214">
        <v>42829</v>
      </c>
      <c r="CW274" s="214" t="s">
        <v>615</v>
      </c>
      <c r="CX274" s="214" t="s">
        <v>615</v>
      </c>
      <c r="CY274" s="204">
        <v>1</v>
      </c>
      <c r="CZ274" s="204">
        <v>0.97959183673469385</v>
      </c>
      <c r="DA274" s="203">
        <v>0</v>
      </c>
      <c r="DB274" s="204">
        <v>0.97959183673469385</v>
      </c>
      <c r="DC274" s="204">
        <v>0</v>
      </c>
      <c r="DD274" s="204">
        <v>0</v>
      </c>
      <c r="DE274" s="204">
        <v>0</v>
      </c>
      <c r="DF274" s="215">
        <v>0</v>
      </c>
      <c r="DG274" s="13" t="s">
        <v>615</v>
      </c>
      <c r="DH274" s="86">
        <v>272</v>
      </c>
      <c r="DI274" s="86"/>
      <c r="DJ274" s="86">
        <v>152</v>
      </c>
      <c r="DK274" s="86" t="s">
        <v>1614</v>
      </c>
      <c r="DL274" s="86" t="e">
        <v>#N/A</v>
      </c>
      <c r="DM274" s="86" t="e">
        <v>#N/A</v>
      </c>
      <c r="DN274" s="86" t="e">
        <v>#N/A</v>
      </c>
      <c r="DO274" s="86">
        <v>159</v>
      </c>
      <c r="DP274" s="86">
        <v>2</v>
      </c>
      <c r="DQ274" s="86">
        <v>49</v>
      </c>
      <c r="DR274" s="216"/>
      <c r="DS274" s="152"/>
      <c r="DT274" s="216"/>
      <c r="DU274" s="216"/>
      <c r="DV274" s="216"/>
      <c r="DW274" s="216"/>
      <c r="DX274" s="216"/>
      <c r="DY274" s="152"/>
      <c r="DZ274" s="216"/>
      <c r="EA274" s="216"/>
      <c r="EB274" s="216"/>
      <c r="EC274" s="216"/>
      <c r="ED274" s="216"/>
      <c r="EE274" s="216"/>
      <c r="EF274" s="225"/>
      <c r="EG274" s="225"/>
      <c r="EH274" s="216"/>
      <c r="EI274" s="216"/>
      <c r="EJ274" s="216"/>
      <c r="EK274" s="216"/>
      <c r="EL274" s="216"/>
      <c r="EM274" s="225"/>
      <c r="EN274" s="216"/>
      <c r="EO274" s="216"/>
      <c r="EP274" s="216"/>
      <c r="EQ274" s="216"/>
      <c r="ER274" s="225"/>
      <c r="ES274" s="225"/>
      <c r="ET274" s="216"/>
      <c r="EU274" s="216"/>
      <c r="EV274" s="216"/>
      <c r="EW274" s="216"/>
      <c r="EX274" s="216"/>
      <c r="EY274" s="225"/>
      <c r="EZ274" s="216"/>
      <c r="FA274" s="216"/>
      <c r="FB274" s="216"/>
      <c r="FC274" s="216"/>
      <c r="FD274" s="216"/>
      <c r="FE274" s="225"/>
      <c r="FF274" s="216"/>
      <c r="FG274" s="216"/>
      <c r="FH274" s="216"/>
      <c r="FI274" s="225"/>
      <c r="FJ274" s="225"/>
      <c r="FK274" s="216"/>
      <c r="FL274" s="216"/>
      <c r="FM274" s="166">
        <v>0</v>
      </c>
      <c r="FN274" s="166">
        <v>0</v>
      </c>
      <c r="FO274" s="166">
        <v>0</v>
      </c>
      <c r="FP274" s="166">
        <v>0</v>
      </c>
      <c r="FQ274" s="166">
        <v>0</v>
      </c>
      <c r="FR274" s="166">
        <v>0</v>
      </c>
      <c r="FS274" s="166">
        <v>0</v>
      </c>
      <c r="FT274" s="166">
        <v>0</v>
      </c>
      <c r="FU274" s="166">
        <v>0</v>
      </c>
      <c r="FV274" s="166">
        <v>0</v>
      </c>
      <c r="FW274" s="166">
        <v>0</v>
      </c>
      <c r="FX274" s="166">
        <v>0</v>
      </c>
      <c r="FY274" s="166">
        <v>0</v>
      </c>
      <c r="FZ274" s="166">
        <v>0</v>
      </c>
      <c r="GA274" s="166">
        <v>0</v>
      </c>
      <c r="GB274" s="166">
        <v>0</v>
      </c>
      <c r="GC274" s="166">
        <v>0</v>
      </c>
      <c r="GD274" s="166">
        <v>0</v>
      </c>
      <c r="GE274" s="166">
        <v>0</v>
      </c>
      <c r="GF274" s="166">
        <v>0</v>
      </c>
      <c r="GG274" s="166">
        <v>0</v>
      </c>
      <c r="GH274" s="166">
        <v>0</v>
      </c>
      <c r="GI274" s="166">
        <v>0</v>
      </c>
      <c r="GJ274" s="166">
        <v>0</v>
      </c>
      <c r="GK274" s="166">
        <v>0</v>
      </c>
      <c r="GL274" s="166">
        <v>0</v>
      </c>
      <c r="GM274" s="166">
        <v>0</v>
      </c>
      <c r="GN274" s="166">
        <v>0</v>
      </c>
      <c r="GO274" s="166">
        <v>0</v>
      </c>
      <c r="GP274" s="166">
        <v>0</v>
      </c>
      <c r="GQ274" s="166">
        <v>0</v>
      </c>
      <c r="GR274" s="166">
        <v>0</v>
      </c>
      <c r="GS274" s="166">
        <v>0</v>
      </c>
      <c r="GT274" s="166">
        <v>0</v>
      </c>
      <c r="GU274" s="166">
        <v>0</v>
      </c>
      <c r="GV274" s="166">
        <v>0</v>
      </c>
      <c r="GW274" s="166">
        <v>0</v>
      </c>
      <c r="GX274" s="166">
        <v>0</v>
      </c>
      <c r="GY274" s="166">
        <v>0</v>
      </c>
      <c r="GZ274" s="166">
        <v>0</v>
      </c>
      <c r="HA274" s="166">
        <v>0</v>
      </c>
      <c r="HB274" s="166">
        <v>0</v>
      </c>
      <c r="HC274" s="166">
        <v>0</v>
      </c>
      <c r="HD274" s="166">
        <v>0</v>
      </c>
      <c r="HE274" s="166">
        <v>0</v>
      </c>
      <c r="HF274" s="166">
        <v>0</v>
      </c>
      <c r="HG274" s="166">
        <v>0</v>
      </c>
      <c r="HH274" s="152">
        <v>0</v>
      </c>
      <c r="HI274" s="152">
        <v>0</v>
      </c>
      <c r="HJ274" s="152">
        <v>0</v>
      </c>
      <c r="HK274" s="152">
        <v>0</v>
      </c>
      <c r="HL274" s="152">
        <v>0</v>
      </c>
      <c r="HM274" s="152">
        <v>0</v>
      </c>
      <c r="HN274" s="152">
        <v>0</v>
      </c>
      <c r="HO274" s="152">
        <v>0</v>
      </c>
      <c r="HP274" s="152">
        <v>0</v>
      </c>
      <c r="HQ274" s="152">
        <v>0</v>
      </c>
      <c r="HR274" s="152">
        <v>0</v>
      </c>
      <c r="HS274" s="152">
        <v>0</v>
      </c>
      <c r="HT274" s="152">
        <v>0</v>
      </c>
      <c r="HU274" s="216"/>
      <c r="HV274" s="152">
        <v>0</v>
      </c>
      <c r="HW274" s="216"/>
      <c r="HX274" s="216"/>
      <c r="HY274" s="216"/>
      <c r="HZ274" s="216"/>
      <c r="IA274" s="216"/>
      <c r="IB274" s="216"/>
      <c r="IC274" s="216"/>
      <c r="ID274" s="216"/>
      <c r="IE274" s="216"/>
      <c r="IF274" s="216"/>
      <c r="IG274" s="216"/>
      <c r="IH274" s="216"/>
      <c r="II274" s="216"/>
      <c r="IJ274" s="216"/>
      <c r="IK274" s="216"/>
      <c r="IL274" s="216"/>
      <c r="IM274" s="216"/>
      <c r="IN274" s="216"/>
      <c r="IO274" s="216"/>
      <c r="IP274" s="216"/>
      <c r="IQ274" s="216"/>
      <c r="IR274" s="216"/>
      <c r="IS274" s="216"/>
      <c r="IT274" s="216"/>
      <c r="IU274" s="216"/>
      <c r="IV274" s="216"/>
      <c r="IW274" s="216"/>
      <c r="IX274" s="216"/>
      <c r="IY274" s="216"/>
      <c r="IZ274" s="216"/>
      <c r="JA274" s="216"/>
      <c r="JB274" s="216"/>
      <c r="JC274" s="216"/>
      <c r="JD274" s="216"/>
      <c r="JE274" s="216"/>
      <c r="JF274" s="216"/>
      <c r="JG274" s="216"/>
      <c r="JH274" s="216"/>
      <c r="JI274" s="216"/>
      <c r="JJ274" s="216"/>
      <c r="JK274" s="216"/>
      <c r="JL274" s="216"/>
      <c r="JM274" s="216"/>
      <c r="JN274" s="216"/>
      <c r="JO274" s="216"/>
      <c r="JP274" s="216"/>
      <c r="JQ274" s="216"/>
      <c r="JR274" s="216"/>
      <c r="JS274" s="216"/>
      <c r="JT274" s="216"/>
      <c r="JU274" s="216"/>
      <c r="JV274" s="216"/>
      <c r="JW274" s="216"/>
      <c r="JX274" s="216"/>
      <c r="JY274" s="216"/>
      <c r="JZ274" s="216"/>
      <c r="KA274" s="216"/>
      <c r="KB274" s="216"/>
      <c r="KC274" s="216"/>
      <c r="KD274" s="216"/>
      <c r="KE274" s="216"/>
      <c r="KF274" s="216"/>
      <c r="KG274" s="216"/>
      <c r="KH274" s="216"/>
      <c r="KI274" s="216"/>
      <c r="KJ274" s="216"/>
      <c r="KK274" s="216"/>
      <c r="KL274" s="216"/>
      <c r="KM274" s="216"/>
      <c r="KN274" s="216"/>
      <c r="KO274" s="216"/>
      <c r="KP274" s="216"/>
      <c r="KQ274" s="216"/>
      <c r="KR274" s="216"/>
      <c r="KS274" s="216"/>
      <c r="KT274" s="216"/>
      <c r="KU274" s="216"/>
      <c r="KV274" s="216"/>
      <c r="KW274" s="216"/>
      <c r="KX274" s="216"/>
      <c r="KY274" s="216"/>
      <c r="KZ274" s="216"/>
      <c r="LA274" s="216"/>
      <c r="LB274" s="216"/>
      <c r="LC274" s="216"/>
      <c r="LD274" s="216"/>
      <c r="LE274" s="216"/>
    </row>
    <row r="275" spans="1:317" x14ac:dyDescent="0.2">
      <c r="A275" s="179" t="s">
        <v>849</v>
      </c>
      <c r="B275" s="180" t="s">
        <v>1174</v>
      </c>
      <c r="C275" s="181"/>
      <c r="D275" s="182">
        <v>0</v>
      </c>
      <c r="E275" s="182">
        <v>0</v>
      </c>
      <c r="F275" s="183" t="s">
        <v>1351</v>
      </c>
      <c r="G275" s="183">
        <v>0</v>
      </c>
      <c r="H275" s="183">
        <v>0</v>
      </c>
      <c r="I275" s="183">
        <v>0</v>
      </c>
      <c r="J275" s="183">
        <v>0</v>
      </c>
      <c r="K275" s="183" t="s">
        <v>1402</v>
      </c>
      <c r="L275" s="183">
        <v>0</v>
      </c>
      <c r="M275" s="183">
        <v>0</v>
      </c>
      <c r="N275" s="183" t="s">
        <v>872</v>
      </c>
      <c r="O275" s="183">
        <v>0</v>
      </c>
      <c r="P275" s="183">
        <v>0</v>
      </c>
      <c r="Q275" s="183"/>
      <c r="R275" s="183"/>
      <c r="S275" s="183"/>
      <c r="T275" s="183"/>
      <c r="U275" s="183"/>
      <c r="V275" s="183">
        <v>0</v>
      </c>
      <c r="W275" s="183">
        <v>0</v>
      </c>
      <c r="X275" s="183">
        <v>0</v>
      </c>
      <c r="Y275" s="184">
        <v>0</v>
      </c>
      <c r="Z275" s="184">
        <v>0</v>
      </c>
      <c r="AA275" s="184">
        <v>0</v>
      </c>
      <c r="AB275" s="185" t="s">
        <v>615</v>
      </c>
      <c r="AC275" s="185" t="s">
        <v>615</v>
      </c>
      <c r="AD275" s="186" t="s">
        <v>872</v>
      </c>
      <c r="AE275" s="186" t="s">
        <v>852</v>
      </c>
      <c r="AF275" s="187">
        <v>7</v>
      </c>
      <c r="AG275" s="187">
        <v>3</v>
      </c>
      <c r="AH275" s="187">
        <v>4</v>
      </c>
      <c r="AI275" s="188">
        <v>1</v>
      </c>
      <c r="AJ275" s="188" t="s">
        <v>615</v>
      </c>
      <c r="AK275" s="187" t="s">
        <v>1741</v>
      </c>
      <c r="AL275" s="87" t="s">
        <v>615</v>
      </c>
      <c r="AM275" s="189"/>
      <c r="AN275" s="187" t="s">
        <v>615</v>
      </c>
      <c r="AO275" s="13" t="s">
        <v>615</v>
      </c>
      <c r="AP275" s="187">
        <v>0</v>
      </c>
      <c r="AQ275" s="187">
        <v>0</v>
      </c>
      <c r="AR275" s="190">
        <v>0</v>
      </c>
      <c r="AS275" s="190">
        <v>0</v>
      </c>
      <c r="AT275" s="190">
        <v>0</v>
      </c>
      <c r="AU275" s="187">
        <v>0</v>
      </c>
      <c r="AV275" s="187">
        <v>0</v>
      </c>
      <c r="AW275" s="191"/>
      <c r="AX275" s="192"/>
      <c r="AY275" s="193"/>
      <c r="AZ275" s="193"/>
      <c r="BA275" s="193"/>
      <c r="BB275" s="194"/>
      <c r="BC275" s="194"/>
      <c r="BD275" s="195"/>
      <c r="BE275" s="195" t="s">
        <v>532</v>
      </c>
      <c r="BF275" s="195"/>
      <c r="BG275" s="195">
        <v>10</v>
      </c>
      <c r="BH275" s="196" t="s">
        <v>547</v>
      </c>
      <c r="BI275" s="197">
        <v>1</v>
      </c>
      <c r="BJ275" s="198"/>
      <c r="BK275" s="199">
        <v>0</v>
      </c>
      <c r="BL275" s="13">
        <v>0</v>
      </c>
      <c r="BM275" s="13">
        <v>0</v>
      </c>
      <c r="BN275" s="13" t="s">
        <v>616</v>
      </c>
      <c r="BO275" s="13" t="s">
        <v>616</v>
      </c>
      <c r="BP275" s="200">
        <v>10</v>
      </c>
      <c r="BQ275" s="201"/>
      <c r="BR275" s="202"/>
      <c r="BS275" s="187">
        <v>1000000000</v>
      </c>
      <c r="BT275" s="203">
        <v>0</v>
      </c>
      <c r="BU275" s="204">
        <v>0</v>
      </c>
      <c r="BV275" s="203">
        <v>10</v>
      </c>
      <c r="BW275" s="205">
        <v>0</v>
      </c>
      <c r="BX275" s="205">
        <v>0</v>
      </c>
      <c r="BY275" s="205">
        <v>0</v>
      </c>
      <c r="BZ275" s="203">
        <v>0</v>
      </c>
      <c r="CA275" s="203">
        <v>0</v>
      </c>
      <c r="CB275" s="203">
        <v>10</v>
      </c>
      <c r="CC275" s="204">
        <v>0</v>
      </c>
      <c r="CD275" s="203">
        <v>0</v>
      </c>
      <c r="CE275" s="203">
        <v>0</v>
      </c>
      <c r="CF275" s="13">
        <v>0</v>
      </c>
      <c r="CG275" s="206">
        <v>0</v>
      </c>
      <c r="CH275" s="207">
        <v>0</v>
      </c>
      <c r="CI275" s="201"/>
      <c r="CJ275" s="208"/>
      <c r="CK275" s="209" t="s">
        <v>615</v>
      </c>
      <c r="CL275" s="210" t="s">
        <v>615</v>
      </c>
      <c r="CM275" s="207">
        <v>0</v>
      </c>
      <c r="CN275" s="207">
        <v>0</v>
      </c>
      <c r="CO275" s="204">
        <v>0</v>
      </c>
      <c r="CP275" s="204">
        <v>0</v>
      </c>
      <c r="CQ275" s="211"/>
      <c r="CR275" s="204">
        <v>1</v>
      </c>
      <c r="CS275" s="212">
        <v>42766</v>
      </c>
      <c r="CT275" s="212">
        <v>42780</v>
      </c>
      <c r="CU275" s="213">
        <v>42780</v>
      </c>
      <c r="CV275" s="214">
        <v>42829</v>
      </c>
      <c r="CW275" s="214" t="s">
        <v>615</v>
      </c>
      <c r="CX275" s="214" t="s">
        <v>615</v>
      </c>
      <c r="CY275" s="204">
        <v>1</v>
      </c>
      <c r="CZ275" s="204">
        <v>0.97959183673469385</v>
      </c>
      <c r="DA275" s="203">
        <v>0</v>
      </c>
      <c r="DB275" s="204">
        <v>0.97959183673469385</v>
      </c>
      <c r="DC275" s="204">
        <v>0</v>
      </c>
      <c r="DD275" s="204">
        <v>0</v>
      </c>
      <c r="DE275" s="204">
        <v>0</v>
      </c>
      <c r="DF275" s="215">
        <v>0</v>
      </c>
      <c r="DG275" s="13" t="s">
        <v>615</v>
      </c>
      <c r="DH275" s="86">
        <v>273</v>
      </c>
      <c r="DI275" s="86"/>
      <c r="DJ275" s="86">
        <v>154</v>
      </c>
      <c r="DK275" s="86" t="s">
        <v>1615</v>
      </c>
      <c r="DL275" s="86" t="e">
        <v>#N/A</v>
      </c>
      <c r="DM275" s="86" t="e">
        <v>#N/A</v>
      </c>
      <c r="DN275" s="86" t="e">
        <v>#N/A</v>
      </c>
      <c r="DO275" s="86">
        <v>161</v>
      </c>
      <c r="DP275" s="86">
        <v>2</v>
      </c>
      <c r="DQ275" s="86">
        <v>49</v>
      </c>
      <c r="DR275" s="151"/>
      <c r="DS275" s="152"/>
      <c r="DT275" s="151"/>
      <c r="DU275" s="151"/>
      <c r="DV275" s="151"/>
      <c r="DW275" s="151"/>
      <c r="DX275" s="151"/>
      <c r="DY275" s="152"/>
      <c r="DZ275" s="151"/>
      <c r="EA275" s="151"/>
      <c r="EB275" s="151"/>
      <c r="EC275" s="151"/>
      <c r="ED275" s="151"/>
      <c r="EE275" s="151"/>
      <c r="EF275" s="226"/>
      <c r="EG275" s="226"/>
      <c r="EH275" s="151"/>
      <c r="EI275" s="151"/>
      <c r="EJ275" s="151"/>
      <c r="EK275" s="151"/>
      <c r="EL275" s="151"/>
      <c r="EM275" s="226"/>
      <c r="EN275" s="151"/>
      <c r="EO275" s="151"/>
      <c r="EP275" s="151"/>
      <c r="EQ275" s="151"/>
      <c r="ER275" s="226"/>
      <c r="ES275" s="226"/>
      <c r="ET275" s="151"/>
      <c r="EU275" s="151"/>
      <c r="EV275" s="151"/>
      <c r="EW275" s="151"/>
      <c r="EX275" s="151"/>
      <c r="EY275" s="226"/>
      <c r="EZ275" s="151"/>
      <c r="FA275" s="151"/>
      <c r="FB275" s="151"/>
      <c r="FC275" s="151"/>
      <c r="FD275" s="151"/>
      <c r="FE275" s="226"/>
      <c r="FF275" s="151"/>
      <c r="FG275" s="151"/>
      <c r="FH275" s="151"/>
      <c r="FI275" s="226"/>
      <c r="FJ275" s="226"/>
      <c r="FK275" s="151"/>
      <c r="FL275" s="151"/>
      <c r="FM275" s="166">
        <v>0</v>
      </c>
      <c r="FN275" s="166">
        <v>0</v>
      </c>
      <c r="FO275" s="160">
        <v>0</v>
      </c>
      <c r="FP275" s="160">
        <v>0</v>
      </c>
      <c r="FQ275" s="160">
        <v>0</v>
      </c>
      <c r="FR275" s="160">
        <v>0</v>
      </c>
      <c r="FS275" s="160">
        <v>0</v>
      </c>
      <c r="FT275" s="160">
        <v>0</v>
      </c>
      <c r="FU275" s="160">
        <v>0</v>
      </c>
      <c r="FV275" s="160">
        <v>0</v>
      </c>
      <c r="FW275" s="160">
        <v>0</v>
      </c>
      <c r="FX275" s="160">
        <v>0</v>
      </c>
      <c r="FY275" s="160">
        <v>0</v>
      </c>
      <c r="FZ275" s="160">
        <v>0</v>
      </c>
      <c r="GA275" s="160">
        <v>0</v>
      </c>
      <c r="GB275" s="160">
        <v>0</v>
      </c>
      <c r="GC275" s="160">
        <v>0</v>
      </c>
      <c r="GD275" s="160">
        <v>0</v>
      </c>
      <c r="GE275" s="160">
        <v>0</v>
      </c>
      <c r="GF275" s="160">
        <v>0</v>
      </c>
      <c r="GG275" s="160">
        <v>0</v>
      </c>
      <c r="GH275" s="160">
        <v>0</v>
      </c>
      <c r="GI275" s="160">
        <v>0</v>
      </c>
      <c r="GJ275" s="160">
        <v>0</v>
      </c>
      <c r="GK275" s="160">
        <v>0</v>
      </c>
      <c r="GL275" s="160">
        <v>0</v>
      </c>
      <c r="GM275" s="160">
        <v>0</v>
      </c>
      <c r="GN275" s="160">
        <v>0</v>
      </c>
      <c r="GO275" s="160">
        <v>0</v>
      </c>
      <c r="GP275" s="160">
        <v>0</v>
      </c>
      <c r="GQ275" s="160">
        <v>0</v>
      </c>
      <c r="GR275" s="160">
        <v>0</v>
      </c>
      <c r="GS275" s="160">
        <v>0</v>
      </c>
      <c r="GT275" s="160">
        <v>0</v>
      </c>
      <c r="GU275" s="160">
        <v>0</v>
      </c>
      <c r="GV275" s="160">
        <v>0</v>
      </c>
      <c r="GW275" s="160">
        <v>0</v>
      </c>
      <c r="GX275" s="160">
        <v>0</v>
      </c>
      <c r="GY275" s="160">
        <v>0</v>
      </c>
      <c r="GZ275" s="160">
        <v>0</v>
      </c>
      <c r="HA275" s="160">
        <v>0</v>
      </c>
      <c r="HB275" s="160">
        <v>0</v>
      </c>
      <c r="HC275" s="160">
        <v>0</v>
      </c>
      <c r="HD275" s="160">
        <v>0</v>
      </c>
      <c r="HE275" s="160">
        <v>0</v>
      </c>
      <c r="HF275" s="160">
        <v>0</v>
      </c>
      <c r="HG275" s="160">
        <v>0</v>
      </c>
      <c r="HH275" s="146">
        <v>0</v>
      </c>
      <c r="HI275" s="146">
        <v>0</v>
      </c>
      <c r="HJ275" s="146">
        <v>0</v>
      </c>
      <c r="HK275" s="146">
        <v>0</v>
      </c>
      <c r="HL275" s="146">
        <v>0</v>
      </c>
      <c r="HM275" s="146">
        <v>0</v>
      </c>
      <c r="HN275" s="146">
        <v>0</v>
      </c>
      <c r="HO275" s="146">
        <v>0</v>
      </c>
      <c r="HP275" s="146">
        <v>0</v>
      </c>
      <c r="HQ275" s="146">
        <v>0</v>
      </c>
      <c r="HR275" s="146">
        <v>0</v>
      </c>
      <c r="HS275" s="146">
        <v>0</v>
      </c>
      <c r="HT275" s="146">
        <v>0</v>
      </c>
      <c r="HU275" s="151"/>
      <c r="HV275" s="146">
        <v>0</v>
      </c>
      <c r="HW275" s="151"/>
      <c r="HX275" s="151"/>
      <c r="HY275" s="151"/>
      <c r="HZ275" s="151"/>
      <c r="IA275" s="151"/>
      <c r="IB275" s="151"/>
      <c r="IC275" s="151"/>
      <c r="ID275" s="151"/>
      <c r="IE275" s="151"/>
      <c r="IF275" s="151"/>
      <c r="IG275" s="151"/>
      <c r="IH275" s="151"/>
      <c r="II275" s="151"/>
      <c r="IJ275" s="151"/>
      <c r="IK275" s="151"/>
      <c r="IL275" s="151"/>
      <c r="IM275" s="151"/>
      <c r="IN275" s="151"/>
      <c r="IO275" s="151"/>
      <c r="IP275" s="151"/>
      <c r="IQ275" s="151"/>
      <c r="IR275" s="151"/>
      <c r="IS275" s="151"/>
      <c r="IT275" s="151"/>
      <c r="IU275" s="151"/>
      <c r="IV275" s="151"/>
      <c r="IW275" s="151"/>
      <c r="IX275" s="151"/>
      <c r="IY275" s="151"/>
      <c r="IZ275" s="151"/>
      <c r="JA275" s="151"/>
      <c r="JB275" s="151"/>
      <c r="JC275" s="151"/>
      <c r="JD275" s="151"/>
      <c r="JE275" s="151"/>
      <c r="JF275" s="151"/>
      <c r="JG275" s="151"/>
      <c r="JH275" s="151"/>
      <c r="JI275" s="151"/>
      <c r="JJ275" s="151"/>
      <c r="JK275" s="151"/>
      <c r="JL275" s="151"/>
      <c r="JM275" s="151"/>
      <c r="JN275" s="151"/>
      <c r="JO275" s="151"/>
      <c r="JP275" s="151"/>
      <c r="JQ275" s="151"/>
      <c r="JR275" s="151"/>
      <c r="JS275" s="151"/>
      <c r="JT275" s="151"/>
      <c r="JU275" s="151"/>
      <c r="JV275" s="151"/>
      <c r="JW275" s="151"/>
      <c r="JX275" s="151"/>
      <c r="JY275" s="151"/>
      <c r="JZ275" s="151"/>
      <c r="KA275" s="151"/>
      <c r="KB275" s="151"/>
      <c r="KC275" s="151"/>
      <c r="KD275" s="151"/>
      <c r="KE275" s="151"/>
      <c r="KF275" s="151"/>
      <c r="KG275" s="151"/>
      <c r="KH275" s="151"/>
      <c r="KI275" s="151"/>
      <c r="KJ275" s="151"/>
      <c r="KK275" s="151"/>
      <c r="KL275" s="151"/>
      <c r="KM275" s="151"/>
      <c r="KN275" s="151"/>
      <c r="KO275" s="151"/>
      <c r="KP275" s="151"/>
      <c r="KQ275" s="151"/>
      <c r="KR275" s="151"/>
      <c r="KS275" s="151"/>
      <c r="KT275" s="151"/>
      <c r="KU275" s="151"/>
      <c r="KV275" s="151"/>
      <c r="KW275" s="151"/>
      <c r="KX275" s="151"/>
      <c r="KY275" s="151"/>
      <c r="KZ275" s="151"/>
      <c r="LA275" s="151"/>
      <c r="LB275" s="151"/>
      <c r="LC275" s="151"/>
      <c r="LD275" s="151"/>
      <c r="LE275" s="151"/>
    </row>
    <row r="276" spans="1:317" x14ac:dyDescent="0.2">
      <c r="A276" s="179" t="s">
        <v>849</v>
      </c>
      <c r="B276" s="180" t="s">
        <v>1175</v>
      </c>
      <c r="C276" s="181"/>
      <c r="D276" s="182">
        <v>0</v>
      </c>
      <c r="E276" s="182">
        <v>0</v>
      </c>
      <c r="F276" s="183" t="s">
        <v>1352</v>
      </c>
      <c r="G276" s="183">
        <v>0</v>
      </c>
      <c r="H276" s="183">
        <v>0</v>
      </c>
      <c r="I276" s="183">
        <v>0</v>
      </c>
      <c r="J276" s="183">
        <v>0</v>
      </c>
      <c r="K276" s="183" t="s">
        <v>1403</v>
      </c>
      <c r="L276" s="183">
        <v>0</v>
      </c>
      <c r="M276" s="183">
        <v>0</v>
      </c>
      <c r="N276" s="183" t="s">
        <v>872</v>
      </c>
      <c r="O276" s="183">
        <v>0</v>
      </c>
      <c r="P276" s="183">
        <v>0</v>
      </c>
      <c r="Q276" s="183"/>
      <c r="R276" s="183"/>
      <c r="S276" s="183"/>
      <c r="T276" s="183"/>
      <c r="U276" s="183"/>
      <c r="V276" s="183">
        <v>0</v>
      </c>
      <c r="W276" s="183">
        <v>0</v>
      </c>
      <c r="X276" s="183">
        <v>0</v>
      </c>
      <c r="Y276" s="184">
        <v>18.3</v>
      </c>
      <c r="Z276" s="184">
        <v>36.200000000000003</v>
      </c>
      <c r="AA276" s="184">
        <v>0</v>
      </c>
      <c r="AB276" s="185" t="s">
        <v>615</v>
      </c>
      <c r="AC276" s="185" t="s">
        <v>615</v>
      </c>
      <c r="AD276" s="186" t="s">
        <v>872</v>
      </c>
      <c r="AE276" s="186" t="s">
        <v>852</v>
      </c>
      <c r="AF276" s="187">
        <v>7</v>
      </c>
      <c r="AG276" s="187">
        <v>3</v>
      </c>
      <c r="AH276" s="187">
        <v>4</v>
      </c>
      <c r="AI276" s="188">
        <v>1</v>
      </c>
      <c r="AJ276" s="188" t="s">
        <v>617</v>
      </c>
      <c r="AK276" s="187" t="s">
        <v>1741</v>
      </c>
      <c r="AL276" s="87" t="s">
        <v>615</v>
      </c>
      <c r="AM276" s="189"/>
      <c r="AN276" s="187" t="s">
        <v>615</v>
      </c>
      <c r="AO276" s="13" t="s">
        <v>615</v>
      </c>
      <c r="AP276" s="187">
        <v>0</v>
      </c>
      <c r="AQ276" s="187">
        <v>0</v>
      </c>
      <c r="AR276" s="190">
        <v>0</v>
      </c>
      <c r="AS276" s="190">
        <v>0</v>
      </c>
      <c r="AT276" s="190">
        <v>0</v>
      </c>
      <c r="AU276" s="187">
        <v>0</v>
      </c>
      <c r="AV276" s="187">
        <v>0</v>
      </c>
      <c r="AW276" s="191"/>
      <c r="AX276" s="192"/>
      <c r="AY276" s="193"/>
      <c r="AZ276" s="193"/>
      <c r="BA276" s="193"/>
      <c r="BB276" s="194"/>
      <c r="BC276" s="194"/>
      <c r="BD276" s="195"/>
      <c r="BE276" s="195" t="s">
        <v>532</v>
      </c>
      <c r="BF276" s="195"/>
      <c r="BG276" s="195">
        <v>10</v>
      </c>
      <c r="BH276" s="196" t="s">
        <v>547</v>
      </c>
      <c r="BI276" s="197">
        <v>1</v>
      </c>
      <c r="BJ276" s="198"/>
      <c r="BK276" s="199">
        <v>10</v>
      </c>
      <c r="BL276" s="13">
        <v>7</v>
      </c>
      <c r="BM276" s="13">
        <v>3</v>
      </c>
      <c r="BN276" s="13" t="s">
        <v>618</v>
      </c>
      <c r="BO276" s="13" t="s">
        <v>620</v>
      </c>
      <c r="BP276" s="200">
        <v>14</v>
      </c>
      <c r="BQ276" s="201"/>
      <c r="BR276" s="202"/>
      <c r="BS276" s="187">
        <v>1000000000</v>
      </c>
      <c r="BT276" s="203">
        <v>9</v>
      </c>
      <c r="BU276" s="204">
        <v>0.1</v>
      </c>
      <c r="BV276" s="203">
        <v>10</v>
      </c>
      <c r="BW276" s="205">
        <v>0</v>
      </c>
      <c r="BX276" s="205">
        <v>0</v>
      </c>
      <c r="BY276" s="205">
        <v>0</v>
      </c>
      <c r="BZ276" s="203">
        <v>0</v>
      </c>
      <c r="CA276" s="203">
        <v>0</v>
      </c>
      <c r="CB276" s="203">
        <v>19</v>
      </c>
      <c r="CC276" s="204">
        <v>-0.9</v>
      </c>
      <c r="CD276" s="203">
        <v>0</v>
      </c>
      <c r="CE276" s="203">
        <v>0</v>
      </c>
      <c r="CF276" s="13">
        <v>0</v>
      </c>
      <c r="CG276" s="206">
        <v>0</v>
      </c>
      <c r="CH276" s="207">
        <v>6</v>
      </c>
      <c r="CI276" s="201"/>
      <c r="CJ276" s="208"/>
      <c r="CK276" s="209" t="s">
        <v>615</v>
      </c>
      <c r="CL276" s="210" t="s">
        <v>615</v>
      </c>
      <c r="CM276" s="207">
        <v>0</v>
      </c>
      <c r="CN276" s="207">
        <v>0</v>
      </c>
      <c r="CO276" s="204">
        <v>0</v>
      </c>
      <c r="CP276" s="204">
        <v>6.7072599531615928</v>
      </c>
      <c r="CQ276" s="211"/>
      <c r="CR276" s="204">
        <v>1</v>
      </c>
      <c r="CS276" s="212">
        <v>42766</v>
      </c>
      <c r="CT276" s="212">
        <v>42780</v>
      </c>
      <c r="CU276" s="213">
        <v>42780</v>
      </c>
      <c r="CV276" s="214">
        <v>42829</v>
      </c>
      <c r="CW276" s="214" t="s">
        <v>615</v>
      </c>
      <c r="CX276" s="214" t="s">
        <v>615</v>
      </c>
      <c r="CY276" s="204">
        <v>0.10655423240735468</v>
      </c>
      <c r="CZ276" s="204">
        <v>0.97959183673469397</v>
      </c>
      <c r="DA276" s="203">
        <v>0</v>
      </c>
      <c r="DB276" s="204">
        <v>0</v>
      </c>
      <c r="DC276" s="204">
        <v>0</v>
      </c>
      <c r="DD276" s="204">
        <v>0</v>
      </c>
      <c r="DE276" s="204">
        <v>4.0816326530612242E-2</v>
      </c>
      <c r="DF276" s="215">
        <v>0.93877551020408168</v>
      </c>
      <c r="DG276" s="13" t="s">
        <v>615</v>
      </c>
      <c r="DH276" s="86">
        <v>274</v>
      </c>
      <c r="DI276" s="86"/>
      <c r="DJ276" s="86">
        <v>155</v>
      </c>
      <c r="DK276" s="86" t="s">
        <v>1506</v>
      </c>
      <c r="DL276" s="86" t="e">
        <v>#N/A</v>
      </c>
      <c r="DM276" s="86">
        <v>69</v>
      </c>
      <c r="DN276" s="86" t="e">
        <v>#N/A</v>
      </c>
      <c r="DO276" s="86">
        <v>162</v>
      </c>
      <c r="DP276" s="86">
        <v>2</v>
      </c>
      <c r="DQ276" s="86">
        <v>49</v>
      </c>
      <c r="DR276" s="216"/>
      <c r="DS276" s="152"/>
      <c r="DT276" s="216"/>
      <c r="DU276" s="216"/>
      <c r="DV276" s="216"/>
      <c r="DW276" s="216"/>
      <c r="DX276" s="216"/>
      <c r="DY276" s="152"/>
      <c r="DZ276" s="216"/>
      <c r="EA276" s="216"/>
      <c r="EB276" s="216"/>
      <c r="EC276" s="216"/>
      <c r="ED276" s="216"/>
      <c r="EE276" s="216"/>
      <c r="EF276" s="225"/>
      <c r="EG276" s="225"/>
      <c r="EH276" s="216"/>
      <c r="EI276" s="216"/>
      <c r="EJ276" s="216"/>
      <c r="EK276" s="216"/>
      <c r="EL276" s="216"/>
      <c r="EM276" s="225"/>
      <c r="EN276" s="216"/>
      <c r="EO276" s="216"/>
      <c r="EP276" s="216"/>
      <c r="EQ276" s="216"/>
      <c r="ER276" s="225"/>
      <c r="ES276" s="225"/>
      <c r="ET276" s="216"/>
      <c r="EU276" s="216"/>
      <c r="EV276" s="216"/>
      <c r="EW276" s="216"/>
      <c r="EX276" s="216"/>
      <c r="EY276" s="225"/>
      <c r="EZ276" s="216"/>
      <c r="FA276" s="216"/>
      <c r="FB276" s="216"/>
      <c r="FC276" s="216"/>
      <c r="FD276" s="216"/>
      <c r="FE276" s="225"/>
      <c r="FF276" s="216"/>
      <c r="FG276" s="216"/>
      <c r="FH276" s="216"/>
      <c r="FI276" s="225"/>
      <c r="FJ276" s="225"/>
      <c r="FK276" s="216"/>
      <c r="FL276" s="216"/>
      <c r="FM276" s="168">
        <v>9</v>
      </c>
      <c r="FN276" s="164">
        <v>19</v>
      </c>
      <c r="FO276" s="164">
        <v>19</v>
      </c>
      <c r="FP276" s="164">
        <v>19</v>
      </c>
      <c r="FQ276" s="164">
        <v>19</v>
      </c>
      <c r="FR276" s="164">
        <v>19</v>
      </c>
      <c r="FS276" s="164">
        <v>19</v>
      </c>
      <c r="FT276" s="164">
        <v>19</v>
      </c>
      <c r="FU276" s="164">
        <v>19</v>
      </c>
      <c r="FV276" s="164">
        <v>19</v>
      </c>
      <c r="FW276" s="164">
        <v>19</v>
      </c>
      <c r="FX276" s="164">
        <v>19</v>
      </c>
      <c r="FY276" s="164">
        <v>19</v>
      </c>
      <c r="FZ276" s="164">
        <v>19</v>
      </c>
      <c r="GA276" s="164">
        <v>19</v>
      </c>
      <c r="GB276" s="164">
        <v>19</v>
      </c>
      <c r="GC276" s="164">
        <v>19</v>
      </c>
      <c r="GD276" s="164">
        <v>19</v>
      </c>
      <c r="GE276" s="164">
        <v>19</v>
      </c>
      <c r="GF276" s="164">
        <v>19</v>
      </c>
      <c r="GG276" s="164">
        <v>19</v>
      </c>
      <c r="GH276" s="164">
        <v>19</v>
      </c>
      <c r="GI276" s="164">
        <v>18</v>
      </c>
      <c r="GJ276" s="164">
        <v>18</v>
      </c>
      <c r="GK276" s="164">
        <v>18</v>
      </c>
      <c r="GL276" s="164">
        <v>18</v>
      </c>
      <c r="GM276" s="164">
        <v>18</v>
      </c>
      <c r="GN276" s="164">
        <v>18</v>
      </c>
      <c r="GO276" s="164">
        <v>18</v>
      </c>
      <c r="GP276" s="164">
        <v>18</v>
      </c>
      <c r="GQ276" s="164">
        <v>18</v>
      </c>
      <c r="GR276" s="164">
        <v>18</v>
      </c>
      <c r="GS276" s="164">
        <v>18</v>
      </c>
      <c r="GT276" s="164">
        <v>18</v>
      </c>
      <c r="GU276" s="164">
        <v>18</v>
      </c>
      <c r="GV276" s="164">
        <v>18</v>
      </c>
      <c r="GW276" s="164">
        <v>18</v>
      </c>
      <c r="GX276" s="164">
        <v>18</v>
      </c>
      <c r="GY276" s="164">
        <v>18</v>
      </c>
      <c r="GZ276" s="164">
        <v>18</v>
      </c>
      <c r="HA276" s="164">
        <v>18</v>
      </c>
      <c r="HB276" s="164">
        <v>18</v>
      </c>
      <c r="HC276" s="164">
        <v>18</v>
      </c>
      <c r="HD276" s="164">
        <v>18</v>
      </c>
      <c r="HE276" s="164">
        <v>18</v>
      </c>
      <c r="HF276" s="164">
        <v>18</v>
      </c>
      <c r="HG276" s="167">
        <v>18</v>
      </c>
      <c r="HH276" s="167">
        <v>18</v>
      </c>
      <c r="HI276" s="167">
        <v>18</v>
      </c>
      <c r="HJ276" s="167">
        <v>18</v>
      </c>
      <c r="HK276" s="167">
        <v>18</v>
      </c>
      <c r="HL276" s="167">
        <v>18</v>
      </c>
      <c r="HM276" s="167">
        <v>18</v>
      </c>
      <c r="HN276" s="167">
        <v>18</v>
      </c>
      <c r="HO276" s="167">
        <v>18</v>
      </c>
      <c r="HP276" s="167">
        <v>18</v>
      </c>
      <c r="HQ276" s="167">
        <v>18</v>
      </c>
      <c r="HR276" s="167">
        <v>18</v>
      </c>
      <c r="HS276" s="167">
        <v>18</v>
      </c>
      <c r="HT276" s="164">
        <v>9</v>
      </c>
      <c r="HU276" s="216"/>
      <c r="HV276" s="164">
        <v>9</v>
      </c>
      <c r="HW276" s="216"/>
      <c r="HX276" s="216"/>
      <c r="HY276" s="216"/>
      <c r="HZ276" s="216"/>
      <c r="IA276" s="216"/>
      <c r="IB276" s="216"/>
      <c r="IC276" s="216"/>
      <c r="ID276" s="216"/>
      <c r="IE276" s="216"/>
      <c r="IF276" s="216"/>
      <c r="IG276" s="216"/>
      <c r="IH276" s="216"/>
      <c r="II276" s="216"/>
      <c r="IJ276" s="216"/>
      <c r="IK276" s="216"/>
      <c r="IL276" s="216"/>
      <c r="IM276" s="216"/>
      <c r="IN276" s="216"/>
      <c r="IO276" s="216"/>
      <c r="IP276" s="216"/>
      <c r="IQ276" s="216"/>
      <c r="IR276" s="216"/>
      <c r="IS276" s="216"/>
      <c r="IT276" s="216"/>
      <c r="IU276" s="216"/>
      <c r="IV276" s="216"/>
      <c r="IW276" s="216"/>
      <c r="IX276" s="216"/>
      <c r="IY276" s="216"/>
      <c r="IZ276" s="216"/>
      <c r="JA276" s="216"/>
      <c r="JB276" s="216"/>
      <c r="JC276" s="216"/>
      <c r="JD276" s="216"/>
      <c r="JE276" s="216"/>
      <c r="JF276" s="216"/>
      <c r="JG276" s="216"/>
      <c r="JH276" s="216"/>
      <c r="JI276" s="216"/>
      <c r="JJ276" s="216"/>
      <c r="JK276" s="216"/>
      <c r="JL276" s="216"/>
      <c r="JM276" s="216"/>
      <c r="JN276" s="216"/>
      <c r="JO276" s="216"/>
      <c r="JP276" s="216"/>
      <c r="JQ276" s="216"/>
      <c r="JR276" s="216"/>
      <c r="JS276" s="216"/>
      <c r="JT276" s="216"/>
      <c r="JU276" s="216"/>
      <c r="JV276" s="216"/>
      <c r="JW276" s="216"/>
      <c r="JX276" s="216"/>
      <c r="JY276" s="216"/>
      <c r="JZ276" s="216"/>
      <c r="KA276" s="216"/>
      <c r="KB276" s="216"/>
      <c r="KC276" s="216"/>
      <c r="KD276" s="216"/>
      <c r="KE276" s="216"/>
      <c r="KF276" s="216"/>
      <c r="KG276" s="216"/>
      <c r="KH276" s="216"/>
      <c r="KI276" s="216"/>
      <c r="KJ276" s="216"/>
      <c r="KK276" s="216"/>
      <c r="KL276" s="216"/>
      <c r="KM276" s="216"/>
      <c r="KN276" s="216"/>
      <c r="KO276" s="216"/>
      <c r="KP276" s="216"/>
      <c r="KQ276" s="216"/>
      <c r="KR276" s="216"/>
      <c r="KS276" s="216"/>
      <c r="KT276" s="216"/>
      <c r="KU276" s="216"/>
      <c r="KV276" s="216"/>
      <c r="KW276" s="216"/>
      <c r="KX276" s="216"/>
      <c r="KY276" s="216"/>
      <c r="KZ276" s="216"/>
      <c r="LA276" s="216"/>
      <c r="LB276" s="216"/>
      <c r="LC276" s="216"/>
      <c r="LD276" s="216"/>
      <c r="LE276" s="216"/>
    </row>
    <row r="277" spans="1:317" x14ac:dyDescent="0.2">
      <c r="A277" s="179" t="s">
        <v>849</v>
      </c>
      <c r="B277" s="180" t="s">
        <v>1176</v>
      </c>
      <c r="C277" s="181"/>
      <c r="D277" s="182">
        <v>0</v>
      </c>
      <c r="E277" s="182">
        <v>0</v>
      </c>
      <c r="F277" s="183" t="s">
        <v>1353</v>
      </c>
      <c r="G277" s="183">
        <v>0</v>
      </c>
      <c r="H277" s="183">
        <v>0</v>
      </c>
      <c r="I277" s="183">
        <v>0</v>
      </c>
      <c r="J277" s="183">
        <v>0</v>
      </c>
      <c r="K277" s="183" t="s">
        <v>1403</v>
      </c>
      <c r="L277" s="183">
        <v>0</v>
      </c>
      <c r="M277" s="183">
        <v>0</v>
      </c>
      <c r="N277" s="183" t="s">
        <v>872</v>
      </c>
      <c r="O277" s="183">
        <v>0</v>
      </c>
      <c r="P277" s="183">
        <v>0</v>
      </c>
      <c r="Q277" s="183"/>
      <c r="R277" s="183"/>
      <c r="S277" s="183"/>
      <c r="T277" s="183"/>
      <c r="U277" s="183"/>
      <c r="V277" s="183">
        <v>0</v>
      </c>
      <c r="W277" s="183">
        <v>0</v>
      </c>
      <c r="X277" s="183">
        <v>0</v>
      </c>
      <c r="Y277" s="184">
        <v>18.3</v>
      </c>
      <c r="Z277" s="184">
        <v>36.200000000000003</v>
      </c>
      <c r="AA277" s="184">
        <v>0</v>
      </c>
      <c r="AB277" s="185" t="s">
        <v>615</v>
      </c>
      <c r="AC277" s="185" t="s">
        <v>615</v>
      </c>
      <c r="AD277" s="186" t="s">
        <v>872</v>
      </c>
      <c r="AE277" s="186" t="s">
        <v>852</v>
      </c>
      <c r="AF277" s="187">
        <v>7</v>
      </c>
      <c r="AG277" s="187">
        <v>3</v>
      </c>
      <c r="AH277" s="187">
        <v>4</v>
      </c>
      <c r="AI277" s="188">
        <v>1</v>
      </c>
      <c r="AJ277" s="188" t="s">
        <v>617</v>
      </c>
      <c r="AK277" s="187" t="s">
        <v>1741</v>
      </c>
      <c r="AL277" s="87" t="s">
        <v>615</v>
      </c>
      <c r="AM277" s="189"/>
      <c r="AN277" s="187" t="s">
        <v>615</v>
      </c>
      <c r="AO277" s="13" t="s">
        <v>615</v>
      </c>
      <c r="AP277" s="187">
        <v>0</v>
      </c>
      <c r="AQ277" s="187">
        <v>0</v>
      </c>
      <c r="AR277" s="190">
        <v>0</v>
      </c>
      <c r="AS277" s="190">
        <v>0</v>
      </c>
      <c r="AT277" s="190">
        <v>0</v>
      </c>
      <c r="AU277" s="187">
        <v>0</v>
      </c>
      <c r="AV277" s="187">
        <v>0</v>
      </c>
      <c r="AW277" s="191"/>
      <c r="AX277" s="192"/>
      <c r="AY277" s="193"/>
      <c r="AZ277" s="193"/>
      <c r="BA277" s="193"/>
      <c r="BB277" s="194"/>
      <c r="BC277" s="194"/>
      <c r="BD277" s="195"/>
      <c r="BE277" s="195" t="s">
        <v>532</v>
      </c>
      <c r="BF277" s="195"/>
      <c r="BG277" s="195">
        <v>10</v>
      </c>
      <c r="BH277" s="196" t="s">
        <v>547</v>
      </c>
      <c r="BI277" s="197">
        <v>1</v>
      </c>
      <c r="BJ277" s="198"/>
      <c r="BK277" s="199">
        <v>10</v>
      </c>
      <c r="BL277" s="13">
        <v>7</v>
      </c>
      <c r="BM277" s="13">
        <v>3</v>
      </c>
      <c r="BN277" s="13" t="s">
        <v>622</v>
      </c>
      <c r="BO277" s="13" t="s">
        <v>620</v>
      </c>
      <c r="BP277" s="200">
        <v>20</v>
      </c>
      <c r="BQ277" s="201"/>
      <c r="BR277" s="202"/>
      <c r="BS277" s="187">
        <v>1000000000</v>
      </c>
      <c r="BT277" s="203">
        <v>3</v>
      </c>
      <c r="BU277" s="204">
        <v>0.7</v>
      </c>
      <c r="BV277" s="203">
        <v>20</v>
      </c>
      <c r="BW277" s="205">
        <v>0</v>
      </c>
      <c r="BX277" s="205">
        <v>0</v>
      </c>
      <c r="BY277" s="205">
        <v>0</v>
      </c>
      <c r="BZ277" s="203">
        <v>0</v>
      </c>
      <c r="CA277" s="203">
        <v>0</v>
      </c>
      <c r="CB277" s="203">
        <v>23</v>
      </c>
      <c r="CC277" s="204">
        <v>-1.3</v>
      </c>
      <c r="CD277" s="203">
        <v>0</v>
      </c>
      <c r="CE277" s="203">
        <v>0</v>
      </c>
      <c r="CF277" s="13">
        <v>0</v>
      </c>
      <c r="CG277" s="206">
        <v>0</v>
      </c>
      <c r="CH277" s="207">
        <v>6</v>
      </c>
      <c r="CI277" s="201"/>
      <c r="CJ277" s="208"/>
      <c r="CK277" s="209" t="s">
        <v>615</v>
      </c>
      <c r="CL277" s="210" t="s">
        <v>615</v>
      </c>
      <c r="CM277" s="207">
        <v>0</v>
      </c>
      <c r="CN277" s="207">
        <v>0</v>
      </c>
      <c r="CO277" s="204">
        <v>0</v>
      </c>
      <c r="CP277" s="204">
        <v>6.7072599531615928</v>
      </c>
      <c r="CQ277" s="211"/>
      <c r="CR277" s="204">
        <v>1</v>
      </c>
      <c r="CS277" s="212">
        <v>42766</v>
      </c>
      <c r="CT277" s="212">
        <v>42780</v>
      </c>
      <c r="CU277" s="213">
        <v>42780</v>
      </c>
      <c r="CV277" s="214">
        <v>42829</v>
      </c>
      <c r="CW277" s="214" t="s">
        <v>615</v>
      </c>
      <c r="CX277" s="214" t="s">
        <v>615</v>
      </c>
      <c r="CY277" s="204">
        <v>0.22440767922753008</v>
      </c>
      <c r="CZ277" s="204">
        <v>0.97959183673469397</v>
      </c>
      <c r="DA277" s="203">
        <v>0</v>
      </c>
      <c r="DB277" s="204">
        <v>0</v>
      </c>
      <c r="DC277" s="204">
        <v>4.0816326530612242E-2</v>
      </c>
      <c r="DD277" s="204">
        <v>0</v>
      </c>
      <c r="DE277" s="204">
        <v>0</v>
      </c>
      <c r="DF277" s="215">
        <v>0.93877551020408168</v>
      </c>
      <c r="DG277" s="13" t="s">
        <v>615</v>
      </c>
      <c r="DH277" s="86">
        <v>275</v>
      </c>
      <c r="DI277" s="86"/>
      <c r="DJ277" s="86">
        <v>156</v>
      </c>
      <c r="DK277" s="86" t="s">
        <v>1507</v>
      </c>
      <c r="DL277" s="86" t="e">
        <v>#N/A</v>
      </c>
      <c r="DM277" s="86">
        <v>70</v>
      </c>
      <c r="DN277" s="86" t="e">
        <v>#N/A</v>
      </c>
      <c r="DO277" s="86">
        <v>163</v>
      </c>
      <c r="DP277" s="86">
        <v>2</v>
      </c>
      <c r="DQ277" s="86">
        <v>49</v>
      </c>
      <c r="DR277" s="151"/>
      <c r="DS277" s="152"/>
      <c r="DT277" s="151"/>
      <c r="DU277" s="151"/>
      <c r="DV277" s="151"/>
      <c r="DW277" s="151"/>
      <c r="DX277" s="151"/>
      <c r="DY277" s="152"/>
      <c r="DZ277" s="151"/>
      <c r="EA277" s="151"/>
      <c r="EB277" s="151"/>
      <c r="EC277" s="151"/>
      <c r="ED277" s="151"/>
      <c r="EE277" s="151"/>
      <c r="EF277" s="226"/>
      <c r="EG277" s="226"/>
      <c r="EH277" s="151"/>
      <c r="EI277" s="151"/>
      <c r="EJ277" s="151"/>
      <c r="EK277" s="151"/>
      <c r="EL277" s="151"/>
      <c r="EM277" s="226"/>
      <c r="EN277" s="151"/>
      <c r="EO277" s="151"/>
      <c r="EP277" s="151"/>
      <c r="EQ277" s="151"/>
      <c r="ER277" s="226"/>
      <c r="ES277" s="226"/>
      <c r="ET277" s="151"/>
      <c r="EU277" s="151"/>
      <c r="EV277" s="151"/>
      <c r="EW277" s="151"/>
      <c r="EX277" s="151"/>
      <c r="EY277" s="226"/>
      <c r="EZ277" s="151"/>
      <c r="FA277" s="151"/>
      <c r="FB277" s="151"/>
      <c r="FC277" s="151"/>
      <c r="FD277" s="151"/>
      <c r="FE277" s="226"/>
      <c r="FF277" s="151"/>
      <c r="FG277" s="151"/>
      <c r="FH277" s="151"/>
      <c r="FI277" s="226"/>
      <c r="FJ277" s="226"/>
      <c r="FK277" s="151"/>
      <c r="FL277" s="151"/>
      <c r="FM277" s="165">
        <v>3</v>
      </c>
      <c r="FN277" s="168">
        <v>13</v>
      </c>
      <c r="FO277" s="163">
        <v>13</v>
      </c>
      <c r="FP277" s="163">
        <v>13</v>
      </c>
      <c r="FQ277" s="163">
        <v>13</v>
      </c>
      <c r="FR277" s="163">
        <v>13</v>
      </c>
      <c r="FS277" s="163">
        <v>13</v>
      </c>
      <c r="FT277" s="163">
        <v>13</v>
      </c>
      <c r="FU277" s="163">
        <v>13</v>
      </c>
      <c r="FV277" s="163">
        <v>13</v>
      </c>
      <c r="FW277" s="163">
        <v>13</v>
      </c>
      <c r="FX277" s="163">
        <v>13</v>
      </c>
      <c r="FY277" s="163">
        <v>13</v>
      </c>
      <c r="FZ277" s="163">
        <v>13</v>
      </c>
      <c r="GA277" s="163">
        <v>13</v>
      </c>
      <c r="GB277" s="163">
        <v>13</v>
      </c>
      <c r="GC277" s="163">
        <v>13</v>
      </c>
      <c r="GD277" s="163">
        <v>13</v>
      </c>
      <c r="GE277" s="163">
        <v>13</v>
      </c>
      <c r="GF277" s="163">
        <v>13</v>
      </c>
      <c r="GG277" s="163">
        <v>13</v>
      </c>
      <c r="GH277" s="163">
        <v>13</v>
      </c>
      <c r="GI277" s="163">
        <v>13</v>
      </c>
      <c r="GJ277" s="163">
        <v>13</v>
      </c>
      <c r="GK277" s="163">
        <v>13</v>
      </c>
      <c r="GL277" s="163">
        <v>13</v>
      </c>
      <c r="GM277" s="163">
        <v>13</v>
      </c>
      <c r="GN277" s="163">
        <v>13</v>
      </c>
      <c r="GO277" s="163">
        <v>13</v>
      </c>
      <c r="GP277" s="163">
        <v>13</v>
      </c>
      <c r="GQ277" s="163">
        <v>13</v>
      </c>
      <c r="GR277" s="163">
        <v>13</v>
      </c>
      <c r="GS277" s="163">
        <v>13</v>
      </c>
      <c r="GT277" s="163">
        <v>13</v>
      </c>
      <c r="GU277" s="163">
        <v>13</v>
      </c>
      <c r="GV277" s="163">
        <v>13</v>
      </c>
      <c r="GW277" s="163">
        <v>13</v>
      </c>
      <c r="GX277" s="163">
        <v>13</v>
      </c>
      <c r="GY277" s="163">
        <v>13</v>
      </c>
      <c r="GZ277" s="163">
        <v>13</v>
      </c>
      <c r="HA277" s="163">
        <v>13</v>
      </c>
      <c r="HB277" s="163">
        <v>13</v>
      </c>
      <c r="HC277" s="163">
        <v>13</v>
      </c>
      <c r="HD277" s="163">
        <v>13</v>
      </c>
      <c r="HE277" s="163">
        <v>13</v>
      </c>
      <c r="HF277" s="163">
        <v>13</v>
      </c>
      <c r="HG277" s="163">
        <v>13</v>
      </c>
      <c r="HH277" s="163">
        <v>13</v>
      </c>
      <c r="HI277" s="161">
        <v>13</v>
      </c>
      <c r="HJ277" s="161">
        <v>13</v>
      </c>
      <c r="HK277" s="161">
        <v>13</v>
      </c>
      <c r="HL277" s="161">
        <v>13</v>
      </c>
      <c r="HM277" s="161">
        <v>13</v>
      </c>
      <c r="HN277" s="161">
        <v>13</v>
      </c>
      <c r="HO277" s="161">
        <v>13</v>
      </c>
      <c r="HP277" s="161">
        <v>13</v>
      </c>
      <c r="HQ277" s="161">
        <v>13</v>
      </c>
      <c r="HR277" s="161">
        <v>23</v>
      </c>
      <c r="HS277" s="161">
        <v>23</v>
      </c>
      <c r="HT277" s="140">
        <v>3</v>
      </c>
      <c r="HU277" s="151"/>
      <c r="HV277" s="140">
        <v>3</v>
      </c>
      <c r="HW277" s="151"/>
      <c r="HX277" s="151"/>
      <c r="HY277" s="151"/>
      <c r="HZ277" s="151"/>
      <c r="IA277" s="151"/>
      <c r="IB277" s="151"/>
      <c r="IC277" s="151"/>
      <c r="ID277" s="151"/>
      <c r="IE277" s="151"/>
      <c r="IF277" s="151"/>
      <c r="IG277" s="151"/>
      <c r="IH277" s="151"/>
      <c r="II277" s="151"/>
      <c r="IJ277" s="151"/>
      <c r="IK277" s="151"/>
      <c r="IL277" s="151"/>
      <c r="IM277" s="151"/>
      <c r="IN277" s="151"/>
      <c r="IO277" s="151"/>
      <c r="IP277" s="151"/>
      <c r="IQ277" s="151"/>
      <c r="IR277" s="151"/>
      <c r="IS277" s="151"/>
      <c r="IT277" s="151"/>
      <c r="IU277" s="151"/>
      <c r="IV277" s="151"/>
      <c r="IW277" s="151"/>
      <c r="IX277" s="151"/>
      <c r="IY277" s="151"/>
      <c r="IZ277" s="151"/>
      <c r="JA277" s="151"/>
      <c r="JB277" s="151"/>
      <c r="JC277" s="151"/>
      <c r="JD277" s="151"/>
      <c r="JE277" s="151"/>
      <c r="JF277" s="151"/>
      <c r="JG277" s="151"/>
      <c r="JH277" s="151"/>
      <c r="JI277" s="151"/>
      <c r="JJ277" s="151"/>
      <c r="JK277" s="151"/>
      <c r="JL277" s="151"/>
      <c r="JM277" s="151"/>
      <c r="JN277" s="151"/>
      <c r="JO277" s="151"/>
      <c r="JP277" s="151"/>
      <c r="JQ277" s="151"/>
      <c r="JR277" s="151"/>
      <c r="JS277" s="151"/>
      <c r="JT277" s="151"/>
      <c r="JU277" s="151"/>
      <c r="JV277" s="151"/>
      <c r="JW277" s="151"/>
      <c r="JX277" s="151"/>
      <c r="JY277" s="151"/>
      <c r="JZ277" s="151"/>
      <c r="KA277" s="151"/>
      <c r="KB277" s="151"/>
      <c r="KC277" s="151"/>
      <c r="KD277" s="151"/>
      <c r="KE277" s="151"/>
      <c r="KF277" s="151"/>
      <c r="KG277" s="151"/>
      <c r="KH277" s="151"/>
      <c r="KI277" s="151"/>
      <c r="KJ277" s="151"/>
      <c r="KK277" s="151"/>
      <c r="KL277" s="151"/>
      <c r="KM277" s="151"/>
      <c r="KN277" s="151"/>
      <c r="KO277" s="151"/>
      <c r="KP277" s="151"/>
      <c r="KQ277" s="151"/>
      <c r="KR277" s="151"/>
      <c r="KS277" s="151"/>
      <c r="KT277" s="151"/>
      <c r="KU277" s="151"/>
      <c r="KV277" s="151"/>
      <c r="KW277" s="151"/>
      <c r="KX277" s="151"/>
      <c r="KY277" s="151"/>
      <c r="KZ277" s="151"/>
      <c r="LA277" s="151"/>
      <c r="LB277" s="151"/>
      <c r="LC277" s="151"/>
      <c r="LD277" s="151"/>
      <c r="LE277" s="151"/>
    </row>
    <row r="278" spans="1:317" x14ac:dyDescent="0.2">
      <c r="A278" s="179" t="s">
        <v>849</v>
      </c>
      <c r="B278" s="180" t="s">
        <v>1177</v>
      </c>
      <c r="C278" s="181"/>
      <c r="D278" s="182">
        <v>0</v>
      </c>
      <c r="E278" s="182">
        <v>0</v>
      </c>
      <c r="F278" s="183" t="s">
        <v>1354</v>
      </c>
      <c r="G278" s="183">
        <v>0</v>
      </c>
      <c r="H278" s="183">
        <v>0</v>
      </c>
      <c r="I278" s="183">
        <v>0</v>
      </c>
      <c r="J278" s="183">
        <v>0</v>
      </c>
      <c r="K278" s="183" t="s">
        <v>1364</v>
      </c>
      <c r="L278" s="183">
        <v>0</v>
      </c>
      <c r="M278" s="183">
        <v>0</v>
      </c>
      <c r="N278" s="183" t="s">
        <v>881</v>
      </c>
      <c r="O278" s="183">
        <v>0</v>
      </c>
      <c r="P278" s="183">
        <v>0</v>
      </c>
      <c r="Q278" s="183"/>
      <c r="R278" s="183"/>
      <c r="S278" s="183"/>
      <c r="T278" s="183"/>
      <c r="U278" s="183"/>
      <c r="V278" s="183">
        <v>0</v>
      </c>
      <c r="W278" s="183">
        <v>0</v>
      </c>
      <c r="X278" s="183">
        <v>0</v>
      </c>
      <c r="Y278" s="184">
        <v>100.45</v>
      </c>
      <c r="Z278" s="184">
        <v>0</v>
      </c>
      <c r="AA278" s="184">
        <v>0</v>
      </c>
      <c r="AB278" s="185" t="s">
        <v>615</v>
      </c>
      <c r="AC278" s="185" t="s">
        <v>615</v>
      </c>
      <c r="AD278" s="186" t="s">
        <v>881</v>
      </c>
      <c r="AE278" s="186" t="s">
        <v>858</v>
      </c>
      <c r="AF278" s="187">
        <v>7</v>
      </c>
      <c r="AG278" s="187">
        <v>3</v>
      </c>
      <c r="AH278" s="187">
        <v>4</v>
      </c>
      <c r="AI278" s="188">
        <v>1</v>
      </c>
      <c r="AJ278" s="188" t="s">
        <v>615</v>
      </c>
      <c r="AK278" s="187" t="s">
        <v>1741</v>
      </c>
      <c r="AL278" s="87" t="s">
        <v>615</v>
      </c>
      <c r="AM278" s="189"/>
      <c r="AN278" s="187" t="s">
        <v>615</v>
      </c>
      <c r="AO278" s="13" t="s">
        <v>615</v>
      </c>
      <c r="AP278" s="187">
        <v>0</v>
      </c>
      <c r="AQ278" s="187">
        <v>0</v>
      </c>
      <c r="AR278" s="190">
        <v>0</v>
      </c>
      <c r="AS278" s="190">
        <v>0</v>
      </c>
      <c r="AT278" s="190">
        <v>0</v>
      </c>
      <c r="AU278" s="187">
        <v>0</v>
      </c>
      <c r="AV278" s="187">
        <v>0</v>
      </c>
      <c r="AW278" s="191"/>
      <c r="AX278" s="192"/>
      <c r="AY278" s="193"/>
      <c r="AZ278" s="193"/>
      <c r="BA278" s="193"/>
      <c r="BB278" s="194"/>
      <c r="BC278" s="194"/>
      <c r="BD278" s="195"/>
      <c r="BE278" s="195" t="s">
        <v>532</v>
      </c>
      <c r="BF278" s="195"/>
      <c r="BG278" s="195">
        <v>2</v>
      </c>
      <c r="BH278" s="196" t="s">
        <v>547</v>
      </c>
      <c r="BI278" s="197">
        <v>1</v>
      </c>
      <c r="BJ278" s="198"/>
      <c r="BK278" s="199">
        <v>0</v>
      </c>
      <c r="BL278" s="13">
        <v>0</v>
      </c>
      <c r="BM278" s="13">
        <v>0</v>
      </c>
      <c r="BN278" s="13" t="s">
        <v>616</v>
      </c>
      <c r="BO278" s="13" t="s">
        <v>616</v>
      </c>
      <c r="BP278" s="200">
        <v>4</v>
      </c>
      <c r="BQ278" s="201"/>
      <c r="BR278" s="202"/>
      <c r="BS278" s="187">
        <v>1000000000</v>
      </c>
      <c r="BT278" s="203">
        <v>0</v>
      </c>
      <c r="BU278" s="204">
        <v>0</v>
      </c>
      <c r="BV278" s="203">
        <v>0</v>
      </c>
      <c r="BW278" s="205">
        <v>0</v>
      </c>
      <c r="BX278" s="205">
        <v>0</v>
      </c>
      <c r="BY278" s="205">
        <v>0</v>
      </c>
      <c r="BZ278" s="203">
        <v>0</v>
      </c>
      <c r="CA278" s="203">
        <v>0</v>
      </c>
      <c r="CB278" s="203">
        <v>0</v>
      </c>
      <c r="CC278" s="204">
        <v>0</v>
      </c>
      <c r="CD278" s="203">
        <v>0</v>
      </c>
      <c r="CE278" s="203">
        <v>0</v>
      </c>
      <c r="CF278" s="13">
        <v>0</v>
      </c>
      <c r="CG278" s="206">
        <v>0</v>
      </c>
      <c r="CH278" s="207">
        <v>0</v>
      </c>
      <c r="CI278" s="201"/>
      <c r="CJ278" s="208"/>
      <c r="CK278" s="209" t="s">
        <v>615</v>
      </c>
      <c r="CL278" s="210" t="s">
        <v>615</v>
      </c>
      <c r="CM278" s="207">
        <v>0</v>
      </c>
      <c r="CN278" s="207">
        <v>0</v>
      </c>
      <c r="CO278" s="204">
        <v>0</v>
      </c>
      <c r="CP278" s="204">
        <v>0</v>
      </c>
      <c r="CQ278" s="211"/>
      <c r="CR278" s="204">
        <v>1</v>
      </c>
      <c r="CS278" s="212">
        <v>42766</v>
      </c>
      <c r="CT278" s="212">
        <v>42780</v>
      </c>
      <c r="CU278" s="213">
        <v>42780</v>
      </c>
      <c r="CV278" s="214">
        <v>42829</v>
      </c>
      <c r="CW278" s="214" t="s">
        <v>615</v>
      </c>
      <c r="CX278" s="214" t="s">
        <v>615</v>
      </c>
      <c r="CY278" s="204">
        <v>0.60435283713759747</v>
      </c>
      <c r="CZ278" s="204">
        <v>0.97959183673469385</v>
      </c>
      <c r="DA278" s="203">
        <v>0</v>
      </c>
      <c r="DB278" s="204">
        <v>0.24489795918367346</v>
      </c>
      <c r="DC278" s="204">
        <v>0</v>
      </c>
      <c r="DD278" s="204">
        <v>0</v>
      </c>
      <c r="DE278" s="204">
        <v>0</v>
      </c>
      <c r="DF278" s="215">
        <v>0.73469387755102045</v>
      </c>
      <c r="DG278" s="13" t="s">
        <v>615</v>
      </c>
      <c r="DH278" s="86">
        <v>276</v>
      </c>
      <c r="DI278" s="86"/>
      <c r="DJ278" s="86">
        <v>229</v>
      </c>
      <c r="DK278" s="86" t="s">
        <v>1688</v>
      </c>
      <c r="DL278" s="86" t="e">
        <v>#N/A</v>
      </c>
      <c r="DM278" s="86" t="e">
        <v>#N/A</v>
      </c>
      <c r="DN278" s="86" t="e">
        <v>#N/A</v>
      </c>
      <c r="DO278" s="86">
        <v>399</v>
      </c>
      <c r="DP278" s="86">
        <v>5</v>
      </c>
      <c r="DQ278" s="86">
        <v>49</v>
      </c>
      <c r="DR278" s="216"/>
      <c r="DS278" s="152"/>
      <c r="DT278" s="216"/>
      <c r="DU278" s="216"/>
      <c r="DV278" s="216"/>
      <c r="DW278" s="216"/>
      <c r="DX278" s="216"/>
      <c r="DY278" s="152"/>
      <c r="DZ278" s="216"/>
      <c r="EA278" s="216"/>
      <c r="EB278" s="216"/>
      <c r="EC278" s="216"/>
      <c r="ED278" s="216"/>
      <c r="EE278" s="216"/>
      <c r="EF278" s="225"/>
      <c r="EG278" s="225"/>
      <c r="EH278" s="216"/>
      <c r="EI278" s="216"/>
      <c r="EJ278" s="216"/>
      <c r="EK278" s="216"/>
      <c r="EL278" s="216"/>
      <c r="EM278" s="225"/>
      <c r="EN278" s="216"/>
      <c r="EO278" s="216"/>
      <c r="EP278" s="216"/>
      <c r="EQ278" s="216"/>
      <c r="ER278" s="225"/>
      <c r="ES278" s="225"/>
      <c r="ET278" s="216"/>
      <c r="EU278" s="216"/>
      <c r="EV278" s="216"/>
      <c r="EW278" s="216"/>
      <c r="EX278" s="216"/>
      <c r="EY278" s="225"/>
      <c r="EZ278" s="216"/>
      <c r="FA278" s="216"/>
      <c r="FB278" s="216"/>
      <c r="FC278" s="216"/>
      <c r="FD278" s="216"/>
      <c r="FE278" s="225"/>
      <c r="FF278" s="216"/>
      <c r="FG278" s="216"/>
      <c r="FH278" s="216"/>
      <c r="FI278" s="225"/>
      <c r="FJ278" s="225"/>
      <c r="FK278" s="216"/>
      <c r="FL278" s="216"/>
      <c r="FM278" s="166">
        <v>0</v>
      </c>
      <c r="FN278" s="166">
        <v>0</v>
      </c>
      <c r="FO278" s="166">
        <v>0</v>
      </c>
      <c r="FP278" s="166">
        <v>0</v>
      </c>
      <c r="FQ278" s="166">
        <v>0</v>
      </c>
      <c r="FR278" s="166">
        <v>0</v>
      </c>
      <c r="FS278" s="166">
        <v>0</v>
      </c>
      <c r="FT278" s="166">
        <v>0</v>
      </c>
      <c r="FU278" s="164">
        <v>4</v>
      </c>
      <c r="FV278" s="164">
        <v>4</v>
      </c>
      <c r="FW278" s="164">
        <v>4</v>
      </c>
      <c r="FX278" s="164">
        <v>4</v>
      </c>
      <c r="FY278" s="164">
        <v>4</v>
      </c>
      <c r="FZ278" s="164">
        <v>4</v>
      </c>
      <c r="GA278" s="164">
        <v>4</v>
      </c>
      <c r="GB278" s="164">
        <v>4</v>
      </c>
      <c r="GC278" s="164">
        <v>4</v>
      </c>
      <c r="GD278" s="164">
        <v>4</v>
      </c>
      <c r="GE278" s="164">
        <v>4</v>
      </c>
      <c r="GF278" s="164">
        <v>4</v>
      </c>
      <c r="GG278" s="164">
        <v>4</v>
      </c>
      <c r="GH278" s="164">
        <v>4</v>
      </c>
      <c r="GI278" s="164">
        <v>4</v>
      </c>
      <c r="GJ278" s="164">
        <v>4</v>
      </c>
      <c r="GK278" s="164">
        <v>4</v>
      </c>
      <c r="GL278" s="164">
        <v>4</v>
      </c>
      <c r="GM278" s="164">
        <v>4</v>
      </c>
      <c r="GN278" s="164">
        <v>4</v>
      </c>
      <c r="GO278" s="164">
        <v>4</v>
      </c>
      <c r="GP278" s="164">
        <v>4</v>
      </c>
      <c r="GQ278" s="164">
        <v>4</v>
      </c>
      <c r="GR278" s="164">
        <v>4</v>
      </c>
      <c r="GS278" s="164">
        <v>4</v>
      </c>
      <c r="GT278" s="164">
        <v>4</v>
      </c>
      <c r="GU278" s="164">
        <v>4</v>
      </c>
      <c r="GV278" s="168">
        <v>3</v>
      </c>
      <c r="GW278" s="168">
        <v>3</v>
      </c>
      <c r="GX278" s="166">
        <v>0</v>
      </c>
      <c r="GY278" s="166">
        <v>0</v>
      </c>
      <c r="GZ278" s="166">
        <v>0</v>
      </c>
      <c r="HA278" s="166">
        <v>0</v>
      </c>
      <c r="HB278" s="166">
        <v>0</v>
      </c>
      <c r="HC278" s="166">
        <v>0</v>
      </c>
      <c r="HD278" s="166">
        <v>0</v>
      </c>
      <c r="HE278" s="166">
        <v>0</v>
      </c>
      <c r="HF278" s="166">
        <v>0</v>
      </c>
      <c r="HG278" s="166">
        <v>0</v>
      </c>
      <c r="HH278" s="168">
        <v>3</v>
      </c>
      <c r="HI278" s="152">
        <v>3</v>
      </c>
      <c r="HJ278" s="152">
        <v>3</v>
      </c>
      <c r="HK278" s="152">
        <v>3</v>
      </c>
      <c r="HL278" s="152">
        <v>3</v>
      </c>
      <c r="HM278" s="152">
        <v>3</v>
      </c>
      <c r="HN278" s="152">
        <v>3</v>
      </c>
      <c r="HO278" s="152">
        <v>3</v>
      </c>
      <c r="HP278" s="152">
        <v>3</v>
      </c>
      <c r="HQ278" s="152">
        <v>3</v>
      </c>
      <c r="HR278" s="152">
        <v>3</v>
      </c>
      <c r="HS278" s="152">
        <v>3</v>
      </c>
      <c r="HT278" s="152">
        <v>0</v>
      </c>
      <c r="HU278" s="216"/>
      <c r="HV278" s="152">
        <v>0</v>
      </c>
      <c r="HW278" s="216"/>
      <c r="HX278" s="216"/>
      <c r="HY278" s="216"/>
      <c r="HZ278" s="216"/>
      <c r="IA278" s="216"/>
      <c r="IB278" s="216"/>
      <c r="IC278" s="216"/>
      <c r="ID278" s="216"/>
      <c r="IE278" s="216"/>
      <c r="IF278" s="216"/>
      <c r="IG278" s="216"/>
      <c r="IH278" s="216"/>
      <c r="II278" s="216"/>
      <c r="IJ278" s="216"/>
      <c r="IK278" s="216"/>
      <c r="IL278" s="216"/>
      <c r="IM278" s="216"/>
      <c r="IN278" s="216"/>
      <c r="IO278" s="216"/>
      <c r="IP278" s="216"/>
      <c r="IQ278" s="216"/>
      <c r="IR278" s="216"/>
      <c r="IS278" s="216"/>
      <c r="IT278" s="216"/>
      <c r="IU278" s="216"/>
      <c r="IV278" s="216"/>
      <c r="IW278" s="216"/>
      <c r="IX278" s="216"/>
      <c r="IY278" s="216"/>
      <c r="IZ278" s="216"/>
      <c r="JA278" s="216"/>
      <c r="JB278" s="216"/>
      <c r="JC278" s="216"/>
      <c r="JD278" s="216"/>
      <c r="JE278" s="216"/>
      <c r="JF278" s="216"/>
      <c r="JG278" s="216"/>
      <c r="JH278" s="216"/>
      <c r="JI278" s="216"/>
      <c r="JJ278" s="216"/>
      <c r="JK278" s="216"/>
      <c r="JL278" s="216"/>
      <c r="JM278" s="216"/>
      <c r="JN278" s="216"/>
      <c r="JO278" s="216"/>
      <c r="JP278" s="216"/>
      <c r="JQ278" s="216"/>
      <c r="JR278" s="216"/>
      <c r="JS278" s="216"/>
      <c r="JT278" s="216"/>
      <c r="JU278" s="216"/>
      <c r="JV278" s="216"/>
      <c r="JW278" s="216"/>
      <c r="JX278" s="216"/>
      <c r="JY278" s="216"/>
      <c r="JZ278" s="216"/>
      <c r="KA278" s="216"/>
      <c r="KB278" s="216"/>
      <c r="KC278" s="216"/>
      <c r="KD278" s="216"/>
      <c r="KE278" s="216"/>
      <c r="KF278" s="216"/>
      <c r="KG278" s="216"/>
      <c r="KH278" s="216"/>
      <c r="KI278" s="216"/>
      <c r="KJ278" s="216"/>
      <c r="KK278" s="216"/>
      <c r="KL278" s="216"/>
      <c r="KM278" s="216"/>
      <c r="KN278" s="216"/>
      <c r="KO278" s="216"/>
      <c r="KP278" s="216"/>
      <c r="KQ278" s="216"/>
      <c r="KR278" s="216"/>
      <c r="KS278" s="216"/>
      <c r="KT278" s="216"/>
      <c r="KU278" s="216"/>
      <c r="KV278" s="216"/>
      <c r="KW278" s="216"/>
      <c r="KX278" s="216"/>
      <c r="KY278" s="216"/>
      <c r="KZ278" s="216"/>
      <c r="LA278" s="216"/>
      <c r="LB278" s="216"/>
      <c r="LC278" s="216"/>
      <c r="LD278" s="216"/>
      <c r="LE278" s="216"/>
    </row>
    <row r="279" spans="1:317" x14ac:dyDescent="0.2">
      <c r="A279" s="179" t="s">
        <v>849</v>
      </c>
      <c r="B279" s="180" t="s">
        <v>1178</v>
      </c>
      <c r="C279" s="181"/>
      <c r="D279" s="182">
        <v>0</v>
      </c>
      <c r="E279" s="182">
        <v>0</v>
      </c>
      <c r="F279" s="183" t="s">
        <v>1355</v>
      </c>
      <c r="G279" s="183">
        <v>0</v>
      </c>
      <c r="H279" s="183">
        <v>0</v>
      </c>
      <c r="I279" s="183">
        <v>0</v>
      </c>
      <c r="J279" s="183">
        <v>0</v>
      </c>
      <c r="K279" s="183" t="s">
        <v>1404</v>
      </c>
      <c r="L279" s="183">
        <v>0</v>
      </c>
      <c r="M279" s="183">
        <v>0</v>
      </c>
      <c r="N279" s="183" t="s">
        <v>893</v>
      </c>
      <c r="O279" s="183">
        <v>0</v>
      </c>
      <c r="P279" s="183">
        <v>0</v>
      </c>
      <c r="Q279" s="183"/>
      <c r="R279" s="183"/>
      <c r="S279" s="183"/>
      <c r="T279" s="183"/>
      <c r="U279" s="183"/>
      <c r="V279" s="183">
        <v>0</v>
      </c>
      <c r="W279" s="183">
        <v>0</v>
      </c>
      <c r="X279" s="183">
        <v>0</v>
      </c>
      <c r="Y279" s="184">
        <v>6.87</v>
      </c>
      <c r="Z279" s="184">
        <v>26.46</v>
      </c>
      <c r="AA279" s="184">
        <v>0</v>
      </c>
      <c r="AB279" s="185" t="s">
        <v>615</v>
      </c>
      <c r="AC279" s="185" t="s">
        <v>615</v>
      </c>
      <c r="AD279" s="186" t="s">
        <v>893</v>
      </c>
      <c r="AE279" s="186" t="s">
        <v>870</v>
      </c>
      <c r="AF279" s="187">
        <v>11</v>
      </c>
      <c r="AG279" s="187">
        <v>5</v>
      </c>
      <c r="AH279" s="187">
        <v>6</v>
      </c>
      <c r="AI279" s="188">
        <v>1</v>
      </c>
      <c r="AJ279" s="188" t="s">
        <v>560</v>
      </c>
      <c r="AK279" s="187" t="s">
        <v>1740</v>
      </c>
      <c r="AL279" s="87" t="s">
        <v>615</v>
      </c>
      <c r="AM279" s="189"/>
      <c r="AN279" s="187" t="s">
        <v>615</v>
      </c>
      <c r="AO279" s="13" t="s">
        <v>615</v>
      </c>
      <c r="AP279" s="187">
        <v>0</v>
      </c>
      <c r="AQ279" s="187">
        <v>0</v>
      </c>
      <c r="AR279" s="190">
        <v>0</v>
      </c>
      <c r="AS279" s="190">
        <v>0</v>
      </c>
      <c r="AT279" s="190">
        <v>0</v>
      </c>
      <c r="AU279" s="187">
        <v>0</v>
      </c>
      <c r="AV279" s="187">
        <v>0</v>
      </c>
      <c r="AW279" s="191"/>
      <c r="AX279" s="192"/>
      <c r="AY279" s="193"/>
      <c r="AZ279" s="193"/>
      <c r="BA279" s="193"/>
      <c r="BB279" s="194"/>
      <c r="BC279" s="194"/>
      <c r="BD279" s="195"/>
      <c r="BE279" s="195" t="s">
        <v>532</v>
      </c>
      <c r="BF279" s="195"/>
      <c r="BG279" s="195">
        <v>20</v>
      </c>
      <c r="BH279" s="196" t="s">
        <v>547</v>
      </c>
      <c r="BI279" s="197">
        <v>1</v>
      </c>
      <c r="BJ279" s="198"/>
      <c r="BK279" s="199">
        <v>40</v>
      </c>
      <c r="BL279" s="13">
        <v>27</v>
      </c>
      <c r="BM279" s="13">
        <v>13</v>
      </c>
      <c r="BN279" s="13" t="s">
        <v>619</v>
      </c>
      <c r="BO279" s="13" t="s">
        <v>619</v>
      </c>
      <c r="BP279" s="200">
        <v>0</v>
      </c>
      <c r="BQ279" s="201"/>
      <c r="BR279" s="202"/>
      <c r="BS279" s="187">
        <v>1000000000</v>
      </c>
      <c r="BT279" s="203">
        <v>27</v>
      </c>
      <c r="BU279" s="204">
        <v>0.33</v>
      </c>
      <c r="BV279" s="203">
        <v>0</v>
      </c>
      <c r="BW279" s="205">
        <v>0</v>
      </c>
      <c r="BX279" s="205">
        <v>0</v>
      </c>
      <c r="BY279" s="205">
        <v>0</v>
      </c>
      <c r="BZ279" s="203">
        <v>0</v>
      </c>
      <c r="CA279" s="203">
        <v>0</v>
      </c>
      <c r="CB279" s="203">
        <v>27</v>
      </c>
      <c r="CC279" s="204">
        <v>0.33</v>
      </c>
      <c r="CD279" s="203">
        <v>0</v>
      </c>
      <c r="CE279" s="203">
        <v>0</v>
      </c>
      <c r="CF279" s="13">
        <v>13</v>
      </c>
      <c r="CG279" s="206">
        <v>20</v>
      </c>
      <c r="CH279" s="207">
        <v>22</v>
      </c>
      <c r="CI279" s="201"/>
      <c r="CJ279" s="208"/>
      <c r="CK279" s="209" t="s">
        <v>615</v>
      </c>
      <c r="CL279" s="210" t="s">
        <v>615</v>
      </c>
      <c r="CM279" s="207">
        <v>0</v>
      </c>
      <c r="CN279" s="207">
        <v>0</v>
      </c>
      <c r="CO279" s="204">
        <v>0</v>
      </c>
      <c r="CP279" s="204">
        <v>12.443032949583166</v>
      </c>
      <c r="CQ279" s="211"/>
      <c r="CR279" s="204">
        <v>1</v>
      </c>
      <c r="CS279" s="212">
        <v>42766</v>
      </c>
      <c r="CT279" s="212">
        <v>42766</v>
      </c>
      <c r="CU279" s="213">
        <v>42766</v>
      </c>
      <c r="CV279" s="214">
        <v>42843</v>
      </c>
      <c r="CW279" s="214" t="s">
        <v>615</v>
      </c>
      <c r="CX279" s="214" t="s">
        <v>615</v>
      </c>
      <c r="CY279" s="204">
        <v>1.6210086452817289E-2</v>
      </c>
      <c r="CZ279" s="204">
        <v>0.83561643835616439</v>
      </c>
      <c r="DA279" s="203">
        <v>0</v>
      </c>
      <c r="DB279" s="204">
        <v>0</v>
      </c>
      <c r="DC279" s="204">
        <v>0</v>
      </c>
      <c r="DD279" s="204">
        <v>0.83561643835616439</v>
      </c>
      <c r="DE279" s="204">
        <v>0</v>
      </c>
      <c r="DF279" s="215">
        <v>0</v>
      </c>
      <c r="DG279" s="13" t="s">
        <v>615</v>
      </c>
      <c r="DH279" s="86">
        <v>277</v>
      </c>
      <c r="DI279" s="86"/>
      <c r="DJ279" s="86">
        <v>243</v>
      </c>
      <c r="DK279" s="86" t="s">
        <v>1508</v>
      </c>
      <c r="DL279" s="86" t="e">
        <v>#N/A</v>
      </c>
      <c r="DM279" s="86">
        <v>126</v>
      </c>
      <c r="DN279" s="86" t="e">
        <v>#N/A</v>
      </c>
      <c r="DO279" s="86">
        <v>413</v>
      </c>
      <c r="DP279" s="86">
        <v>11</v>
      </c>
      <c r="DQ279" s="86">
        <v>73</v>
      </c>
      <c r="DR279" s="151"/>
      <c r="DS279" s="152"/>
      <c r="DT279" s="151"/>
      <c r="DU279" s="151"/>
      <c r="DV279" s="151"/>
      <c r="DW279" s="151"/>
      <c r="DX279" s="151"/>
      <c r="DY279" s="152"/>
      <c r="DZ279" s="151"/>
      <c r="EA279" s="151"/>
      <c r="EB279" s="151"/>
      <c r="EC279" s="151"/>
      <c r="ED279" s="151"/>
      <c r="EE279" s="151"/>
      <c r="EF279" s="226"/>
      <c r="EG279" s="226"/>
      <c r="EH279" s="151"/>
      <c r="EI279" s="151"/>
      <c r="EJ279" s="151"/>
      <c r="EK279" s="151"/>
      <c r="EL279" s="151"/>
      <c r="EM279" s="226"/>
      <c r="EN279" s="151"/>
      <c r="EO279" s="151"/>
      <c r="EP279" s="151"/>
      <c r="EQ279" s="151"/>
      <c r="ER279" s="226"/>
      <c r="ES279" s="226"/>
      <c r="ET279" s="151"/>
      <c r="EU279" s="151"/>
      <c r="EV279" s="151"/>
      <c r="EW279" s="151"/>
      <c r="EX279" s="151"/>
      <c r="EY279" s="226"/>
      <c r="EZ279" s="151"/>
      <c r="FA279" s="151"/>
      <c r="FB279" s="151"/>
      <c r="FC279" s="151"/>
      <c r="FD279" s="151"/>
      <c r="FE279" s="226"/>
      <c r="FF279" s="151"/>
      <c r="FG279" s="151"/>
      <c r="FH279" s="151"/>
      <c r="FI279" s="226"/>
      <c r="FJ279" s="226"/>
      <c r="FK279" s="151"/>
      <c r="FL279" s="151"/>
      <c r="FM279" s="168">
        <v>27</v>
      </c>
      <c r="FN279" s="168">
        <v>27</v>
      </c>
      <c r="FO279" s="163">
        <v>27</v>
      </c>
      <c r="FP279" s="163">
        <v>27</v>
      </c>
      <c r="FQ279" s="163">
        <v>27</v>
      </c>
      <c r="FR279" s="163">
        <v>27</v>
      </c>
      <c r="FS279" s="163">
        <v>27</v>
      </c>
      <c r="FT279" s="163">
        <v>27</v>
      </c>
      <c r="FU279" s="163">
        <v>27</v>
      </c>
      <c r="FV279" s="163">
        <v>27</v>
      </c>
      <c r="FW279" s="163">
        <v>27</v>
      </c>
      <c r="FX279" s="163">
        <v>27</v>
      </c>
      <c r="FY279" s="163">
        <v>27</v>
      </c>
      <c r="FZ279" s="163">
        <v>27</v>
      </c>
      <c r="GA279" s="163">
        <v>27</v>
      </c>
      <c r="GB279" s="163">
        <v>27</v>
      </c>
      <c r="GC279" s="163">
        <v>27</v>
      </c>
      <c r="GD279" s="163">
        <v>27</v>
      </c>
      <c r="GE279" s="163">
        <v>27</v>
      </c>
      <c r="GF279" s="163">
        <v>27</v>
      </c>
      <c r="GG279" s="163">
        <v>27</v>
      </c>
      <c r="GH279" s="163">
        <v>27</v>
      </c>
      <c r="GI279" s="163">
        <v>27</v>
      </c>
      <c r="GJ279" s="163">
        <v>27</v>
      </c>
      <c r="GK279" s="163">
        <v>27</v>
      </c>
      <c r="GL279" s="163">
        <v>27</v>
      </c>
      <c r="GM279" s="163">
        <v>27</v>
      </c>
      <c r="GN279" s="163">
        <v>27</v>
      </c>
      <c r="GO279" s="163">
        <v>27</v>
      </c>
      <c r="GP279" s="163">
        <v>27</v>
      </c>
      <c r="GQ279" s="163">
        <v>27</v>
      </c>
      <c r="GR279" s="163">
        <v>27</v>
      </c>
      <c r="GS279" s="163">
        <v>27</v>
      </c>
      <c r="GT279" s="163">
        <v>27</v>
      </c>
      <c r="GU279" s="163">
        <v>27</v>
      </c>
      <c r="GV279" s="163">
        <v>27</v>
      </c>
      <c r="GW279" s="163">
        <v>27</v>
      </c>
      <c r="GX279" s="163">
        <v>27</v>
      </c>
      <c r="GY279" s="163">
        <v>27</v>
      </c>
      <c r="GZ279" s="163">
        <v>27</v>
      </c>
      <c r="HA279" s="163">
        <v>27</v>
      </c>
      <c r="HB279" s="163">
        <v>27</v>
      </c>
      <c r="HC279" s="163">
        <v>27</v>
      </c>
      <c r="HD279" s="163">
        <v>27</v>
      </c>
      <c r="HE279" s="163">
        <v>27</v>
      </c>
      <c r="HF279" s="163">
        <v>27</v>
      </c>
      <c r="HG279" s="163">
        <v>27</v>
      </c>
      <c r="HH279" s="163">
        <v>27</v>
      </c>
      <c r="HI279" s="163">
        <v>27</v>
      </c>
      <c r="HJ279" s="163">
        <v>27</v>
      </c>
      <c r="HK279" s="163">
        <v>27</v>
      </c>
      <c r="HL279" s="163">
        <v>27</v>
      </c>
      <c r="HM279" s="163">
        <v>27</v>
      </c>
      <c r="HN279" s="163">
        <v>27</v>
      </c>
      <c r="HO279" s="163">
        <v>27</v>
      </c>
      <c r="HP279" s="163">
        <v>27</v>
      </c>
      <c r="HQ279" s="163">
        <v>25</v>
      </c>
      <c r="HR279" s="163">
        <v>25</v>
      </c>
      <c r="HS279" s="163">
        <v>25</v>
      </c>
      <c r="HT279" s="163">
        <v>27</v>
      </c>
      <c r="HU279" s="151"/>
      <c r="HV279" s="163">
        <v>27</v>
      </c>
      <c r="HW279" s="151"/>
      <c r="HX279" s="151"/>
      <c r="HY279" s="151"/>
      <c r="HZ279" s="151"/>
      <c r="IA279" s="151"/>
      <c r="IB279" s="151"/>
      <c r="IC279" s="151"/>
      <c r="ID279" s="151"/>
      <c r="IE279" s="151"/>
      <c r="IF279" s="151"/>
      <c r="IG279" s="151"/>
      <c r="IH279" s="151"/>
      <c r="II279" s="151"/>
      <c r="IJ279" s="151"/>
      <c r="IK279" s="151"/>
      <c r="IL279" s="151"/>
      <c r="IM279" s="151"/>
      <c r="IN279" s="151"/>
      <c r="IO279" s="151"/>
      <c r="IP279" s="151"/>
      <c r="IQ279" s="151"/>
      <c r="IR279" s="151"/>
      <c r="IS279" s="151"/>
      <c r="IT279" s="151"/>
      <c r="IU279" s="151"/>
      <c r="IV279" s="151"/>
      <c r="IW279" s="151"/>
      <c r="IX279" s="151"/>
      <c r="IY279" s="151"/>
      <c r="IZ279" s="151"/>
      <c r="JA279" s="151"/>
      <c r="JB279" s="151"/>
      <c r="JC279" s="151"/>
      <c r="JD279" s="151"/>
      <c r="JE279" s="151"/>
      <c r="JF279" s="151"/>
      <c r="JG279" s="151"/>
      <c r="JH279" s="151"/>
      <c r="JI279" s="151"/>
      <c r="JJ279" s="151"/>
      <c r="JK279" s="151"/>
      <c r="JL279" s="151"/>
      <c r="JM279" s="151"/>
      <c r="JN279" s="151"/>
      <c r="JO279" s="151"/>
      <c r="JP279" s="151"/>
      <c r="JQ279" s="151"/>
      <c r="JR279" s="151"/>
      <c r="JS279" s="151"/>
      <c r="JT279" s="151"/>
      <c r="JU279" s="151"/>
      <c r="JV279" s="151"/>
      <c r="JW279" s="151"/>
      <c r="JX279" s="151"/>
      <c r="JY279" s="151"/>
      <c r="JZ279" s="151"/>
      <c r="KA279" s="151"/>
      <c r="KB279" s="151"/>
      <c r="KC279" s="151"/>
      <c r="KD279" s="151"/>
      <c r="KE279" s="151"/>
      <c r="KF279" s="151"/>
      <c r="KG279" s="151"/>
      <c r="KH279" s="151"/>
      <c r="KI279" s="151"/>
      <c r="KJ279" s="151"/>
      <c r="KK279" s="151"/>
      <c r="KL279" s="151"/>
      <c r="KM279" s="151"/>
      <c r="KN279" s="151"/>
      <c r="KO279" s="151"/>
      <c r="KP279" s="151"/>
      <c r="KQ279" s="151"/>
      <c r="KR279" s="151"/>
      <c r="KS279" s="151"/>
      <c r="KT279" s="151"/>
      <c r="KU279" s="151"/>
      <c r="KV279" s="151"/>
      <c r="KW279" s="151"/>
      <c r="KX279" s="151"/>
      <c r="KY279" s="151"/>
      <c r="KZ279" s="151"/>
      <c r="LA279" s="151"/>
      <c r="LB279" s="151"/>
      <c r="LC279" s="151"/>
      <c r="LD279" s="151"/>
      <c r="LE279" s="151"/>
    </row>
    <row r="280" spans="1:317" x14ac:dyDescent="0.2">
      <c r="A280" s="179" t="s">
        <v>849</v>
      </c>
      <c r="B280" s="180" t="s">
        <v>1179</v>
      </c>
      <c r="C280" s="181"/>
      <c r="D280" s="182">
        <v>0</v>
      </c>
      <c r="E280" s="182">
        <v>0</v>
      </c>
      <c r="F280" s="183" t="s">
        <v>1355</v>
      </c>
      <c r="G280" s="183">
        <v>0</v>
      </c>
      <c r="H280" s="183">
        <v>0</v>
      </c>
      <c r="I280" s="183">
        <v>0</v>
      </c>
      <c r="J280" s="183">
        <v>0</v>
      </c>
      <c r="K280" s="183" t="s">
        <v>1405</v>
      </c>
      <c r="L280" s="183">
        <v>0</v>
      </c>
      <c r="M280" s="183">
        <v>0</v>
      </c>
      <c r="N280" s="183" t="s">
        <v>893</v>
      </c>
      <c r="O280" s="183">
        <v>0</v>
      </c>
      <c r="P280" s="183">
        <v>0</v>
      </c>
      <c r="Q280" s="183"/>
      <c r="R280" s="183"/>
      <c r="S280" s="183"/>
      <c r="T280" s="183"/>
      <c r="U280" s="183"/>
      <c r="V280" s="183">
        <v>0</v>
      </c>
      <c r="W280" s="183">
        <v>0</v>
      </c>
      <c r="X280" s="183">
        <v>0</v>
      </c>
      <c r="Y280" s="184">
        <v>4.55</v>
      </c>
      <c r="Z280" s="184">
        <v>17.5</v>
      </c>
      <c r="AA280" s="184">
        <v>0</v>
      </c>
      <c r="AB280" s="185" t="s">
        <v>615</v>
      </c>
      <c r="AC280" s="185" t="s">
        <v>615</v>
      </c>
      <c r="AD280" s="186" t="s">
        <v>893</v>
      </c>
      <c r="AE280" s="186" t="s">
        <v>870</v>
      </c>
      <c r="AF280" s="187">
        <v>11</v>
      </c>
      <c r="AG280" s="187">
        <v>5</v>
      </c>
      <c r="AH280" s="187">
        <v>6</v>
      </c>
      <c r="AI280" s="188">
        <v>1</v>
      </c>
      <c r="AJ280" s="188" t="s">
        <v>615</v>
      </c>
      <c r="AK280" s="187" t="s">
        <v>1740</v>
      </c>
      <c r="AL280" s="87" t="s">
        <v>615</v>
      </c>
      <c r="AM280" s="189"/>
      <c r="AN280" s="187" t="s">
        <v>615</v>
      </c>
      <c r="AO280" s="13" t="s">
        <v>615</v>
      </c>
      <c r="AP280" s="187">
        <v>0</v>
      </c>
      <c r="AQ280" s="187">
        <v>0</v>
      </c>
      <c r="AR280" s="190">
        <v>0</v>
      </c>
      <c r="AS280" s="190">
        <v>0</v>
      </c>
      <c r="AT280" s="190">
        <v>0</v>
      </c>
      <c r="AU280" s="187">
        <v>0</v>
      </c>
      <c r="AV280" s="187">
        <v>0</v>
      </c>
      <c r="AW280" s="191"/>
      <c r="AX280" s="192"/>
      <c r="AY280" s="193"/>
      <c r="AZ280" s="193"/>
      <c r="BA280" s="193"/>
      <c r="BB280" s="194"/>
      <c r="BC280" s="194"/>
      <c r="BD280" s="195"/>
      <c r="BE280" s="195" t="s">
        <v>532</v>
      </c>
      <c r="BF280" s="195"/>
      <c r="BG280" s="195">
        <v>25</v>
      </c>
      <c r="BH280" s="196" t="s">
        <v>547</v>
      </c>
      <c r="BI280" s="197">
        <v>1</v>
      </c>
      <c r="BJ280" s="198"/>
      <c r="BK280" s="199">
        <v>300</v>
      </c>
      <c r="BL280" s="13">
        <v>200</v>
      </c>
      <c r="BM280" s="13">
        <v>99</v>
      </c>
      <c r="BN280" s="13" t="s">
        <v>620</v>
      </c>
      <c r="BO280" s="13" t="s">
        <v>620</v>
      </c>
      <c r="BP280" s="200">
        <v>0</v>
      </c>
      <c r="BQ280" s="201"/>
      <c r="BR280" s="202"/>
      <c r="BS280" s="187">
        <v>1000000000</v>
      </c>
      <c r="BT280" s="203">
        <v>1094</v>
      </c>
      <c r="BU280" s="204">
        <v>-2.65</v>
      </c>
      <c r="BV280" s="203">
        <v>0</v>
      </c>
      <c r="BW280" s="205">
        <v>0</v>
      </c>
      <c r="BX280" s="205">
        <v>0</v>
      </c>
      <c r="BY280" s="205">
        <v>0</v>
      </c>
      <c r="BZ280" s="203">
        <v>0</v>
      </c>
      <c r="CA280" s="203">
        <v>0</v>
      </c>
      <c r="CB280" s="203">
        <v>1094</v>
      </c>
      <c r="CC280" s="204">
        <v>-2.65</v>
      </c>
      <c r="CD280" s="203">
        <v>0</v>
      </c>
      <c r="CE280" s="203">
        <v>0</v>
      </c>
      <c r="CF280" s="13">
        <v>0</v>
      </c>
      <c r="CG280" s="206">
        <v>0</v>
      </c>
      <c r="CH280" s="207">
        <v>164</v>
      </c>
      <c r="CI280" s="201"/>
      <c r="CJ280" s="208"/>
      <c r="CK280" s="209" t="s">
        <v>615</v>
      </c>
      <c r="CL280" s="210" t="s">
        <v>615</v>
      </c>
      <c r="CM280" s="207">
        <v>0</v>
      </c>
      <c r="CN280" s="207">
        <v>3612.7</v>
      </c>
      <c r="CO280" s="204">
        <v>0</v>
      </c>
      <c r="CP280" s="204">
        <v>12.419580419580418</v>
      </c>
      <c r="CQ280" s="211"/>
      <c r="CR280" s="204">
        <v>1</v>
      </c>
      <c r="CS280" s="212">
        <v>42766</v>
      </c>
      <c r="CT280" s="212">
        <v>42766</v>
      </c>
      <c r="CU280" s="213">
        <v>42766</v>
      </c>
      <c r="CV280" s="214">
        <v>42843</v>
      </c>
      <c r="CW280" s="214" t="s">
        <v>615</v>
      </c>
      <c r="CX280" s="214" t="s">
        <v>615</v>
      </c>
      <c r="CY280" s="204">
        <v>1.2362128332319507E-3</v>
      </c>
      <c r="CZ280" s="204">
        <v>0.83561643835616439</v>
      </c>
      <c r="DA280" s="203">
        <v>0</v>
      </c>
      <c r="DB280" s="204">
        <v>0</v>
      </c>
      <c r="DC280" s="204">
        <v>0</v>
      </c>
      <c r="DD280" s="204">
        <v>0</v>
      </c>
      <c r="DE280" s="204">
        <v>0</v>
      </c>
      <c r="DF280" s="215">
        <v>0.83561643835616439</v>
      </c>
      <c r="DG280" s="13" t="s">
        <v>615</v>
      </c>
      <c r="DH280" s="86">
        <v>278</v>
      </c>
      <c r="DI280" s="86"/>
      <c r="DJ280" s="86">
        <v>244</v>
      </c>
      <c r="DK280" s="86" t="s">
        <v>1509</v>
      </c>
      <c r="DL280" s="86" t="e">
        <v>#N/A</v>
      </c>
      <c r="DM280" s="86">
        <v>127</v>
      </c>
      <c r="DN280" s="86" t="e">
        <v>#N/A</v>
      </c>
      <c r="DO280" s="86">
        <v>414</v>
      </c>
      <c r="DP280" s="86">
        <v>11</v>
      </c>
      <c r="DQ280" s="86">
        <v>73</v>
      </c>
      <c r="DR280" s="216"/>
      <c r="DS280" s="152"/>
      <c r="DT280" s="216"/>
      <c r="DU280" s="216"/>
      <c r="DV280" s="216"/>
      <c r="DW280" s="216"/>
      <c r="DX280" s="216"/>
      <c r="DY280" s="152"/>
      <c r="DZ280" s="216"/>
      <c r="EA280" s="216"/>
      <c r="EB280" s="216"/>
      <c r="EC280" s="216"/>
      <c r="ED280" s="216"/>
      <c r="EE280" s="216"/>
      <c r="EF280" s="225"/>
      <c r="EG280" s="225"/>
      <c r="EH280" s="216"/>
      <c r="EI280" s="216"/>
      <c r="EJ280" s="216"/>
      <c r="EK280" s="216"/>
      <c r="EL280" s="216"/>
      <c r="EM280" s="225"/>
      <c r="EN280" s="216"/>
      <c r="EO280" s="216"/>
      <c r="EP280" s="216"/>
      <c r="EQ280" s="216"/>
      <c r="ER280" s="225"/>
      <c r="ES280" s="225"/>
      <c r="ET280" s="216"/>
      <c r="EU280" s="216"/>
      <c r="EV280" s="216"/>
      <c r="EW280" s="216"/>
      <c r="EX280" s="216"/>
      <c r="EY280" s="225"/>
      <c r="EZ280" s="216"/>
      <c r="FA280" s="216"/>
      <c r="FB280" s="216"/>
      <c r="FC280" s="216"/>
      <c r="FD280" s="216"/>
      <c r="FE280" s="225"/>
      <c r="FF280" s="216"/>
      <c r="FG280" s="216"/>
      <c r="FH280" s="216"/>
      <c r="FI280" s="225"/>
      <c r="FJ280" s="225"/>
      <c r="FK280" s="216"/>
      <c r="FL280" s="216"/>
      <c r="FM280" s="167">
        <v>1094</v>
      </c>
      <c r="FN280" s="167">
        <v>1094</v>
      </c>
      <c r="FO280" s="167">
        <v>1089</v>
      </c>
      <c r="FP280" s="167">
        <v>1089</v>
      </c>
      <c r="FQ280" s="167">
        <v>1089</v>
      </c>
      <c r="FR280" s="167">
        <v>1089</v>
      </c>
      <c r="FS280" s="167">
        <v>1089</v>
      </c>
      <c r="FT280" s="167">
        <v>1089</v>
      </c>
      <c r="FU280" s="167">
        <v>1089</v>
      </c>
      <c r="FV280" s="167">
        <v>1089</v>
      </c>
      <c r="FW280" s="167">
        <v>1089</v>
      </c>
      <c r="FX280" s="167">
        <v>1089</v>
      </c>
      <c r="FY280" s="167">
        <v>1089</v>
      </c>
      <c r="FZ280" s="167">
        <v>1089</v>
      </c>
      <c r="GA280" s="167">
        <v>1089</v>
      </c>
      <c r="GB280" s="167">
        <v>1089</v>
      </c>
      <c r="GC280" s="167">
        <v>1089</v>
      </c>
      <c r="GD280" s="167">
        <v>1089</v>
      </c>
      <c r="GE280" s="167">
        <v>1089</v>
      </c>
      <c r="GF280" s="167">
        <v>1089</v>
      </c>
      <c r="GG280" s="167">
        <v>1089</v>
      </c>
      <c r="GH280" s="167">
        <v>1089</v>
      </c>
      <c r="GI280" s="167">
        <v>1089</v>
      </c>
      <c r="GJ280" s="167">
        <v>1089</v>
      </c>
      <c r="GK280" s="167">
        <v>1089</v>
      </c>
      <c r="GL280" s="167">
        <v>1089</v>
      </c>
      <c r="GM280" s="167">
        <v>1089</v>
      </c>
      <c r="GN280" s="167">
        <v>1089</v>
      </c>
      <c r="GO280" s="167">
        <v>1089</v>
      </c>
      <c r="GP280" s="167">
        <v>1089</v>
      </c>
      <c r="GQ280" s="167">
        <v>1089</v>
      </c>
      <c r="GR280" s="167">
        <v>1089</v>
      </c>
      <c r="GS280" s="167">
        <v>1089</v>
      </c>
      <c r="GT280" s="167">
        <v>1089</v>
      </c>
      <c r="GU280" s="167">
        <v>1089</v>
      </c>
      <c r="GV280" s="167">
        <v>1089</v>
      </c>
      <c r="GW280" s="167">
        <v>1089</v>
      </c>
      <c r="GX280" s="167">
        <v>1089</v>
      </c>
      <c r="GY280" s="167">
        <v>1089</v>
      </c>
      <c r="GZ280" s="167">
        <v>1089</v>
      </c>
      <c r="HA280" s="167">
        <v>1089</v>
      </c>
      <c r="HB280" s="167">
        <v>1089</v>
      </c>
      <c r="HC280" s="167">
        <v>1089</v>
      </c>
      <c r="HD280" s="167">
        <v>1089</v>
      </c>
      <c r="HE280" s="167">
        <v>1089</v>
      </c>
      <c r="HF280" s="167">
        <v>1089</v>
      </c>
      <c r="HG280" s="167">
        <v>1089</v>
      </c>
      <c r="HH280" s="167">
        <v>1089</v>
      </c>
      <c r="HI280" s="167">
        <v>1089</v>
      </c>
      <c r="HJ280" s="167">
        <v>1089</v>
      </c>
      <c r="HK280" s="167">
        <v>1089</v>
      </c>
      <c r="HL280" s="167">
        <v>1089</v>
      </c>
      <c r="HM280" s="167">
        <v>1089</v>
      </c>
      <c r="HN280" s="167">
        <v>1089</v>
      </c>
      <c r="HO280" s="167">
        <v>1089</v>
      </c>
      <c r="HP280" s="167">
        <v>1089</v>
      </c>
      <c r="HQ280" s="167">
        <v>1087</v>
      </c>
      <c r="HR280" s="167">
        <v>1087</v>
      </c>
      <c r="HS280" s="167">
        <v>1087</v>
      </c>
      <c r="HT280" s="167">
        <v>1094</v>
      </c>
      <c r="HU280" s="216"/>
      <c r="HV280" s="167">
        <v>1094</v>
      </c>
      <c r="HW280" s="216"/>
      <c r="HX280" s="216"/>
      <c r="HY280" s="216"/>
      <c r="HZ280" s="216"/>
      <c r="IA280" s="216"/>
      <c r="IB280" s="216"/>
      <c r="IC280" s="216"/>
      <c r="ID280" s="216"/>
      <c r="IE280" s="216"/>
      <c r="IF280" s="216"/>
      <c r="IG280" s="216"/>
      <c r="IH280" s="216"/>
      <c r="II280" s="216"/>
      <c r="IJ280" s="216"/>
      <c r="IK280" s="216"/>
      <c r="IL280" s="216"/>
      <c r="IM280" s="216"/>
      <c r="IN280" s="216"/>
      <c r="IO280" s="216"/>
      <c r="IP280" s="216"/>
      <c r="IQ280" s="216"/>
      <c r="IR280" s="216"/>
      <c r="IS280" s="216"/>
      <c r="IT280" s="216"/>
      <c r="IU280" s="216"/>
      <c r="IV280" s="216"/>
      <c r="IW280" s="216"/>
      <c r="IX280" s="216"/>
      <c r="IY280" s="216"/>
      <c r="IZ280" s="216"/>
      <c r="JA280" s="216"/>
      <c r="JB280" s="216"/>
      <c r="JC280" s="216"/>
      <c r="JD280" s="216"/>
      <c r="JE280" s="216"/>
      <c r="JF280" s="216"/>
      <c r="JG280" s="216"/>
      <c r="JH280" s="216"/>
      <c r="JI280" s="216"/>
      <c r="JJ280" s="216"/>
      <c r="JK280" s="216"/>
      <c r="JL280" s="216"/>
      <c r="JM280" s="216"/>
      <c r="JN280" s="216"/>
      <c r="JO280" s="216"/>
      <c r="JP280" s="216"/>
      <c r="JQ280" s="216"/>
      <c r="JR280" s="216"/>
      <c r="JS280" s="216"/>
      <c r="JT280" s="216"/>
      <c r="JU280" s="216"/>
      <c r="JV280" s="216"/>
      <c r="JW280" s="216"/>
      <c r="JX280" s="216"/>
      <c r="JY280" s="216"/>
      <c r="JZ280" s="216"/>
      <c r="KA280" s="216"/>
      <c r="KB280" s="216"/>
      <c r="KC280" s="216"/>
      <c r="KD280" s="216"/>
      <c r="KE280" s="216"/>
      <c r="KF280" s="216"/>
      <c r="KG280" s="216"/>
      <c r="KH280" s="216"/>
      <c r="KI280" s="216"/>
      <c r="KJ280" s="216"/>
      <c r="KK280" s="216"/>
      <c r="KL280" s="216"/>
      <c r="KM280" s="216"/>
      <c r="KN280" s="216"/>
      <c r="KO280" s="216"/>
      <c r="KP280" s="216"/>
      <c r="KQ280" s="216"/>
      <c r="KR280" s="216"/>
      <c r="KS280" s="216"/>
      <c r="KT280" s="216"/>
      <c r="KU280" s="216"/>
      <c r="KV280" s="216"/>
      <c r="KW280" s="216"/>
      <c r="KX280" s="216"/>
      <c r="KY280" s="216"/>
      <c r="KZ280" s="216"/>
      <c r="LA280" s="216"/>
      <c r="LB280" s="216"/>
      <c r="LC280" s="216"/>
      <c r="LD280" s="216"/>
      <c r="LE280" s="216"/>
    </row>
    <row r="281" spans="1:317" x14ac:dyDescent="0.2">
      <c r="A281" s="179" t="s">
        <v>849</v>
      </c>
      <c r="B281" s="180" t="s">
        <v>1180</v>
      </c>
      <c r="C281" s="181"/>
      <c r="D281" s="182" t="s">
        <v>615</v>
      </c>
      <c r="E281" s="182" t="s">
        <v>615</v>
      </c>
      <c r="F281" s="183" t="s">
        <v>615</v>
      </c>
      <c r="G281" s="183" t="s">
        <v>615</v>
      </c>
      <c r="H281" s="183" t="s">
        <v>615</v>
      </c>
      <c r="I281" s="183" t="s">
        <v>615</v>
      </c>
      <c r="J281" s="183" t="s">
        <v>615</v>
      </c>
      <c r="K281" s="183" t="s">
        <v>615</v>
      </c>
      <c r="L281" s="183" t="s">
        <v>615</v>
      </c>
      <c r="M281" s="183" t="s">
        <v>615</v>
      </c>
      <c r="N281" s="183" t="s">
        <v>615</v>
      </c>
      <c r="O281" s="183" t="s">
        <v>615</v>
      </c>
      <c r="P281" s="183" t="s">
        <v>615</v>
      </c>
      <c r="Q281" s="183"/>
      <c r="R281" s="183"/>
      <c r="S281" s="183"/>
      <c r="T281" s="183"/>
      <c r="U281" s="183"/>
      <c r="V281" s="183" t="s">
        <v>615</v>
      </c>
      <c r="W281" s="183" t="s">
        <v>615</v>
      </c>
      <c r="X281" s="183" t="s">
        <v>615</v>
      </c>
      <c r="Y281" s="184">
        <v>0</v>
      </c>
      <c r="Z281" s="184">
        <v>0</v>
      </c>
      <c r="AA281" s="184">
        <v>0</v>
      </c>
      <c r="AB281" s="185" t="s">
        <v>615</v>
      </c>
      <c r="AC281" s="185" t="s">
        <v>615</v>
      </c>
      <c r="AD281" s="186" t="s">
        <v>881</v>
      </c>
      <c r="AE281" s="186" t="s">
        <v>858</v>
      </c>
      <c r="AF281" s="187">
        <v>7</v>
      </c>
      <c r="AG281" s="187">
        <v>3</v>
      </c>
      <c r="AH281" s="187">
        <v>4</v>
      </c>
      <c r="AI281" s="188">
        <v>1</v>
      </c>
      <c r="AJ281" s="188" t="s">
        <v>615</v>
      </c>
      <c r="AK281" s="187" t="s">
        <v>1723</v>
      </c>
      <c r="AL281" s="87" t="s">
        <v>615</v>
      </c>
      <c r="AM281" s="189"/>
      <c r="AN281" s="187" t="s">
        <v>615</v>
      </c>
      <c r="AO281" s="13" t="s">
        <v>615</v>
      </c>
      <c r="AP281" s="187">
        <v>0</v>
      </c>
      <c r="AQ281" s="187">
        <v>0</v>
      </c>
      <c r="AR281" s="190">
        <v>0</v>
      </c>
      <c r="AS281" s="190">
        <v>0</v>
      </c>
      <c r="AT281" s="190">
        <v>0</v>
      </c>
      <c r="AU281" s="187">
        <v>0</v>
      </c>
      <c r="AV281" s="187">
        <v>0</v>
      </c>
      <c r="AW281" s="191"/>
      <c r="AX281" s="192"/>
      <c r="AY281" s="193"/>
      <c r="AZ281" s="193"/>
      <c r="BA281" s="193"/>
      <c r="BB281" s="194"/>
      <c r="BC281" s="194"/>
      <c r="BD281" s="195"/>
      <c r="BE281" s="195" t="s">
        <v>532</v>
      </c>
      <c r="BF281" s="195"/>
      <c r="BG281" s="195"/>
      <c r="BH281" s="196" t="s">
        <v>547</v>
      </c>
      <c r="BI281" s="197">
        <v>1</v>
      </c>
      <c r="BJ281" s="198"/>
      <c r="BK281" s="199">
        <v>0</v>
      </c>
      <c r="BL281" s="13">
        <v>0</v>
      </c>
      <c r="BM281" s="13">
        <v>0</v>
      </c>
      <c r="BN281" s="13" t="s">
        <v>616</v>
      </c>
      <c r="BO281" s="13" t="s">
        <v>616</v>
      </c>
      <c r="BP281" s="200">
        <v>500</v>
      </c>
      <c r="BQ281" s="201"/>
      <c r="BR281" s="202"/>
      <c r="BS281" s="187">
        <v>1000000000</v>
      </c>
      <c r="BT281" s="203">
        <v>0</v>
      </c>
      <c r="BU281" s="204">
        <v>0</v>
      </c>
      <c r="BV281" s="203">
        <v>0</v>
      </c>
      <c r="BW281" s="205">
        <v>0</v>
      </c>
      <c r="BX281" s="205">
        <v>0</v>
      </c>
      <c r="BY281" s="205">
        <v>0</v>
      </c>
      <c r="BZ281" s="203">
        <v>0</v>
      </c>
      <c r="CA281" s="203">
        <v>0</v>
      </c>
      <c r="CB281" s="203">
        <v>0</v>
      </c>
      <c r="CC281" s="204">
        <v>0</v>
      </c>
      <c r="CD281" s="203">
        <v>0</v>
      </c>
      <c r="CE281" s="203">
        <v>0</v>
      </c>
      <c r="CF281" s="13">
        <v>0</v>
      </c>
      <c r="CG281" s="206">
        <v>0</v>
      </c>
      <c r="CH281" s="207">
        <v>0</v>
      </c>
      <c r="CI281" s="201"/>
      <c r="CJ281" s="208"/>
      <c r="CK281" s="209" t="s">
        <v>615</v>
      </c>
      <c r="CL281" s="210" t="s">
        <v>615</v>
      </c>
      <c r="CM281" s="207">
        <v>0</v>
      </c>
      <c r="CN281" s="207">
        <v>0</v>
      </c>
      <c r="CO281" s="204">
        <v>0</v>
      </c>
      <c r="CP281" s="204">
        <v>0</v>
      </c>
      <c r="CQ281" s="211"/>
      <c r="CR281" s="204">
        <v>1</v>
      </c>
      <c r="CS281" s="212">
        <v>0</v>
      </c>
      <c r="CT281" s="212">
        <v>42780</v>
      </c>
      <c r="CU281" s="213">
        <v>42780</v>
      </c>
      <c r="CV281" s="214">
        <v>42829</v>
      </c>
      <c r="CW281" s="214" t="s">
        <v>615</v>
      </c>
      <c r="CX281" s="214" t="s">
        <v>615</v>
      </c>
      <c r="CY281" s="204">
        <v>1</v>
      </c>
      <c r="CZ281" s="204">
        <v>0.14285714285714285</v>
      </c>
      <c r="DA281" s="203">
        <v>0</v>
      </c>
      <c r="DB281" s="204">
        <v>0.14285714285714285</v>
      </c>
      <c r="DC281" s="204">
        <v>0</v>
      </c>
      <c r="DD281" s="204">
        <v>0</v>
      </c>
      <c r="DE281" s="204">
        <v>0</v>
      </c>
      <c r="DF281" s="215">
        <v>0</v>
      </c>
      <c r="DG281" s="13" t="s">
        <v>615</v>
      </c>
      <c r="DH281" s="86">
        <v>279</v>
      </c>
      <c r="DI281" s="86"/>
      <c r="DJ281" s="86" t="e">
        <v>#N/A</v>
      </c>
      <c r="DK281" s="86" t="s">
        <v>1724</v>
      </c>
      <c r="DL281" s="86" t="e">
        <v>#N/A</v>
      </c>
      <c r="DM281" s="86" t="e">
        <v>#N/A</v>
      </c>
      <c r="DN281" s="86" t="e">
        <v>#N/A</v>
      </c>
      <c r="DO281" s="86" t="e">
        <v>#N/A</v>
      </c>
      <c r="DP281" s="86">
        <v>5</v>
      </c>
      <c r="DQ281" s="86">
        <v>49</v>
      </c>
      <c r="DR281" s="151"/>
      <c r="DS281" s="152"/>
      <c r="DT281" s="151"/>
      <c r="DU281" s="151"/>
      <c r="DV281" s="151"/>
      <c r="DW281" s="151"/>
      <c r="DX281" s="151"/>
      <c r="DY281" s="152"/>
      <c r="DZ281" s="151"/>
      <c r="EA281" s="151"/>
      <c r="EB281" s="151"/>
      <c r="EC281" s="151"/>
      <c r="ED281" s="151"/>
      <c r="EE281" s="151"/>
      <c r="EF281" s="224"/>
      <c r="EG281" s="224"/>
      <c r="EH281" s="151"/>
      <c r="EI281" s="151"/>
      <c r="EJ281" s="151"/>
      <c r="EK281" s="151"/>
      <c r="EL281" s="151"/>
      <c r="EM281" s="224"/>
      <c r="EN281" s="151"/>
      <c r="EO281" s="151"/>
      <c r="EP281" s="151"/>
      <c r="EQ281" s="151"/>
      <c r="ER281" s="224"/>
      <c r="ES281" s="224"/>
      <c r="ET281" s="151"/>
      <c r="EU281" s="151"/>
      <c r="EV281" s="151"/>
      <c r="EW281" s="151"/>
      <c r="EX281" s="151"/>
      <c r="EY281" s="224"/>
      <c r="EZ281" s="151"/>
      <c r="FA281" s="151"/>
      <c r="FB281" s="151"/>
      <c r="FC281" s="151"/>
      <c r="FD281" s="151"/>
      <c r="FE281" s="224"/>
      <c r="FF281" s="151"/>
      <c r="FG281" s="151"/>
      <c r="FH281" s="151"/>
      <c r="FI281" s="224"/>
      <c r="FJ281" s="224"/>
      <c r="FK281" s="151"/>
      <c r="FL281" s="151"/>
      <c r="FM281" s="224"/>
      <c r="FN281" s="224"/>
      <c r="FO281" s="224"/>
      <c r="FP281" s="224"/>
      <c r="FQ281" s="224"/>
      <c r="FR281" s="224"/>
      <c r="FS281" s="224"/>
      <c r="FT281" s="224"/>
      <c r="FU281" s="224"/>
      <c r="FV281" s="224"/>
      <c r="FW281" s="224"/>
      <c r="FX281" s="224"/>
      <c r="FY281" s="224"/>
      <c r="FZ281" s="224"/>
      <c r="GA281" s="224"/>
      <c r="GB281" s="224"/>
      <c r="GC281" s="224"/>
      <c r="GD281" s="224"/>
      <c r="GE281" s="224"/>
      <c r="GF281" s="224"/>
      <c r="GG281" s="224"/>
      <c r="GH281" s="224"/>
      <c r="GI281" s="224"/>
      <c r="GJ281" s="224"/>
      <c r="GK281" s="224"/>
      <c r="GL281" s="224"/>
      <c r="GM281" s="224"/>
      <c r="GN281" s="224"/>
      <c r="GO281" s="224"/>
      <c r="GP281" s="224"/>
      <c r="GQ281" s="224"/>
      <c r="GR281" s="224"/>
      <c r="GS281" s="224"/>
      <c r="GT281" s="224"/>
      <c r="GU281" s="224"/>
      <c r="GV281" s="224"/>
      <c r="GW281" s="224"/>
      <c r="GX281" s="224"/>
      <c r="GY281" s="224"/>
      <c r="GZ281" s="224"/>
      <c r="HA281" s="224"/>
      <c r="HB281" s="224"/>
      <c r="HC281" s="151"/>
      <c r="HD281" s="151"/>
      <c r="HE281" s="226"/>
      <c r="HF281" s="226"/>
      <c r="HG281" s="151"/>
      <c r="HH281" s="151"/>
      <c r="HI281" s="151"/>
      <c r="HJ281" s="151"/>
      <c r="HK281" s="151"/>
      <c r="HL281" s="226"/>
      <c r="HM281" s="226"/>
      <c r="HN281" s="151"/>
      <c r="HO281" s="166">
        <v>0</v>
      </c>
      <c r="HP281" s="152">
        <v>0</v>
      </c>
      <c r="HQ281" s="152">
        <v>0</v>
      </c>
      <c r="HR281" s="152">
        <v>0</v>
      </c>
      <c r="HS281" s="152">
        <v>0</v>
      </c>
      <c r="HT281" s="152">
        <v>0</v>
      </c>
      <c r="HU281" s="151"/>
      <c r="HV281" s="146">
        <v>0</v>
      </c>
      <c r="HW281" s="151"/>
      <c r="HX281" s="151"/>
      <c r="HY281" s="151"/>
      <c r="HZ281" s="151"/>
      <c r="IA281" s="151"/>
      <c r="IB281" s="151"/>
      <c r="IC281" s="151"/>
      <c r="ID281" s="151"/>
      <c r="IE281" s="151"/>
      <c r="IF281" s="151"/>
      <c r="IG281" s="151"/>
      <c r="IH281" s="151"/>
      <c r="II281" s="151"/>
      <c r="IJ281" s="151"/>
      <c r="IK281" s="151"/>
      <c r="IL281" s="151"/>
      <c r="IM281" s="151"/>
      <c r="IN281" s="151"/>
      <c r="IO281" s="151"/>
      <c r="IP281" s="151"/>
      <c r="IQ281" s="151"/>
      <c r="IR281" s="151"/>
      <c r="IS281" s="151"/>
      <c r="IT281" s="151"/>
      <c r="IU281" s="151"/>
      <c r="IV281" s="151"/>
      <c r="IW281" s="151"/>
      <c r="IX281" s="151"/>
      <c r="IY281" s="151"/>
      <c r="IZ281" s="151"/>
      <c r="JA281" s="151"/>
      <c r="JB281" s="151"/>
      <c r="JC281" s="151"/>
      <c r="JD281" s="151"/>
      <c r="JE281" s="151"/>
      <c r="JF281" s="151"/>
      <c r="JG281" s="151"/>
      <c r="JH281" s="151"/>
      <c r="JI281" s="151"/>
      <c r="JJ281" s="151"/>
      <c r="JK281" s="151"/>
      <c r="JL281" s="151"/>
      <c r="JM281" s="151"/>
      <c r="JN281" s="151"/>
      <c r="JO281" s="151"/>
      <c r="JP281" s="151"/>
      <c r="JQ281" s="151"/>
      <c r="JR281" s="151"/>
      <c r="JS281" s="151"/>
      <c r="JT281" s="151"/>
      <c r="JU281" s="151"/>
      <c r="JV281" s="151"/>
      <c r="JW281" s="151"/>
      <c r="JX281" s="151"/>
      <c r="JY281" s="151"/>
      <c r="JZ281" s="151"/>
      <c r="KA281" s="151"/>
      <c r="KB281" s="151"/>
      <c r="KC281" s="151"/>
      <c r="KD281" s="151"/>
      <c r="KE281" s="151"/>
      <c r="KF281" s="151"/>
      <c r="KG281" s="151"/>
      <c r="KH281" s="151"/>
      <c r="KI281" s="151"/>
      <c r="KJ281" s="151"/>
      <c r="KK281" s="151"/>
      <c r="KL281" s="151"/>
      <c r="KM281" s="151"/>
      <c r="KN281" s="151"/>
      <c r="KO281" s="151"/>
      <c r="KP281" s="151"/>
      <c r="KQ281" s="151"/>
      <c r="KR281" s="151"/>
      <c r="KS281" s="151"/>
      <c r="KT281" s="151"/>
      <c r="KU281" s="151"/>
      <c r="KV281" s="151"/>
      <c r="KW281" s="151"/>
      <c r="KX281" s="151"/>
      <c r="KY281" s="151"/>
      <c r="KZ281" s="151"/>
      <c r="LA281" s="151"/>
      <c r="LB281" s="151"/>
      <c r="LC281" s="151"/>
      <c r="LD281" s="151"/>
      <c r="LE281" s="151"/>
    </row>
    <row r="282" spans="1:317" x14ac:dyDescent="0.2">
      <c r="A282" s="179" t="s">
        <v>849</v>
      </c>
      <c r="B282" s="180" t="s">
        <v>1181</v>
      </c>
      <c r="C282" s="181"/>
      <c r="D282" s="182" t="s">
        <v>615</v>
      </c>
      <c r="E282" s="182" t="s">
        <v>615</v>
      </c>
      <c r="F282" s="183" t="s">
        <v>615</v>
      </c>
      <c r="G282" s="183" t="s">
        <v>615</v>
      </c>
      <c r="H282" s="183" t="s">
        <v>615</v>
      </c>
      <c r="I282" s="183" t="s">
        <v>615</v>
      </c>
      <c r="J282" s="183" t="s">
        <v>615</v>
      </c>
      <c r="K282" s="183" t="s">
        <v>615</v>
      </c>
      <c r="L282" s="183" t="s">
        <v>615</v>
      </c>
      <c r="M282" s="183" t="s">
        <v>615</v>
      </c>
      <c r="N282" s="183" t="s">
        <v>615</v>
      </c>
      <c r="O282" s="183" t="s">
        <v>615</v>
      </c>
      <c r="P282" s="183" t="s">
        <v>615</v>
      </c>
      <c r="Q282" s="183"/>
      <c r="R282" s="183"/>
      <c r="S282" s="183"/>
      <c r="T282" s="183"/>
      <c r="U282" s="183"/>
      <c r="V282" s="183" t="s">
        <v>615</v>
      </c>
      <c r="W282" s="183" t="s">
        <v>615</v>
      </c>
      <c r="X282" s="183" t="s">
        <v>615</v>
      </c>
      <c r="Y282" s="184">
        <v>0</v>
      </c>
      <c r="Z282" s="184">
        <v>0</v>
      </c>
      <c r="AA282" s="184">
        <v>0</v>
      </c>
      <c r="AB282" s="185" t="s">
        <v>615</v>
      </c>
      <c r="AC282" s="185" t="s">
        <v>615</v>
      </c>
      <c r="AD282" s="186" t="s">
        <v>881</v>
      </c>
      <c r="AE282" s="186" t="s">
        <v>858</v>
      </c>
      <c r="AF282" s="187">
        <v>7</v>
      </c>
      <c r="AG282" s="187">
        <v>3</v>
      </c>
      <c r="AH282" s="187">
        <v>4</v>
      </c>
      <c r="AI282" s="188">
        <v>1</v>
      </c>
      <c r="AJ282" s="188" t="s">
        <v>615</v>
      </c>
      <c r="AK282" s="187" t="s">
        <v>1723</v>
      </c>
      <c r="AL282" s="87" t="s">
        <v>615</v>
      </c>
      <c r="AM282" s="189"/>
      <c r="AN282" s="187" t="s">
        <v>615</v>
      </c>
      <c r="AO282" s="13" t="s">
        <v>615</v>
      </c>
      <c r="AP282" s="187">
        <v>0</v>
      </c>
      <c r="AQ282" s="187">
        <v>0</v>
      </c>
      <c r="AR282" s="190">
        <v>0</v>
      </c>
      <c r="AS282" s="190">
        <v>0</v>
      </c>
      <c r="AT282" s="190">
        <v>0</v>
      </c>
      <c r="AU282" s="187">
        <v>0</v>
      </c>
      <c r="AV282" s="187">
        <v>0</v>
      </c>
      <c r="AW282" s="191"/>
      <c r="AX282" s="192"/>
      <c r="AY282" s="193"/>
      <c r="AZ282" s="193"/>
      <c r="BA282" s="193"/>
      <c r="BB282" s="194"/>
      <c r="BC282" s="194"/>
      <c r="BD282" s="195"/>
      <c r="BE282" s="195" t="s">
        <v>532</v>
      </c>
      <c r="BF282" s="195"/>
      <c r="BG282" s="195"/>
      <c r="BH282" s="196" t="s">
        <v>547</v>
      </c>
      <c r="BI282" s="197">
        <v>1</v>
      </c>
      <c r="BJ282" s="198"/>
      <c r="BK282" s="199">
        <v>0</v>
      </c>
      <c r="BL282" s="13">
        <v>0</v>
      </c>
      <c r="BM282" s="13">
        <v>0</v>
      </c>
      <c r="BN282" s="13" t="s">
        <v>616</v>
      </c>
      <c r="BO282" s="13" t="s">
        <v>616</v>
      </c>
      <c r="BP282" s="200">
        <v>500</v>
      </c>
      <c r="BQ282" s="201"/>
      <c r="BR282" s="202"/>
      <c r="BS282" s="187">
        <v>1000000000</v>
      </c>
      <c r="BT282" s="203">
        <v>0</v>
      </c>
      <c r="BU282" s="204">
        <v>0</v>
      </c>
      <c r="BV282" s="203">
        <v>0</v>
      </c>
      <c r="BW282" s="205">
        <v>0</v>
      </c>
      <c r="BX282" s="205">
        <v>0</v>
      </c>
      <c r="BY282" s="205">
        <v>0</v>
      </c>
      <c r="BZ282" s="203">
        <v>0</v>
      </c>
      <c r="CA282" s="203">
        <v>0</v>
      </c>
      <c r="CB282" s="203">
        <v>0</v>
      </c>
      <c r="CC282" s="204">
        <v>0</v>
      </c>
      <c r="CD282" s="203">
        <v>0</v>
      </c>
      <c r="CE282" s="203">
        <v>0</v>
      </c>
      <c r="CF282" s="13">
        <v>0</v>
      </c>
      <c r="CG282" s="206">
        <v>0</v>
      </c>
      <c r="CH282" s="207">
        <v>0</v>
      </c>
      <c r="CI282" s="201"/>
      <c r="CJ282" s="208"/>
      <c r="CK282" s="209" t="s">
        <v>615</v>
      </c>
      <c r="CL282" s="210" t="s">
        <v>615</v>
      </c>
      <c r="CM282" s="207">
        <v>0</v>
      </c>
      <c r="CN282" s="207">
        <v>0</v>
      </c>
      <c r="CO282" s="204">
        <v>0</v>
      </c>
      <c r="CP282" s="204">
        <v>0</v>
      </c>
      <c r="CQ282" s="211"/>
      <c r="CR282" s="204">
        <v>1</v>
      </c>
      <c r="CS282" s="212">
        <v>0</v>
      </c>
      <c r="CT282" s="212">
        <v>42780</v>
      </c>
      <c r="CU282" s="213">
        <v>42780</v>
      </c>
      <c r="CV282" s="214">
        <v>42829</v>
      </c>
      <c r="CW282" s="214" t="s">
        <v>615</v>
      </c>
      <c r="CX282" s="214" t="s">
        <v>615</v>
      </c>
      <c r="CY282" s="204">
        <v>1</v>
      </c>
      <c r="CZ282" s="204">
        <v>0.14285714285714285</v>
      </c>
      <c r="DA282" s="203">
        <v>0</v>
      </c>
      <c r="DB282" s="204">
        <v>0.14285714285714285</v>
      </c>
      <c r="DC282" s="204">
        <v>0</v>
      </c>
      <c r="DD282" s="204">
        <v>0</v>
      </c>
      <c r="DE282" s="204">
        <v>0</v>
      </c>
      <c r="DF282" s="215">
        <v>0</v>
      </c>
      <c r="DG282" s="13" t="s">
        <v>615</v>
      </c>
      <c r="DH282" s="86">
        <v>280</v>
      </c>
      <c r="DI282" s="86"/>
      <c r="DJ282" s="86" t="e">
        <v>#N/A</v>
      </c>
      <c r="DK282" s="86" t="s">
        <v>1725</v>
      </c>
      <c r="DL282" s="86" t="e">
        <v>#N/A</v>
      </c>
      <c r="DM282" s="86" t="e">
        <v>#N/A</v>
      </c>
      <c r="DN282" s="86" t="e">
        <v>#N/A</v>
      </c>
      <c r="DO282" s="86" t="e">
        <v>#N/A</v>
      </c>
      <c r="DP282" s="86">
        <v>5</v>
      </c>
      <c r="DQ282" s="86">
        <v>49</v>
      </c>
      <c r="DR282" s="216"/>
      <c r="DS282" s="152"/>
      <c r="DT282" s="216"/>
      <c r="DU282" s="216"/>
      <c r="DV282" s="216"/>
      <c r="DW282" s="216"/>
      <c r="DX282" s="216"/>
      <c r="DY282" s="152"/>
      <c r="DZ282" s="216"/>
      <c r="EA282" s="216"/>
      <c r="EB282" s="216"/>
      <c r="EC282" s="216"/>
      <c r="ED282" s="216"/>
      <c r="EE282" s="216"/>
      <c r="EF282" s="223"/>
      <c r="EG282" s="223"/>
      <c r="EH282" s="216"/>
      <c r="EI282" s="216"/>
      <c r="EJ282" s="216"/>
      <c r="EK282" s="216"/>
      <c r="EL282" s="216"/>
      <c r="EM282" s="223"/>
      <c r="EN282" s="216"/>
      <c r="EO282" s="216"/>
      <c r="EP282" s="216"/>
      <c r="EQ282" s="216"/>
      <c r="ER282" s="223"/>
      <c r="ES282" s="223"/>
      <c r="ET282" s="216"/>
      <c r="EU282" s="216"/>
      <c r="EV282" s="216"/>
      <c r="EW282" s="216"/>
      <c r="EX282" s="216"/>
      <c r="EY282" s="223"/>
      <c r="EZ282" s="216"/>
      <c r="FA282" s="216"/>
      <c r="FB282" s="216"/>
      <c r="FC282" s="216"/>
      <c r="FD282" s="216"/>
      <c r="FE282" s="223"/>
      <c r="FF282" s="216"/>
      <c r="FG282" s="216"/>
      <c r="FH282" s="216"/>
      <c r="FI282" s="223"/>
      <c r="FJ282" s="223"/>
      <c r="FK282" s="216"/>
      <c r="FL282" s="216"/>
      <c r="FM282" s="223"/>
      <c r="FN282" s="223"/>
      <c r="FO282" s="223"/>
      <c r="FP282" s="223"/>
      <c r="FQ282" s="223"/>
      <c r="FR282" s="223"/>
      <c r="FS282" s="223"/>
      <c r="FT282" s="223"/>
      <c r="FU282" s="223"/>
      <c r="FV282" s="223"/>
      <c r="FW282" s="223"/>
      <c r="FX282" s="223"/>
      <c r="FY282" s="223"/>
      <c r="FZ282" s="223"/>
      <c r="GA282" s="223"/>
      <c r="GB282" s="223"/>
      <c r="GC282" s="223"/>
      <c r="GD282" s="223"/>
      <c r="GE282" s="223"/>
      <c r="GF282" s="223"/>
      <c r="GG282" s="223"/>
      <c r="GH282" s="223"/>
      <c r="GI282" s="223"/>
      <c r="GJ282" s="223"/>
      <c r="GK282" s="223"/>
      <c r="GL282" s="223"/>
      <c r="GM282" s="223"/>
      <c r="GN282" s="223"/>
      <c r="GO282" s="223"/>
      <c r="GP282" s="223"/>
      <c r="GQ282" s="223"/>
      <c r="GR282" s="223"/>
      <c r="GS282" s="223"/>
      <c r="GT282" s="223"/>
      <c r="GU282" s="223"/>
      <c r="GV282" s="223"/>
      <c r="GW282" s="223"/>
      <c r="GX282" s="223"/>
      <c r="GY282" s="223"/>
      <c r="GZ282" s="223"/>
      <c r="HA282" s="223"/>
      <c r="HB282" s="223"/>
      <c r="HC282" s="216"/>
      <c r="HD282" s="216"/>
      <c r="HE282" s="225"/>
      <c r="HF282" s="225"/>
      <c r="HG282" s="216"/>
      <c r="HH282" s="216"/>
      <c r="HI282" s="216"/>
      <c r="HJ282" s="216"/>
      <c r="HK282" s="216"/>
      <c r="HL282" s="225"/>
      <c r="HM282" s="225"/>
      <c r="HN282" s="216"/>
      <c r="HO282" s="166">
        <v>0</v>
      </c>
      <c r="HP282" s="152">
        <v>0</v>
      </c>
      <c r="HQ282" s="152">
        <v>0</v>
      </c>
      <c r="HR282" s="152">
        <v>0</v>
      </c>
      <c r="HS282" s="152">
        <v>0</v>
      </c>
      <c r="HT282" s="152">
        <v>0</v>
      </c>
      <c r="HU282" s="216"/>
      <c r="HV282" s="152">
        <v>0</v>
      </c>
      <c r="HW282" s="216"/>
      <c r="HX282" s="216"/>
      <c r="HY282" s="216"/>
      <c r="HZ282" s="216"/>
      <c r="IA282" s="216"/>
      <c r="IB282" s="216"/>
      <c r="IC282" s="216"/>
      <c r="ID282" s="216"/>
      <c r="IE282" s="216"/>
      <c r="IF282" s="216"/>
      <c r="IG282" s="216"/>
      <c r="IH282" s="216"/>
      <c r="II282" s="216"/>
      <c r="IJ282" s="216"/>
      <c r="IK282" s="216"/>
      <c r="IL282" s="216"/>
      <c r="IM282" s="216"/>
      <c r="IN282" s="216"/>
      <c r="IO282" s="216"/>
      <c r="IP282" s="216"/>
      <c r="IQ282" s="216"/>
      <c r="IR282" s="216"/>
      <c r="IS282" s="216"/>
      <c r="IT282" s="216"/>
      <c r="IU282" s="216"/>
      <c r="IV282" s="216"/>
      <c r="IW282" s="216"/>
      <c r="IX282" s="216"/>
      <c r="IY282" s="216"/>
      <c r="IZ282" s="216"/>
      <c r="JA282" s="216"/>
      <c r="JB282" s="216"/>
      <c r="JC282" s="216"/>
      <c r="JD282" s="216"/>
      <c r="JE282" s="216"/>
      <c r="JF282" s="216"/>
      <c r="JG282" s="216"/>
      <c r="JH282" s="216"/>
      <c r="JI282" s="216"/>
      <c r="JJ282" s="216"/>
      <c r="JK282" s="216"/>
      <c r="JL282" s="216"/>
      <c r="JM282" s="216"/>
      <c r="JN282" s="216"/>
      <c r="JO282" s="216"/>
      <c r="JP282" s="216"/>
      <c r="JQ282" s="216"/>
      <c r="JR282" s="216"/>
      <c r="JS282" s="216"/>
      <c r="JT282" s="216"/>
      <c r="JU282" s="216"/>
      <c r="JV282" s="216"/>
      <c r="JW282" s="216"/>
      <c r="JX282" s="216"/>
      <c r="JY282" s="216"/>
      <c r="JZ282" s="216"/>
      <c r="KA282" s="216"/>
      <c r="KB282" s="216"/>
      <c r="KC282" s="216"/>
      <c r="KD282" s="216"/>
      <c r="KE282" s="216"/>
      <c r="KF282" s="216"/>
      <c r="KG282" s="216"/>
      <c r="KH282" s="216"/>
      <c r="KI282" s="216"/>
      <c r="KJ282" s="216"/>
      <c r="KK282" s="216"/>
      <c r="KL282" s="216"/>
      <c r="KM282" s="216"/>
      <c r="KN282" s="216"/>
      <c r="KO282" s="216"/>
      <c r="KP282" s="216"/>
      <c r="KQ282" s="216"/>
      <c r="KR282" s="216"/>
      <c r="KS282" s="216"/>
      <c r="KT282" s="216"/>
      <c r="KU282" s="216"/>
      <c r="KV282" s="216"/>
      <c r="KW282" s="216"/>
      <c r="KX282" s="216"/>
      <c r="KY282" s="216"/>
      <c r="KZ282" s="216"/>
      <c r="LA282" s="216"/>
      <c r="LB282" s="216"/>
      <c r="LC282" s="216"/>
      <c r="LD282" s="216"/>
      <c r="LE282" s="216"/>
    </row>
    <row r="283" spans="1:317" x14ac:dyDescent="0.2">
      <c r="A283" s="179" t="s">
        <v>849</v>
      </c>
      <c r="B283" s="180" t="s">
        <v>1182</v>
      </c>
      <c r="C283" s="181"/>
      <c r="D283" s="182" t="s">
        <v>615</v>
      </c>
      <c r="E283" s="182" t="s">
        <v>615</v>
      </c>
      <c r="F283" s="183" t="s">
        <v>615</v>
      </c>
      <c r="G283" s="183" t="s">
        <v>615</v>
      </c>
      <c r="H283" s="183" t="s">
        <v>615</v>
      </c>
      <c r="I283" s="183" t="s">
        <v>615</v>
      </c>
      <c r="J283" s="183" t="s">
        <v>615</v>
      </c>
      <c r="K283" s="183" t="s">
        <v>615</v>
      </c>
      <c r="L283" s="183" t="s">
        <v>615</v>
      </c>
      <c r="M283" s="183" t="s">
        <v>615</v>
      </c>
      <c r="N283" s="183" t="s">
        <v>615</v>
      </c>
      <c r="O283" s="183" t="s">
        <v>615</v>
      </c>
      <c r="P283" s="183" t="s">
        <v>615</v>
      </c>
      <c r="Q283" s="183"/>
      <c r="R283" s="183"/>
      <c r="S283" s="183"/>
      <c r="T283" s="183"/>
      <c r="U283" s="183"/>
      <c r="V283" s="183" t="s">
        <v>615</v>
      </c>
      <c r="W283" s="183" t="s">
        <v>615</v>
      </c>
      <c r="X283" s="183" t="s">
        <v>615</v>
      </c>
      <c r="Y283" s="184">
        <v>0</v>
      </c>
      <c r="Z283" s="184">
        <v>0</v>
      </c>
      <c r="AA283" s="184">
        <v>0</v>
      </c>
      <c r="AB283" s="185" t="s">
        <v>615</v>
      </c>
      <c r="AC283" s="185" t="s">
        <v>615</v>
      </c>
      <c r="AD283" s="186" t="s">
        <v>881</v>
      </c>
      <c r="AE283" s="186" t="s">
        <v>858</v>
      </c>
      <c r="AF283" s="187">
        <v>7</v>
      </c>
      <c r="AG283" s="187">
        <v>3</v>
      </c>
      <c r="AH283" s="187">
        <v>4</v>
      </c>
      <c r="AI283" s="188">
        <v>1</v>
      </c>
      <c r="AJ283" s="188" t="s">
        <v>615</v>
      </c>
      <c r="AK283" s="187" t="s">
        <v>1723</v>
      </c>
      <c r="AL283" s="87" t="s">
        <v>615</v>
      </c>
      <c r="AM283" s="189"/>
      <c r="AN283" s="187" t="s">
        <v>615</v>
      </c>
      <c r="AO283" s="13" t="s">
        <v>615</v>
      </c>
      <c r="AP283" s="187">
        <v>0</v>
      </c>
      <c r="AQ283" s="187">
        <v>0</v>
      </c>
      <c r="AR283" s="190">
        <v>0</v>
      </c>
      <c r="AS283" s="190">
        <v>0</v>
      </c>
      <c r="AT283" s="190">
        <v>0</v>
      </c>
      <c r="AU283" s="187">
        <v>0</v>
      </c>
      <c r="AV283" s="187">
        <v>0</v>
      </c>
      <c r="AW283" s="191"/>
      <c r="AX283" s="192"/>
      <c r="AY283" s="193"/>
      <c r="AZ283" s="193"/>
      <c r="BA283" s="193"/>
      <c r="BB283" s="194"/>
      <c r="BC283" s="194"/>
      <c r="BD283" s="195"/>
      <c r="BE283" s="195" t="s">
        <v>532</v>
      </c>
      <c r="BF283" s="195"/>
      <c r="BG283" s="195"/>
      <c r="BH283" s="196" t="s">
        <v>547</v>
      </c>
      <c r="BI283" s="197">
        <v>1</v>
      </c>
      <c r="BJ283" s="198"/>
      <c r="BK283" s="199">
        <v>0</v>
      </c>
      <c r="BL283" s="13">
        <v>0</v>
      </c>
      <c r="BM283" s="13">
        <v>0</v>
      </c>
      <c r="BN283" s="13" t="s">
        <v>616</v>
      </c>
      <c r="BO283" s="13" t="s">
        <v>616</v>
      </c>
      <c r="BP283" s="200">
        <v>500</v>
      </c>
      <c r="BQ283" s="201"/>
      <c r="BR283" s="202"/>
      <c r="BS283" s="187">
        <v>1000000000</v>
      </c>
      <c r="BT283" s="203">
        <v>0</v>
      </c>
      <c r="BU283" s="204">
        <v>0</v>
      </c>
      <c r="BV283" s="203">
        <v>0</v>
      </c>
      <c r="BW283" s="205">
        <v>0</v>
      </c>
      <c r="BX283" s="205">
        <v>0</v>
      </c>
      <c r="BY283" s="205">
        <v>0</v>
      </c>
      <c r="BZ283" s="203">
        <v>0</v>
      </c>
      <c r="CA283" s="203">
        <v>0</v>
      </c>
      <c r="CB283" s="203">
        <v>0</v>
      </c>
      <c r="CC283" s="204">
        <v>0</v>
      </c>
      <c r="CD283" s="203">
        <v>0</v>
      </c>
      <c r="CE283" s="203">
        <v>0</v>
      </c>
      <c r="CF283" s="13">
        <v>0</v>
      </c>
      <c r="CG283" s="206">
        <v>0</v>
      </c>
      <c r="CH283" s="207">
        <v>0</v>
      </c>
      <c r="CI283" s="201"/>
      <c r="CJ283" s="208"/>
      <c r="CK283" s="209" t="s">
        <v>615</v>
      </c>
      <c r="CL283" s="210" t="s">
        <v>615</v>
      </c>
      <c r="CM283" s="207">
        <v>0</v>
      </c>
      <c r="CN283" s="207">
        <v>0</v>
      </c>
      <c r="CO283" s="204">
        <v>0</v>
      </c>
      <c r="CP283" s="204">
        <v>0</v>
      </c>
      <c r="CQ283" s="211"/>
      <c r="CR283" s="204">
        <v>1</v>
      </c>
      <c r="CS283" s="212">
        <v>0</v>
      </c>
      <c r="CT283" s="212">
        <v>42780</v>
      </c>
      <c r="CU283" s="213">
        <v>42780</v>
      </c>
      <c r="CV283" s="214">
        <v>42829</v>
      </c>
      <c r="CW283" s="214" t="s">
        <v>615</v>
      </c>
      <c r="CX283" s="214" t="s">
        <v>615</v>
      </c>
      <c r="CY283" s="204">
        <v>1</v>
      </c>
      <c r="CZ283" s="204">
        <v>0.14285714285714285</v>
      </c>
      <c r="DA283" s="203">
        <v>0</v>
      </c>
      <c r="DB283" s="204">
        <v>0.14285714285714285</v>
      </c>
      <c r="DC283" s="204">
        <v>0</v>
      </c>
      <c r="DD283" s="204">
        <v>0</v>
      </c>
      <c r="DE283" s="204">
        <v>0</v>
      </c>
      <c r="DF283" s="215">
        <v>0</v>
      </c>
      <c r="DG283" s="13" t="s">
        <v>615</v>
      </c>
      <c r="DH283" s="86">
        <v>281</v>
      </c>
      <c r="DI283" s="86"/>
      <c r="DJ283" s="86" t="e">
        <v>#N/A</v>
      </c>
      <c r="DK283" s="86" t="s">
        <v>1726</v>
      </c>
      <c r="DL283" s="86" t="e">
        <v>#N/A</v>
      </c>
      <c r="DM283" s="86" t="e">
        <v>#N/A</v>
      </c>
      <c r="DN283" s="86" t="e">
        <v>#N/A</v>
      </c>
      <c r="DO283" s="86" t="e">
        <v>#N/A</v>
      </c>
      <c r="DP283" s="86">
        <v>5</v>
      </c>
      <c r="DQ283" s="86">
        <v>49</v>
      </c>
      <c r="DR283" s="151"/>
      <c r="DS283" s="152"/>
      <c r="DT283" s="151"/>
      <c r="DU283" s="151"/>
      <c r="DV283" s="151"/>
      <c r="DW283" s="151"/>
      <c r="DX283" s="151"/>
      <c r="DY283" s="152"/>
      <c r="DZ283" s="151"/>
      <c r="EA283" s="151"/>
      <c r="EB283" s="151"/>
      <c r="EC283" s="151"/>
      <c r="ED283" s="151"/>
      <c r="EE283" s="151"/>
      <c r="EF283" s="224"/>
      <c r="EG283" s="224"/>
      <c r="EH283" s="151"/>
      <c r="EI283" s="151"/>
      <c r="EJ283" s="151"/>
      <c r="EK283" s="151"/>
      <c r="EL283" s="151"/>
      <c r="EM283" s="224"/>
      <c r="EN283" s="151"/>
      <c r="EO283" s="151"/>
      <c r="EP283" s="151"/>
      <c r="EQ283" s="151"/>
      <c r="ER283" s="224"/>
      <c r="ES283" s="224"/>
      <c r="ET283" s="151"/>
      <c r="EU283" s="151"/>
      <c r="EV283" s="151"/>
      <c r="EW283" s="151"/>
      <c r="EX283" s="151"/>
      <c r="EY283" s="224"/>
      <c r="EZ283" s="151"/>
      <c r="FA283" s="151"/>
      <c r="FB283" s="151"/>
      <c r="FC283" s="151"/>
      <c r="FD283" s="151"/>
      <c r="FE283" s="224"/>
      <c r="FF283" s="151"/>
      <c r="FG283" s="151"/>
      <c r="FH283" s="151"/>
      <c r="FI283" s="224"/>
      <c r="FJ283" s="224"/>
      <c r="FK283" s="151"/>
      <c r="FL283" s="151"/>
      <c r="FM283" s="224"/>
      <c r="FN283" s="224"/>
      <c r="FO283" s="224"/>
      <c r="FP283" s="224"/>
      <c r="FQ283" s="224"/>
      <c r="FR283" s="224"/>
      <c r="FS283" s="224"/>
      <c r="FT283" s="224"/>
      <c r="FU283" s="224"/>
      <c r="FV283" s="224"/>
      <c r="FW283" s="224"/>
      <c r="FX283" s="224"/>
      <c r="FY283" s="224"/>
      <c r="FZ283" s="224"/>
      <c r="GA283" s="224"/>
      <c r="GB283" s="224"/>
      <c r="GC283" s="224"/>
      <c r="GD283" s="224"/>
      <c r="GE283" s="224"/>
      <c r="GF283" s="224"/>
      <c r="GG283" s="224"/>
      <c r="GH283" s="224"/>
      <c r="GI283" s="224"/>
      <c r="GJ283" s="224"/>
      <c r="GK283" s="224"/>
      <c r="GL283" s="224"/>
      <c r="GM283" s="224"/>
      <c r="GN283" s="224"/>
      <c r="GO283" s="224"/>
      <c r="GP283" s="224"/>
      <c r="GQ283" s="224"/>
      <c r="GR283" s="224"/>
      <c r="GS283" s="224"/>
      <c r="GT283" s="224"/>
      <c r="GU283" s="224"/>
      <c r="GV283" s="224"/>
      <c r="GW283" s="224"/>
      <c r="GX283" s="224"/>
      <c r="GY283" s="224"/>
      <c r="GZ283" s="224"/>
      <c r="HA283" s="224"/>
      <c r="HB283" s="224"/>
      <c r="HC283" s="151"/>
      <c r="HD283" s="151"/>
      <c r="HE283" s="226"/>
      <c r="HF283" s="226"/>
      <c r="HG283" s="151"/>
      <c r="HH283" s="151"/>
      <c r="HI283" s="151"/>
      <c r="HJ283" s="151"/>
      <c r="HK283" s="151"/>
      <c r="HL283" s="226"/>
      <c r="HM283" s="226"/>
      <c r="HN283" s="151"/>
      <c r="HO283" s="166">
        <v>0</v>
      </c>
      <c r="HP283" s="152">
        <v>0</v>
      </c>
      <c r="HQ283" s="152">
        <v>0</v>
      </c>
      <c r="HR283" s="152">
        <v>0</v>
      </c>
      <c r="HS283" s="152">
        <v>0</v>
      </c>
      <c r="HT283" s="152">
        <v>0</v>
      </c>
      <c r="HU283" s="151"/>
      <c r="HV283" s="146">
        <v>0</v>
      </c>
      <c r="HW283" s="151"/>
      <c r="HX283" s="151"/>
      <c r="HY283" s="151"/>
      <c r="HZ283" s="151"/>
      <c r="IA283" s="151"/>
      <c r="IB283" s="151"/>
      <c r="IC283" s="151"/>
      <c r="ID283" s="151"/>
      <c r="IE283" s="151"/>
      <c r="IF283" s="151"/>
      <c r="IG283" s="151"/>
      <c r="IH283" s="151"/>
      <c r="II283" s="151"/>
      <c r="IJ283" s="151"/>
      <c r="IK283" s="151"/>
      <c r="IL283" s="151"/>
      <c r="IM283" s="151"/>
      <c r="IN283" s="151"/>
      <c r="IO283" s="151"/>
      <c r="IP283" s="151"/>
      <c r="IQ283" s="151"/>
      <c r="IR283" s="151"/>
      <c r="IS283" s="151"/>
      <c r="IT283" s="151"/>
      <c r="IU283" s="151"/>
      <c r="IV283" s="151"/>
      <c r="IW283" s="151"/>
      <c r="IX283" s="151"/>
      <c r="IY283" s="151"/>
      <c r="IZ283" s="151"/>
      <c r="JA283" s="151"/>
      <c r="JB283" s="151"/>
      <c r="JC283" s="151"/>
      <c r="JD283" s="151"/>
      <c r="JE283" s="151"/>
      <c r="JF283" s="151"/>
      <c r="JG283" s="151"/>
      <c r="JH283" s="151"/>
      <c r="JI283" s="151"/>
      <c r="JJ283" s="151"/>
      <c r="JK283" s="151"/>
      <c r="JL283" s="151"/>
      <c r="JM283" s="151"/>
      <c r="JN283" s="151"/>
      <c r="JO283" s="151"/>
      <c r="JP283" s="151"/>
      <c r="JQ283" s="151"/>
      <c r="JR283" s="151"/>
      <c r="JS283" s="151"/>
      <c r="JT283" s="151"/>
      <c r="JU283" s="151"/>
      <c r="JV283" s="151"/>
      <c r="JW283" s="151"/>
      <c r="JX283" s="151"/>
      <c r="JY283" s="151"/>
      <c r="JZ283" s="151"/>
      <c r="KA283" s="151"/>
      <c r="KB283" s="151"/>
      <c r="KC283" s="151"/>
      <c r="KD283" s="151"/>
      <c r="KE283" s="151"/>
      <c r="KF283" s="151"/>
      <c r="KG283" s="151"/>
      <c r="KH283" s="151"/>
      <c r="KI283" s="151"/>
      <c r="KJ283" s="151"/>
      <c r="KK283" s="151"/>
      <c r="KL283" s="151"/>
      <c r="KM283" s="151"/>
      <c r="KN283" s="151"/>
      <c r="KO283" s="151"/>
      <c r="KP283" s="151"/>
      <c r="KQ283" s="151"/>
      <c r="KR283" s="151"/>
      <c r="KS283" s="151"/>
      <c r="KT283" s="151"/>
      <c r="KU283" s="151"/>
      <c r="KV283" s="151"/>
      <c r="KW283" s="151"/>
      <c r="KX283" s="151"/>
      <c r="KY283" s="151"/>
      <c r="KZ283" s="151"/>
      <c r="LA283" s="151"/>
      <c r="LB283" s="151"/>
      <c r="LC283" s="151"/>
      <c r="LD283" s="151"/>
      <c r="LE283" s="151"/>
    </row>
    <row r="284" spans="1:317" x14ac:dyDescent="0.2">
      <c r="A284" s="179" t="s">
        <v>849</v>
      </c>
      <c r="B284" s="180" t="s">
        <v>1183</v>
      </c>
      <c r="C284" s="181"/>
      <c r="D284" s="182" t="s">
        <v>615</v>
      </c>
      <c r="E284" s="182" t="s">
        <v>615</v>
      </c>
      <c r="F284" s="183" t="s">
        <v>615</v>
      </c>
      <c r="G284" s="183" t="s">
        <v>615</v>
      </c>
      <c r="H284" s="183" t="s">
        <v>615</v>
      </c>
      <c r="I284" s="183" t="s">
        <v>615</v>
      </c>
      <c r="J284" s="183" t="s">
        <v>615</v>
      </c>
      <c r="K284" s="183" t="s">
        <v>615</v>
      </c>
      <c r="L284" s="183" t="s">
        <v>615</v>
      </c>
      <c r="M284" s="183" t="s">
        <v>615</v>
      </c>
      <c r="N284" s="183" t="s">
        <v>615</v>
      </c>
      <c r="O284" s="183" t="s">
        <v>615</v>
      </c>
      <c r="P284" s="183" t="s">
        <v>615</v>
      </c>
      <c r="Q284" s="183"/>
      <c r="R284" s="183"/>
      <c r="S284" s="183"/>
      <c r="T284" s="183"/>
      <c r="U284" s="183"/>
      <c r="V284" s="183" t="s">
        <v>615</v>
      </c>
      <c r="W284" s="183" t="s">
        <v>615</v>
      </c>
      <c r="X284" s="183" t="s">
        <v>615</v>
      </c>
      <c r="Y284" s="184">
        <v>0</v>
      </c>
      <c r="Z284" s="184">
        <v>0</v>
      </c>
      <c r="AA284" s="184">
        <v>0</v>
      </c>
      <c r="AB284" s="185" t="s">
        <v>615</v>
      </c>
      <c r="AC284" s="185" t="s">
        <v>615</v>
      </c>
      <c r="AD284" s="186" t="s">
        <v>881</v>
      </c>
      <c r="AE284" s="186" t="s">
        <v>858</v>
      </c>
      <c r="AF284" s="187">
        <v>7</v>
      </c>
      <c r="AG284" s="187">
        <v>3</v>
      </c>
      <c r="AH284" s="187">
        <v>4</v>
      </c>
      <c r="AI284" s="188">
        <v>1</v>
      </c>
      <c r="AJ284" s="188" t="s">
        <v>615</v>
      </c>
      <c r="AK284" s="187" t="s">
        <v>1723</v>
      </c>
      <c r="AL284" s="87" t="s">
        <v>615</v>
      </c>
      <c r="AM284" s="189"/>
      <c r="AN284" s="187" t="s">
        <v>615</v>
      </c>
      <c r="AO284" s="13" t="s">
        <v>615</v>
      </c>
      <c r="AP284" s="187">
        <v>0</v>
      </c>
      <c r="AQ284" s="187">
        <v>0</v>
      </c>
      <c r="AR284" s="190">
        <v>0</v>
      </c>
      <c r="AS284" s="190">
        <v>0</v>
      </c>
      <c r="AT284" s="190">
        <v>0</v>
      </c>
      <c r="AU284" s="187">
        <v>0</v>
      </c>
      <c r="AV284" s="187">
        <v>0</v>
      </c>
      <c r="AW284" s="191"/>
      <c r="AX284" s="192"/>
      <c r="AY284" s="193"/>
      <c r="AZ284" s="193"/>
      <c r="BA284" s="193"/>
      <c r="BB284" s="194"/>
      <c r="BC284" s="194"/>
      <c r="BD284" s="195"/>
      <c r="BE284" s="195" t="s">
        <v>532</v>
      </c>
      <c r="BF284" s="195"/>
      <c r="BG284" s="195"/>
      <c r="BH284" s="196" t="s">
        <v>547</v>
      </c>
      <c r="BI284" s="197">
        <v>1</v>
      </c>
      <c r="BJ284" s="198"/>
      <c r="BK284" s="199">
        <v>0</v>
      </c>
      <c r="BL284" s="13">
        <v>0</v>
      </c>
      <c r="BM284" s="13">
        <v>0</v>
      </c>
      <c r="BN284" s="13" t="s">
        <v>616</v>
      </c>
      <c r="BO284" s="13" t="s">
        <v>616</v>
      </c>
      <c r="BP284" s="200">
        <v>500</v>
      </c>
      <c r="BQ284" s="201"/>
      <c r="BR284" s="202"/>
      <c r="BS284" s="187">
        <v>1000000000</v>
      </c>
      <c r="BT284" s="203">
        <v>0</v>
      </c>
      <c r="BU284" s="204">
        <v>0</v>
      </c>
      <c r="BV284" s="203">
        <v>0</v>
      </c>
      <c r="BW284" s="205">
        <v>0</v>
      </c>
      <c r="BX284" s="205">
        <v>0</v>
      </c>
      <c r="BY284" s="205">
        <v>0</v>
      </c>
      <c r="BZ284" s="203">
        <v>0</v>
      </c>
      <c r="CA284" s="203">
        <v>0</v>
      </c>
      <c r="CB284" s="203">
        <v>0</v>
      </c>
      <c r="CC284" s="204">
        <v>0</v>
      </c>
      <c r="CD284" s="203">
        <v>0</v>
      </c>
      <c r="CE284" s="203">
        <v>0</v>
      </c>
      <c r="CF284" s="13">
        <v>0</v>
      </c>
      <c r="CG284" s="206">
        <v>0</v>
      </c>
      <c r="CH284" s="207">
        <v>0</v>
      </c>
      <c r="CI284" s="201"/>
      <c r="CJ284" s="208"/>
      <c r="CK284" s="209" t="s">
        <v>615</v>
      </c>
      <c r="CL284" s="210" t="s">
        <v>615</v>
      </c>
      <c r="CM284" s="207">
        <v>0</v>
      </c>
      <c r="CN284" s="207">
        <v>0</v>
      </c>
      <c r="CO284" s="204">
        <v>0</v>
      </c>
      <c r="CP284" s="204">
        <v>0</v>
      </c>
      <c r="CQ284" s="211"/>
      <c r="CR284" s="204">
        <v>1</v>
      </c>
      <c r="CS284" s="212">
        <v>0</v>
      </c>
      <c r="CT284" s="212">
        <v>42780</v>
      </c>
      <c r="CU284" s="213">
        <v>42780</v>
      </c>
      <c r="CV284" s="214">
        <v>42829</v>
      </c>
      <c r="CW284" s="214" t="s">
        <v>615</v>
      </c>
      <c r="CX284" s="214" t="s">
        <v>615</v>
      </c>
      <c r="CY284" s="204">
        <v>1</v>
      </c>
      <c r="CZ284" s="204">
        <v>0.14285714285714285</v>
      </c>
      <c r="DA284" s="203">
        <v>0</v>
      </c>
      <c r="DB284" s="204">
        <v>0.14285714285714285</v>
      </c>
      <c r="DC284" s="204">
        <v>0</v>
      </c>
      <c r="DD284" s="204">
        <v>0</v>
      </c>
      <c r="DE284" s="204">
        <v>0</v>
      </c>
      <c r="DF284" s="215">
        <v>0</v>
      </c>
      <c r="DG284" s="13" t="s">
        <v>615</v>
      </c>
      <c r="DH284" s="86">
        <v>282</v>
      </c>
      <c r="DI284" s="86"/>
      <c r="DJ284" s="86" t="e">
        <v>#N/A</v>
      </c>
      <c r="DK284" s="86" t="s">
        <v>1727</v>
      </c>
      <c r="DL284" s="86" t="e">
        <v>#N/A</v>
      </c>
      <c r="DM284" s="86" t="e">
        <v>#N/A</v>
      </c>
      <c r="DN284" s="86" t="e">
        <v>#N/A</v>
      </c>
      <c r="DO284" s="86" t="e">
        <v>#N/A</v>
      </c>
      <c r="DP284" s="86">
        <v>5</v>
      </c>
      <c r="DQ284" s="86">
        <v>49</v>
      </c>
      <c r="DR284" s="216"/>
      <c r="DS284" s="152"/>
      <c r="DT284" s="216"/>
      <c r="DU284" s="216"/>
      <c r="DV284" s="216"/>
      <c r="DW284" s="216"/>
      <c r="DX284" s="216"/>
      <c r="DY284" s="152"/>
      <c r="DZ284" s="216"/>
      <c r="EA284" s="216"/>
      <c r="EB284" s="216"/>
      <c r="EC284" s="216"/>
      <c r="ED284" s="216"/>
      <c r="EE284" s="216"/>
      <c r="EF284" s="223"/>
      <c r="EG284" s="223"/>
      <c r="EH284" s="216"/>
      <c r="EI284" s="216"/>
      <c r="EJ284" s="216"/>
      <c r="EK284" s="216"/>
      <c r="EL284" s="216"/>
      <c r="EM284" s="223"/>
      <c r="EN284" s="216"/>
      <c r="EO284" s="216"/>
      <c r="EP284" s="216"/>
      <c r="EQ284" s="216"/>
      <c r="ER284" s="223"/>
      <c r="ES284" s="223"/>
      <c r="ET284" s="216"/>
      <c r="EU284" s="216"/>
      <c r="EV284" s="216"/>
      <c r="EW284" s="216"/>
      <c r="EX284" s="216"/>
      <c r="EY284" s="223"/>
      <c r="EZ284" s="216"/>
      <c r="FA284" s="216"/>
      <c r="FB284" s="216"/>
      <c r="FC284" s="216"/>
      <c r="FD284" s="216"/>
      <c r="FE284" s="223"/>
      <c r="FF284" s="216"/>
      <c r="FG284" s="216"/>
      <c r="FH284" s="216"/>
      <c r="FI284" s="223"/>
      <c r="FJ284" s="223"/>
      <c r="FK284" s="216"/>
      <c r="FL284" s="216"/>
      <c r="FM284" s="223"/>
      <c r="FN284" s="223"/>
      <c r="FO284" s="223"/>
      <c r="FP284" s="223"/>
      <c r="FQ284" s="223"/>
      <c r="FR284" s="223"/>
      <c r="FS284" s="223"/>
      <c r="FT284" s="223"/>
      <c r="FU284" s="223"/>
      <c r="FV284" s="223"/>
      <c r="FW284" s="223"/>
      <c r="FX284" s="223"/>
      <c r="FY284" s="223"/>
      <c r="FZ284" s="223"/>
      <c r="GA284" s="223"/>
      <c r="GB284" s="223"/>
      <c r="GC284" s="223"/>
      <c r="GD284" s="223"/>
      <c r="GE284" s="223"/>
      <c r="GF284" s="223"/>
      <c r="GG284" s="223"/>
      <c r="GH284" s="223"/>
      <c r="GI284" s="223"/>
      <c r="GJ284" s="223"/>
      <c r="GK284" s="223"/>
      <c r="GL284" s="223"/>
      <c r="GM284" s="223"/>
      <c r="GN284" s="223"/>
      <c r="GO284" s="223"/>
      <c r="GP284" s="223"/>
      <c r="GQ284" s="223"/>
      <c r="GR284" s="223"/>
      <c r="GS284" s="223"/>
      <c r="GT284" s="223"/>
      <c r="GU284" s="223"/>
      <c r="GV284" s="223"/>
      <c r="GW284" s="223"/>
      <c r="GX284" s="223"/>
      <c r="GY284" s="223"/>
      <c r="GZ284" s="223"/>
      <c r="HA284" s="223"/>
      <c r="HB284" s="223"/>
      <c r="HC284" s="216"/>
      <c r="HD284" s="216"/>
      <c r="HE284" s="225"/>
      <c r="HF284" s="225"/>
      <c r="HG284" s="216"/>
      <c r="HH284" s="216"/>
      <c r="HI284" s="216"/>
      <c r="HJ284" s="216"/>
      <c r="HK284" s="216"/>
      <c r="HL284" s="225"/>
      <c r="HM284" s="225"/>
      <c r="HN284" s="216"/>
      <c r="HO284" s="166">
        <v>0</v>
      </c>
      <c r="HP284" s="152">
        <v>0</v>
      </c>
      <c r="HQ284" s="152">
        <v>0</v>
      </c>
      <c r="HR284" s="152">
        <v>0</v>
      </c>
      <c r="HS284" s="152">
        <v>0</v>
      </c>
      <c r="HT284" s="152">
        <v>0</v>
      </c>
      <c r="HU284" s="216"/>
      <c r="HV284" s="152">
        <v>0</v>
      </c>
      <c r="HW284" s="216"/>
      <c r="HX284" s="216"/>
      <c r="HY284" s="216"/>
      <c r="HZ284" s="216"/>
      <c r="IA284" s="216"/>
      <c r="IB284" s="216"/>
      <c r="IC284" s="216"/>
      <c r="ID284" s="216"/>
      <c r="IE284" s="216"/>
      <c r="IF284" s="216"/>
      <c r="IG284" s="216"/>
      <c r="IH284" s="216"/>
      <c r="II284" s="216"/>
      <c r="IJ284" s="216"/>
      <c r="IK284" s="216"/>
      <c r="IL284" s="216"/>
      <c r="IM284" s="216"/>
      <c r="IN284" s="216"/>
      <c r="IO284" s="216"/>
      <c r="IP284" s="216"/>
      <c r="IQ284" s="216"/>
      <c r="IR284" s="216"/>
      <c r="IS284" s="216"/>
      <c r="IT284" s="216"/>
      <c r="IU284" s="216"/>
      <c r="IV284" s="216"/>
      <c r="IW284" s="216"/>
      <c r="IX284" s="216"/>
      <c r="IY284" s="216"/>
      <c r="IZ284" s="216"/>
      <c r="JA284" s="216"/>
      <c r="JB284" s="216"/>
      <c r="JC284" s="216"/>
      <c r="JD284" s="216"/>
      <c r="JE284" s="216"/>
      <c r="JF284" s="216"/>
      <c r="JG284" s="216"/>
      <c r="JH284" s="216"/>
      <c r="JI284" s="216"/>
      <c r="JJ284" s="216"/>
      <c r="JK284" s="216"/>
      <c r="JL284" s="216"/>
      <c r="JM284" s="216"/>
      <c r="JN284" s="216"/>
      <c r="JO284" s="216"/>
      <c r="JP284" s="216"/>
      <c r="JQ284" s="216"/>
      <c r="JR284" s="216"/>
      <c r="JS284" s="216"/>
      <c r="JT284" s="216"/>
      <c r="JU284" s="216"/>
      <c r="JV284" s="216"/>
      <c r="JW284" s="216"/>
      <c r="JX284" s="216"/>
      <c r="JY284" s="216"/>
      <c r="JZ284" s="216"/>
      <c r="KA284" s="216"/>
      <c r="KB284" s="216"/>
      <c r="KC284" s="216"/>
      <c r="KD284" s="216"/>
      <c r="KE284" s="216"/>
      <c r="KF284" s="216"/>
      <c r="KG284" s="216"/>
      <c r="KH284" s="216"/>
      <c r="KI284" s="216"/>
      <c r="KJ284" s="216"/>
      <c r="KK284" s="216"/>
      <c r="KL284" s="216"/>
      <c r="KM284" s="216"/>
      <c r="KN284" s="216"/>
      <c r="KO284" s="216"/>
      <c r="KP284" s="216"/>
      <c r="KQ284" s="216"/>
      <c r="KR284" s="216"/>
      <c r="KS284" s="216"/>
      <c r="KT284" s="216"/>
      <c r="KU284" s="216"/>
      <c r="KV284" s="216"/>
      <c r="KW284" s="216"/>
      <c r="KX284" s="216"/>
      <c r="KY284" s="216"/>
      <c r="KZ284" s="216"/>
      <c r="LA284" s="216"/>
      <c r="LB284" s="216"/>
      <c r="LC284" s="216"/>
      <c r="LD284" s="216"/>
      <c r="LE284" s="216"/>
    </row>
    <row r="285" spans="1:317" x14ac:dyDescent="0.2">
      <c r="A285" s="179" t="s">
        <v>849</v>
      </c>
      <c r="B285" s="180" t="s">
        <v>1184</v>
      </c>
      <c r="C285" s="181"/>
      <c r="D285" s="182" t="s">
        <v>615</v>
      </c>
      <c r="E285" s="182" t="s">
        <v>615</v>
      </c>
      <c r="F285" s="183" t="s">
        <v>615</v>
      </c>
      <c r="G285" s="183" t="s">
        <v>615</v>
      </c>
      <c r="H285" s="183" t="s">
        <v>615</v>
      </c>
      <c r="I285" s="183" t="s">
        <v>615</v>
      </c>
      <c r="J285" s="183" t="s">
        <v>615</v>
      </c>
      <c r="K285" s="183" t="s">
        <v>615</v>
      </c>
      <c r="L285" s="183" t="s">
        <v>615</v>
      </c>
      <c r="M285" s="183" t="s">
        <v>615</v>
      </c>
      <c r="N285" s="183" t="s">
        <v>615</v>
      </c>
      <c r="O285" s="183" t="s">
        <v>615</v>
      </c>
      <c r="P285" s="183" t="s">
        <v>615</v>
      </c>
      <c r="Q285" s="183"/>
      <c r="R285" s="183"/>
      <c r="S285" s="183"/>
      <c r="T285" s="183"/>
      <c r="U285" s="183"/>
      <c r="V285" s="183" t="s">
        <v>615</v>
      </c>
      <c r="W285" s="183" t="s">
        <v>615</v>
      </c>
      <c r="X285" s="183" t="s">
        <v>615</v>
      </c>
      <c r="Y285" s="184">
        <v>0</v>
      </c>
      <c r="Z285" s="184">
        <v>0</v>
      </c>
      <c r="AA285" s="184">
        <v>0</v>
      </c>
      <c r="AB285" s="185" t="s">
        <v>615</v>
      </c>
      <c r="AC285" s="185" t="s">
        <v>615</v>
      </c>
      <c r="AD285" s="186" t="s">
        <v>881</v>
      </c>
      <c r="AE285" s="186" t="s">
        <v>858</v>
      </c>
      <c r="AF285" s="187">
        <v>7</v>
      </c>
      <c r="AG285" s="187">
        <v>3</v>
      </c>
      <c r="AH285" s="187">
        <v>4</v>
      </c>
      <c r="AI285" s="188">
        <v>1</v>
      </c>
      <c r="AJ285" s="188" t="s">
        <v>615</v>
      </c>
      <c r="AK285" s="187" t="s">
        <v>1723</v>
      </c>
      <c r="AL285" s="87" t="s">
        <v>615</v>
      </c>
      <c r="AM285" s="189"/>
      <c r="AN285" s="187" t="s">
        <v>615</v>
      </c>
      <c r="AO285" s="13" t="s">
        <v>615</v>
      </c>
      <c r="AP285" s="187">
        <v>0</v>
      </c>
      <c r="AQ285" s="187">
        <v>0</v>
      </c>
      <c r="AR285" s="190">
        <v>0</v>
      </c>
      <c r="AS285" s="190">
        <v>0</v>
      </c>
      <c r="AT285" s="190">
        <v>0</v>
      </c>
      <c r="AU285" s="187">
        <v>0</v>
      </c>
      <c r="AV285" s="187">
        <v>0</v>
      </c>
      <c r="AW285" s="191"/>
      <c r="AX285" s="192"/>
      <c r="AY285" s="193"/>
      <c r="AZ285" s="193"/>
      <c r="BA285" s="193"/>
      <c r="BB285" s="194"/>
      <c r="BC285" s="194"/>
      <c r="BD285" s="195"/>
      <c r="BE285" s="195" t="s">
        <v>532</v>
      </c>
      <c r="BF285" s="195"/>
      <c r="BG285" s="195"/>
      <c r="BH285" s="196" t="s">
        <v>547</v>
      </c>
      <c r="BI285" s="197">
        <v>1</v>
      </c>
      <c r="BJ285" s="198"/>
      <c r="BK285" s="199">
        <v>0</v>
      </c>
      <c r="BL285" s="13">
        <v>0</v>
      </c>
      <c r="BM285" s="13">
        <v>0</v>
      </c>
      <c r="BN285" s="13" t="s">
        <v>616</v>
      </c>
      <c r="BO285" s="13" t="s">
        <v>616</v>
      </c>
      <c r="BP285" s="200">
        <v>500</v>
      </c>
      <c r="BQ285" s="201"/>
      <c r="BR285" s="202"/>
      <c r="BS285" s="187">
        <v>1000000000</v>
      </c>
      <c r="BT285" s="203">
        <v>0</v>
      </c>
      <c r="BU285" s="204">
        <v>0</v>
      </c>
      <c r="BV285" s="203">
        <v>0</v>
      </c>
      <c r="BW285" s="205">
        <v>0</v>
      </c>
      <c r="BX285" s="205">
        <v>0</v>
      </c>
      <c r="BY285" s="205">
        <v>0</v>
      </c>
      <c r="BZ285" s="203">
        <v>0</v>
      </c>
      <c r="CA285" s="203">
        <v>0</v>
      </c>
      <c r="CB285" s="203">
        <v>0</v>
      </c>
      <c r="CC285" s="204">
        <v>0</v>
      </c>
      <c r="CD285" s="203">
        <v>0</v>
      </c>
      <c r="CE285" s="203">
        <v>0</v>
      </c>
      <c r="CF285" s="13">
        <v>0</v>
      </c>
      <c r="CG285" s="206">
        <v>0</v>
      </c>
      <c r="CH285" s="207">
        <v>0</v>
      </c>
      <c r="CI285" s="201"/>
      <c r="CJ285" s="208"/>
      <c r="CK285" s="209" t="s">
        <v>615</v>
      </c>
      <c r="CL285" s="210" t="s">
        <v>615</v>
      </c>
      <c r="CM285" s="207">
        <v>0</v>
      </c>
      <c r="CN285" s="207">
        <v>0</v>
      </c>
      <c r="CO285" s="204">
        <v>0</v>
      </c>
      <c r="CP285" s="204">
        <v>0</v>
      </c>
      <c r="CQ285" s="211"/>
      <c r="CR285" s="204">
        <v>1</v>
      </c>
      <c r="CS285" s="212">
        <v>0</v>
      </c>
      <c r="CT285" s="212">
        <v>42780</v>
      </c>
      <c r="CU285" s="213">
        <v>42780</v>
      </c>
      <c r="CV285" s="214">
        <v>42829</v>
      </c>
      <c r="CW285" s="214" t="s">
        <v>615</v>
      </c>
      <c r="CX285" s="214" t="s">
        <v>615</v>
      </c>
      <c r="CY285" s="204">
        <v>1</v>
      </c>
      <c r="CZ285" s="204">
        <v>0.14285714285714285</v>
      </c>
      <c r="DA285" s="203">
        <v>0</v>
      </c>
      <c r="DB285" s="204">
        <v>0.14285714285714285</v>
      </c>
      <c r="DC285" s="204">
        <v>0</v>
      </c>
      <c r="DD285" s="204">
        <v>0</v>
      </c>
      <c r="DE285" s="204">
        <v>0</v>
      </c>
      <c r="DF285" s="215">
        <v>0</v>
      </c>
      <c r="DG285" s="13" t="s">
        <v>615</v>
      </c>
      <c r="DH285" s="86">
        <v>283</v>
      </c>
      <c r="DI285" s="86"/>
      <c r="DJ285" s="86" t="e">
        <v>#N/A</v>
      </c>
      <c r="DK285" s="86" t="s">
        <v>1728</v>
      </c>
      <c r="DL285" s="86" t="e">
        <v>#N/A</v>
      </c>
      <c r="DM285" s="86" t="e">
        <v>#N/A</v>
      </c>
      <c r="DN285" s="86" t="e">
        <v>#N/A</v>
      </c>
      <c r="DO285" s="86" t="e">
        <v>#N/A</v>
      </c>
      <c r="DP285" s="86">
        <v>5</v>
      </c>
      <c r="DQ285" s="86">
        <v>49</v>
      </c>
      <c r="DR285" s="151"/>
      <c r="DS285" s="152"/>
      <c r="DT285" s="151"/>
      <c r="DU285" s="151"/>
      <c r="DV285" s="151"/>
      <c r="DW285" s="151"/>
      <c r="DX285" s="151"/>
      <c r="DY285" s="152"/>
      <c r="DZ285" s="151"/>
      <c r="EA285" s="151"/>
      <c r="EB285" s="151"/>
      <c r="EC285" s="151"/>
      <c r="ED285" s="151"/>
      <c r="EE285" s="151"/>
      <c r="EF285" s="224"/>
      <c r="EG285" s="224"/>
      <c r="EH285" s="151"/>
      <c r="EI285" s="151"/>
      <c r="EJ285" s="151"/>
      <c r="EK285" s="151"/>
      <c r="EL285" s="151"/>
      <c r="EM285" s="224"/>
      <c r="EN285" s="151"/>
      <c r="EO285" s="151"/>
      <c r="EP285" s="151"/>
      <c r="EQ285" s="151"/>
      <c r="ER285" s="224"/>
      <c r="ES285" s="224"/>
      <c r="ET285" s="151"/>
      <c r="EU285" s="151"/>
      <c r="EV285" s="151"/>
      <c r="EW285" s="151"/>
      <c r="EX285" s="151"/>
      <c r="EY285" s="224"/>
      <c r="EZ285" s="151"/>
      <c r="FA285" s="151"/>
      <c r="FB285" s="151"/>
      <c r="FC285" s="151"/>
      <c r="FD285" s="151"/>
      <c r="FE285" s="224"/>
      <c r="FF285" s="151"/>
      <c r="FG285" s="151"/>
      <c r="FH285" s="151"/>
      <c r="FI285" s="224"/>
      <c r="FJ285" s="224"/>
      <c r="FK285" s="151"/>
      <c r="FL285" s="151"/>
      <c r="FM285" s="224"/>
      <c r="FN285" s="224"/>
      <c r="FO285" s="224"/>
      <c r="FP285" s="224"/>
      <c r="FQ285" s="224"/>
      <c r="FR285" s="224"/>
      <c r="FS285" s="224"/>
      <c r="FT285" s="224"/>
      <c r="FU285" s="224"/>
      <c r="FV285" s="224"/>
      <c r="FW285" s="224"/>
      <c r="FX285" s="224"/>
      <c r="FY285" s="224"/>
      <c r="FZ285" s="224"/>
      <c r="GA285" s="224"/>
      <c r="GB285" s="224"/>
      <c r="GC285" s="224"/>
      <c r="GD285" s="224"/>
      <c r="GE285" s="224"/>
      <c r="GF285" s="224"/>
      <c r="GG285" s="224"/>
      <c r="GH285" s="224"/>
      <c r="GI285" s="224"/>
      <c r="GJ285" s="224"/>
      <c r="GK285" s="224"/>
      <c r="GL285" s="224"/>
      <c r="GM285" s="224"/>
      <c r="GN285" s="224"/>
      <c r="GO285" s="224"/>
      <c r="GP285" s="224"/>
      <c r="GQ285" s="224"/>
      <c r="GR285" s="224"/>
      <c r="GS285" s="224"/>
      <c r="GT285" s="224"/>
      <c r="GU285" s="224"/>
      <c r="GV285" s="224"/>
      <c r="GW285" s="224"/>
      <c r="GX285" s="224"/>
      <c r="GY285" s="224"/>
      <c r="GZ285" s="224"/>
      <c r="HA285" s="224"/>
      <c r="HB285" s="224"/>
      <c r="HC285" s="151"/>
      <c r="HD285" s="151"/>
      <c r="HE285" s="226"/>
      <c r="HF285" s="226"/>
      <c r="HG285" s="151"/>
      <c r="HH285" s="151"/>
      <c r="HI285" s="151"/>
      <c r="HJ285" s="151"/>
      <c r="HK285" s="151"/>
      <c r="HL285" s="226"/>
      <c r="HM285" s="226"/>
      <c r="HN285" s="151"/>
      <c r="HO285" s="166">
        <v>0</v>
      </c>
      <c r="HP285" s="152">
        <v>0</v>
      </c>
      <c r="HQ285" s="152">
        <v>0</v>
      </c>
      <c r="HR285" s="152">
        <v>0</v>
      </c>
      <c r="HS285" s="152">
        <v>0</v>
      </c>
      <c r="HT285" s="152">
        <v>0</v>
      </c>
      <c r="HU285" s="151"/>
      <c r="HV285" s="146">
        <v>0</v>
      </c>
      <c r="HW285" s="151"/>
      <c r="HX285" s="151"/>
      <c r="HY285" s="151"/>
      <c r="HZ285" s="151"/>
      <c r="IA285" s="151"/>
      <c r="IB285" s="151"/>
      <c r="IC285" s="151"/>
      <c r="ID285" s="151"/>
      <c r="IE285" s="151"/>
      <c r="IF285" s="151"/>
      <c r="IG285" s="151"/>
      <c r="IH285" s="151"/>
      <c r="II285" s="151"/>
      <c r="IJ285" s="151"/>
      <c r="IK285" s="151"/>
      <c r="IL285" s="151"/>
      <c r="IM285" s="151"/>
      <c r="IN285" s="151"/>
      <c r="IO285" s="151"/>
      <c r="IP285" s="151"/>
      <c r="IQ285" s="151"/>
      <c r="IR285" s="151"/>
      <c r="IS285" s="151"/>
      <c r="IT285" s="151"/>
      <c r="IU285" s="151"/>
      <c r="IV285" s="151"/>
      <c r="IW285" s="151"/>
      <c r="IX285" s="151"/>
      <c r="IY285" s="151"/>
      <c r="IZ285" s="151"/>
      <c r="JA285" s="151"/>
      <c r="JB285" s="151"/>
      <c r="JC285" s="151"/>
      <c r="JD285" s="151"/>
      <c r="JE285" s="151"/>
      <c r="JF285" s="151"/>
      <c r="JG285" s="151"/>
      <c r="JH285" s="151"/>
      <c r="JI285" s="151"/>
      <c r="JJ285" s="151"/>
      <c r="JK285" s="151"/>
      <c r="JL285" s="151"/>
      <c r="JM285" s="151"/>
      <c r="JN285" s="151"/>
      <c r="JO285" s="151"/>
      <c r="JP285" s="151"/>
      <c r="JQ285" s="151"/>
      <c r="JR285" s="151"/>
      <c r="JS285" s="151"/>
      <c r="JT285" s="151"/>
      <c r="JU285" s="151"/>
      <c r="JV285" s="151"/>
      <c r="JW285" s="151"/>
      <c r="JX285" s="151"/>
      <c r="JY285" s="151"/>
      <c r="JZ285" s="151"/>
      <c r="KA285" s="151"/>
      <c r="KB285" s="151"/>
      <c r="KC285" s="151"/>
      <c r="KD285" s="151"/>
      <c r="KE285" s="151"/>
      <c r="KF285" s="151"/>
      <c r="KG285" s="151"/>
      <c r="KH285" s="151"/>
      <c r="KI285" s="151"/>
      <c r="KJ285" s="151"/>
      <c r="KK285" s="151"/>
      <c r="KL285" s="151"/>
      <c r="KM285" s="151"/>
      <c r="KN285" s="151"/>
      <c r="KO285" s="151"/>
      <c r="KP285" s="151"/>
      <c r="KQ285" s="151"/>
      <c r="KR285" s="151"/>
      <c r="KS285" s="151"/>
      <c r="KT285" s="151"/>
      <c r="KU285" s="151"/>
      <c r="KV285" s="151"/>
      <c r="KW285" s="151"/>
      <c r="KX285" s="151"/>
      <c r="KY285" s="151"/>
      <c r="KZ285" s="151"/>
      <c r="LA285" s="151"/>
      <c r="LB285" s="151"/>
      <c r="LC285" s="151"/>
      <c r="LD285" s="151"/>
      <c r="LE285" s="151"/>
    </row>
    <row r="286" spans="1:317" x14ac:dyDescent="0.2">
      <c r="A286" s="179" t="s">
        <v>849</v>
      </c>
      <c r="B286" s="180" t="s">
        <v>1185</v>
      </c>
      <c r="C286" s="181"/>
      <c r="D286" s="182" t="s">
        <v>615</v>
      </c>
      <c r="E286" s="182" t="s">
        <v>615</v>
      </c>
      <c r="F286" s="183" t="s">
        <v>615</v>
      </c>
      <c r="G286" s="183" t="s">
        <v>615</v>
      </c>
      <c r="H286" s="183" t="s">
        <v>615</v>
      </c>
      <c r="I286" s="183" t="s">
        <v>615</v>
      </c>
      <c r="J286" s="183" t="s">
        <v>615</v>
      </c>
      <c r="K286" s="183" t="s">
        <v>615</v>
      </c>
      <c r="L286" s="183" t="s">
        <v>615</v>
      </c>
      <c r="M286" s="183" t="s">
        <v>615</v>
      </c>
      <c r="N286" s="183" t="s">
        <v>615</v>
      </c>
      <c r="O286" s="183" t="s">
        <v>615</v>
      </c>
      <c r="P286" s="183" t="s">
        <v>615</v>
      </c>
      <c r="Q286" s="183"/>
      <c r="R286" s="183"/>
      <c r="S286" s="183"/>
      <c r="T286" s="183"/>
      <c r="U286" s="183"/>
      <c r="V286" s="183" t="s">
        <v>615</v>
      </c>
      <c r="W286" s="183" t="s">
        <v>615</v>
      </c>
      <c r="X286" s="183" t="s">
        <v>615</v>
      </c>
      <c r="Y286" s="184">
        <v>0</v>
      </c>
      <c r="Z286" s="184">
        <v>0</v>
      </c>
      <c r="AA286" s="184">
        <v>0</v>
      </c>
      <c r="AB286" s="185" t="s">
        <v>615</v>
      </c>
      <c r="AC286" s="185" t="s">
        <v>615</v>
      </c>
      <c r="AD286" s="186" t="s">
        <v>881</v>
      </c>
      <c r="AE286" s="186" t="s">
        <v>858</v>
      </c>
      <c r="AF286" s="187">
        <v>7</v>
      </c>
      <c r="AG286" s="187">
        <v>3</v>
      </c>
      <c r="AH286" s="187">
        <v>4</v>
      </c>
      <c r="AI286" s="188">
        <v>1</v>
      </c>
      <c r="AJ286" s="188" t="s">
        <v>615</v>
      </c>
      <c r="AK286" s="187" t="s">
        <v>1723</v>
      </c>
      <c r="AL286" s="87" t="s">
        <v>615</v>
      </c>
      <c r="AM286" s="189"/>
      <c r="AN286" s="187" t="s">
        <v>615</v>
      </c>
      <c r="AO286" s="13" t="s">
        <v>615</v>
      </c>
      <c r="AP286" s="187">
        <v>0</v>
      </c>
      <c r="AQ286" s="187">
        <v>0</v>
      </c>
      <c r="AR286" s="190">
        <v>0</v>
      </c>
      <c r="AS286" s="190">
        <v>0</v>
      </c>
      <c r="AT286" s="190">
        <v>0</v>
      </c>
      <c r="AU286" s="187">
        <v>0</v>
      </c>
      <c r="AV286" s="187">
        <v>0</v>
      </c>
      <c r="AW286" s="191"/>
      <c r="AX286" s="192"/>
      <c r="AY286" s="193"/>
      <c r="AZ286" s="193"/>
      <c r="BA286" s="193"/>
      <c r="BB286" s="194"/>
      <c r="BC286" s="194"/>
      <c r="BD286" s="195"/>
      <c r="BE286" s="195" t="s">
        <v>532</v>
      </c>
      <c r="BF286" s="195"/>
      <c r="BG286" s="195"/>
      <c r="BH286" s="196" t="s">
        <v>547</v>
      </c>
      <c r="BI286" s="197">
        <v>1</v>
      </c>
      <c r="BJ286" s="198"/>
      <c r="BK286" s="199">
        <v>0</v>
      </c>
      <c r="BL286" s="13">
        <v>0</v>
      </c>
      <c r="BM286" s="13">
        <v>0</v>
      </c>
      <c r="BN286" s="13" t="s">
        <v>616</v>
      </c>
      <c r="BO286" s="13" t="s">
        <v>616</v>
      </c>
      <c r="BP286" s="200">
        <v>0</v>
      </c>
      <c r="BQ286" s="201"/>
      <c r="BR286" s="202"/>
      <c r="BS286" s="187">
        <v>1000000000</v>
      </c>
      <c r="BT286" s="203">
        <v>0</v>
      </c>
      <c r="BU286" s="204">
        <v>0</v>
      </c>
      <c r="BV286" s="203">
        <v>0</v>
      </c>
      <c r="BW286" s="205">
        <v>0</v>
      </c>
      <c r="BX286" s="205">
        <v>0</v>
      </c>
      <c r="BY286" s="205">
        <v>0</v>
      </c>
      <c r="BZ286" s="203">
        <v>0</v>
      </c>
      <c r="CA286" s="203">
        <v>0</v>
      </c>
      <c r="CB286" s="203">
        <v>0</v>
      </c>
      <c r="CC286" s="204">
        <v>0</v>
      </c>
      <c r="CD286" s="203">
        <v>0</v>
      </c>
      <c r="CE286" s="203">
        <v>0</v>
      </c>
      <c r="CF286" s="13">
        <v>0</v>
      </c>
      <c r="CG286" s="206">
        <v>0</v>
      </c>
      <c r="CH286" s="207">
        <v>0</v>
      </c>
      <c r="CI286" s="201"/>
      <c r="CJ286" s="208"/>
      <c r="CK286" s="209" t="s">
        <v>615</v>
      </c>
      <c r="CL286" s="210" t="s">
        <v>615</v>
      </c>
      <c r="CM286" s="207">
        <v>0</v>
      </c>
      <c r="CN286" s="207">
        <v>0</v>
      </c>
      <c r="CO286" s="204">
        <v>0</v>
      </c>
      <c r="CP286" s="204">
        <v>0</v>
      </c>
      <c r="CQ286" s="211"/>
      <c r="CR286" s="204">
        <v>1</v>
      </c>
      <c r="CS286" s="212">
        <v>0</v>
      </c>
      <c r="CT286" s="212">
        <v>42780</v>
      </c>
      <c r="CU286" s="213">
        <v>42780</v>
      </c>
      <c r="CV286" s="214">
        <v>42829</v>
      </c>
      <c r="CW286" s="214" t="s">
        <v>615</v>
      </c>
      <c r="CX286" s="214" t="s">
        <v>615</v>
      </c>
      <c r="CY286" s="204">
        <v>1</v>
      </c>
      <c r="CZ286" s="204">
        <v>0.14285714285714285</v>
      </c>
      <c r="DA286" s="203">
        <v>0</v>
      </c>
      <c r="DB286" s="204">
        <v>0.14285714285714285</v>
      </c>
      <c r="DC286" s="204">
        <v>0</v>
      </c>
      <c r="DD286" s="204">
        <v>0</v>
      </c>
      <c r="DE286" s="204">
        <v>0</v>
      </c>
      <c r="DF286" s="215">
        <v>0</v>
      </c>
      <c r="DG286" s="13" t="s">
        <v>615</v>
      </c>
      <c r="DH286" s="86">
        <v>284</v>
      </c>
      <c r="DI286" s="86"/>
      <c r="DJ286" s="86" t="e">
        <v>#N/A</v>
      </c>
      <c r="DK286" s="86" t="s">
        <v>1729</v>
      </c>
      <c r="DL286" s="86" t="e">
        <v>#N/A</v>
      </c>
      <c r="DM286" s="86" t="e">
        <v>#N/A</v>
      </c>
      <c r="DN286" s="86" t="e">
        <v>#N/A</v>
      </c>
      <c r="DO286" s="86" t="e">
        <v>#N/A</v>
      </c>
      <c r="DP286" s="86">
        <v>5</v>
      </c>
      <c r="DQ286" s="86">
        <v>49</v>
      </c>
      <c r="DR286" s="216"/>
      <c r="DS286" s="152"/>
      <c r="DT286" s="216"/>
      <c r="DU286" s="216"/>
      <c r="DV286" s="216"/>
      <c r="DW286" s="216"/>
      <c r="DX286" s="216"/>
      <c r="DY286" s="152"/>
      <c r="DZ286" s="216"/>
      <c r="EA286" s="216"/>
      <c r="EB286" s="216"/>
      <c r="EC286" s="216"/>
      <c r="ED286" s="216"/>
      <c r="EE286" s="216"/>
      <c r="EF286" s="223"/>
      <c r="EG286" s="223"/>
      <c r="EH286" s="216"/>
      <c r="EI286" s="216"/>
      <c r="EJ286" s="216"/>
      <c r="EK286" s="216"/>
      <c r="EL286" s="216"/>
      <c r="EM286" s="223"/>
      <c r="EN286" s="216"/>
      <c r="EO286" s="216"/>
      <c r="EP286" s="216"/>
      <c r="EQ286" s="216"/>
      <c r="ER286" s="223"/>
      <c r="ES286" s="223"/>
      <c r="ET286" s="216"/>
      <c r="EU286" s="216"/>
      <c r="EV286" s="216"/>
      <c r="EW286" s="216"/>
      <c r="EX286" s="216"/>
      <c r="EY286" s="223"/>
      <c r="EZ286" s="216"/>
      <c r="FA286" s="216"/>
      <c r="FB286" s="216"/>
      <c r="FC286" s="216"/>
      <c r="FD286" s="216"/>
      <c r="FE286" s="223"/>
      <c r="FF286" s="216"/>
      <c r="FG286" s="216"/>
      <c r="FH286" s="216"/>
      <c r="FI286" s="223"/>
      <c r="FJ286" s="223"/>
      <c r="FK286" s="216"/>
      <c r="FL286" s="216"/>
      <c r="FM286" s="223"/>
      <c r="FN286" s="223"/>
      <c r="FO286" s="223"/>
      <c r="FP286" s="223"/>
      <c r="FQ286" s="223"/>
      <c r="FR286" s="223"/>
      <c r="FS286" s="223"/>
      <c r="FT286" s="223"/>
      <c r="FU286" s="223"/>
      <c r="FV286" s="223"/>
      <c r="FW286" s="223"/>
      <c r="FX286" s="223"/>
      <c r="FY286" s="223"/>
      <c r="FZ286" s="223"/>
      <c r="GA286" s="223"/>
      <c r="GB286" s="223"/>
      <c r="GC286" s="223"/>
      <c r="GD286" s="223"/>
      <c r="GE286" s="223"/>
      <c r="GF286" s="223"/>
      <c r="GG286" s="223"/>
      <c r="GH286" s="223"/>
      <c r="GI286" s="223"/>
      <c r="GJ286" s="223"/>
      <c r="GK286" s="223"/>
      <c r="GL286" s="223"/>
      <c r="GM286" s="223"/>
      <c r="GN286" s="223"/>
      <c r="GO286" s="223"/>
      <c r="GP286" s="223"/>
      <c r="GQ286" s="223"/>
      <c r="GR286" s="223"/>
      <c r="GS286" s="223"/>
      <c r="GT286" s="223"/>
      <c r="GU286" s="223"/>
      <c r="GV286" s="223"/>
      <c r="GW286" s="223"/>
      <c r="GX286" s="223"/>
      <c r="GY286" s="223"/>
      <c r="GZ286" s="223"/>
      <c r="HA286" s="223"/>
      <c r="HB286" s="223"/>
      <c r="HC286" s="216"/>
      <c r="HD286" s="216"/>
      <c r="HE286" s="225"/>
      <c r="HF286" s="225"/>
      <c r="HG286" s="216"/>
      <c r="HH286" s="216"/>
      <c r="HI286" s="216"/>
      <c r="HJ286" s="216"/>
      <c r="HK286" s="216"/>
      <c r="HL286" s="225"/>
      <c r="HM286" s="225"/>
      <c r="HN286" s="216"/>
      <c r="HO286" s="152">
        <v>0</v>
      </c>
      <c r="HP286" s="152">
        <v>0</v>
      </c>
      <c r="HQ286" s="152">
        <v>0</v>
      </c>
      <c r="HR286" s="152">
        <v>0</v>
      </c>
      <c r="HS286" s="152">
        <v>0</v>
      </c>
      <c r="HT286" s="152">
        <v>0</v>
      </c>
      <c r="HU286" s="216"/>
      <c r="HV286" s="152">
        <v>0</v>
      </c>
      <c r="HW286" s="216"/>
      <c r="HX286" s="216"/>
      <c r="HY286" s="216"/>
      <c r="HZ286" s="216"/>
      <c r="IA286" s="216"/>
      <c r="IB286" s="216"/>
      <c r="IC286" s="216"/>
      <c r="ID286" s="216"/>
      <c r="IE286" s="216"/>
      <c r="IF286" s="216"/>
      <c r="IG286" s="216"/>
      <c r="IH286" s="216"/>
      <c r="II286" s="216"/>
      <c r="IJ286" s="216"/>
      <c r="IK286" s="216"/>
      <c r="IL286" s="216"/>
      <c r="IM286" s="216"/>
      <c r="IN286" s="216"/>
      <c r="IO286" s="216"/>
      <c r="IP286" s="216"/>
      <c r="IQ286" s="216"/>
      <c r="IR286" s="216"/>
      <c r="IS286" s="216"/>
      <c r="IT286" s="216"/>
      <c r="IU286" s="216"/>
      <c r="IV286" s="216"/>
      <c r="IW286" s="216"/>
      <c r="IX286" s="216"/>
      <c r="IY286" s="216"/>
      <c r="IZ286" s="216"/>
      <c r="JA286" s="216"/>
      <c r="JB286" s="216"/>
      <c r="JC286" s="216"/>
      <c r="JD286" s="216"/>
      <c r="JE286" s="216"/>
      <c r="JF286" s="216"/>
      <c r="JG286" s="216"/>
      <c r="JH286" s="216"/>
      <c r="JI286" s="216"/>
      <c r="JJ286" s="216"/>
      <c r="JK286" s="216"/>
      <c r="JL286" s="216"/>
      <c r="JM286" s="216"/>
      <c r="JN286" s="216"/>
      <c r="JO286" s="216"/>
      <c r="JP286" s="216"/>
      <c r="JQ286" s="216"/>
      <c r="JR286" s="216"/>
      <c r="JS286" s="216"/>
      <c r="JT286" s="216"/>
      <c r="JU286" s="216"/>
      <c r="JV286" s="216"/>
      <c r="JW286" s="216"/>
      <c r="JX286" s="216"/>
      <c r="JY286" s="216"/>
      <c r="JZ286" s="216"/>
      <c r="KA286" s="216"/>
      <c r="KB286" s="216"/>
      <c r="KC286" s="216"/>
      <c r="KD286" s="216"/>
      <c r="KE286" s="216"/>
      <c r="KF286" s="216"/>
      <c r="KG286" s="216"/>
      <c r="KH286" s="216"/>
      <c r="KI286" s="216"/>
      <c r="KJ286" s="216"/>
      <c r="KK286" s="216"/>
      <c r="KL286" s="216"/>
      <c r="KM286" s="216"/>
      <c r="KN286" s="216"/>
      <c r="KO286" s="216"/>
      <c r="KP286" s="216"/>
      <c r="KQ286" s="216"/>
      <c r="KR286" s="216"/>
      <c r="KS286" s="216"/>
      <c r="KT286" s="216"/>
      <c r="KU286" s="216"/>
      <c r="KV286" s="216"/>
      <c r="KW286" s="216"/>
      <c r="KX286" s="216"/>
      <c r="KY286" s="216"/>
      <c r="KZ286" s="216"/>
      <c r="LA286" s="216"/>
      <c r="LB286" s="216"/>
      <c r="LC286" s="216"/>
      <c r="LD286" s="216"/>
      <c r="LE286" s="216"/>
    </row>
    <row r="287" spans="1:317" x14ac:dyDescent="0.2">
      <c r="A287" s="179" t="s">
        <v>849</v>
      </c>
      <c r="B287" s="180" t="s">
        <v>1186</v>
      </c>
      <c r="C287" s="181"/>
      <c r="D287" s="182" t="s">
        <v>615</v>
      </c>
      <c r="E287" s="182" t="s">
        <v>615</v>
      </c>
      <c r="F287" s="183" t="s">
        <v>615</v>
      </c>
      <c r="G287" s="183" t="s">
        <v>615</v>
      </c>
      <c r="H287" s="183" t="s">
        <v>615</v>
      </c>
      <c r="I287" s="183" t="s">
        <v>615</v>
      </c>
      <c r="J287" s="183" t="s">
        <v>615</v>
      </c>
      <c r="K287" s="183" t="s">
        <v>615</v>
      </c>
      <c r="L287" s="183" t="s">
        <v>615</v>
      </c>
      <c r="M287" s="183" t="s">
        <v>615</v>
      </c>
      <c r="N287" s="183" t="s">
        <v>615</v>
      </c>
      <c r="O287" s="183" t="s">
        <v>615</v>
      </c>
      <c r="P287" s="183" t="s">
        <v>615</v>
      </c>
      <c r="Q287" s="183"/>
      <c r="R287" s="183"/>
      <c r="S287" s="183"/>
      <c r="T287" s="183"/>
      <c r="U287" s="183"/>
      <c r="V287" s="183" t="s">
        <v>615</v>
      </c>
      <c r="W287" s="183" t="s">
        <v>615</v>
      </c>
      <c r="X287" s="183" t="s">
        <v>615</v>
      </c>
      <c r="Y287" s="184">
        <v>0</v>
      </c>
      <c r="Z287" s="184">
        <v>0</v>
      </c>
      <c r="AA287" s="184">
        <v>0</v>
      </c>
      <c r="AB287" s="185" t="s">
        <v>615</v>
      </c>
      <c r="AC287" s="185" t="s">
        <v>615</v>
      </c>
      <c r="AD287" s="186" t="s">
        <v>881</v>
      </c>
      <c r="AE287" s="186" t="s">
        <v>858</v>
      </c>
      <c r="AF287" s="187">
        <v>7</v>
      </c>
      <c r="AG287" s="187">
        <v>3</v>
      </c>
      <c r="AH287" s="187">
        <v>4</v>
      </c>
      <c r="AI287" s="188">
        <v>1</v>
      </c>
      <c r="AJ287" s="188" t="s">
        <v>615</v>
      </c>
      <c r="AK287" s="187" t="s">
        <v>1723</v>
      </c>
      <c r="AL287" s="87" t="s">
        <v>615</v>
      </c>
      <c r="AM287" s="189"/>
      <c r="AN287" s="187" t="s">
        <v>615</v>
      </c>
      <c r="AO287" s="13" t="s">
        <v>615</v>
      </c>
      <c r="AP287" s="187">
        <v>0</v>
      </c>
      <c r="AQ287" s="187">
        <v>0</v>
      </c>
      <c r="AR287" s="190">
        <v>0</v>
      </c>
      <c r="AS287" s="190">
        <v>0</v>
      </c>
      <c r="AT287" s="190">
        <v>0</v>
      </c>
      <c r="AU287" s="187">
        <v>0</v>
      </c>
      <c r="AV287" s="187">
        <v>0</v>
      </c>
      <c r="AW287" s="191"/>
      <c r="AX287" s="192"/>
      <c r="AY287" s="193"/>
      <c r="AZ287" s="193"/>
      <c r="BA287" s="193"/>
      <c r="BB287" s="194"/>
      <c r="BC287" s="194"/>
      <c r="BD287" s="195"/>
      <c r="BE287" s="195" t="s">
        <v>532</v>
      </c>
      <c r="BF287" s="195"/>
      <c r="BG287" s="195"/>
      <c r="BH287" s="196" t="s">
        <v>547</v>
      </c>
      <c r="BI287" s="197">
        <v>1</v>
      </c>
      <c r="BJ287" s="198"/>
      <c r="BK287" s="199">
        <v>0</v>
      </c>
      <c r="BL287" s="13">
        <v>0</v>
      </c>
      <c r="BM287" s="13">
        <v>0</v>
      </c>
      <c r="BN287" s="13" t="s">
        <v>616</v>
      </c>
      <c r="BO287" s="13" t="s">
        <v>616</v>
      </c>
      <c r="BP287" s="200">
        <v>0</v>
      </c>
      <c r="BQ287" s="201"/>
      <c r="BR287" s="202"/>
      <c r="BS287" s="187">
        <v>1000000000</v>
      </c>
      <c r="BT287" s="203">
        <v>0</v>
      </c>
      <c r="BU287" s="204">
        <v>0</v>
      </c>
      <c r="BV287" s="203">
        <v>0</v>
      </c>
      <c r="BW287" s="205">
        <v>0</v>
      </c>
      <c r="BX287" s="205">
        <v>0</v>
      </c>
      <c r="BY287" s="205">
        <v>0</v>
      </c>
      <c r="BZ287" s="203">
        <v>0</v>
      </c>
      <c r="CA287" s="203">
        <v>0</v>
      </c>
      <c r="CB287" s="203">
        <v>0</v>
      </c>
      <c r="CC287" s="204">
        <v>0</v>
      </c>
      <c r="CD287" s="203">
        <v>0</v>
      </c>
      <c r="CE287" s="203">
        <v>0</v>
      </c>
      <c r="CF287" s="13">
        <v>0</v>
      </c>
      <c r="CG287" s="206">
        <v>0</v>
      </c>
      <c r="CH287" s="207">
        <v>0</v>
      </c>
      <c r="CI287" s="201"/>
      <c r="CJ287" s="208"/>
      <c r="CK287" s="209" t="s">
        <v>615</v>
      </c>
      <c r="CL287" s="210" t="s">
        <v>615</v>
      </c>
      <c r="CM287" s="207">
        <v>0</v>
      </c>
      <c r="CN287" s="207">
        <v>0</v>
      </c>
      <c r="CO287" s="204">
        <v>0</v>
      </c>
      <c r="CP287" s="204">
        <v>0</v>
      </c>
      <c r="CQ287" s="211"/>
      <c r="CR287" s="204">
        <v>1</v>
      </c>
      <c r="CS287" s="212">
        <v>0</v>
      </c>
      <c r="CT287" s="212">
        <v>42780</v>
      </c>
      <c r="CU287" s="213">
        <v>42780</v>
      </c>
      <c r="CV287" s="214">
        <v>42829</v>
      </c>
      <c r="CW287" s="214" t="s">
        <v>615</v>
      </c>
      <c r="CX287" s="214" t="s">
        <v>615</v>
      </c>
      <c r="CY287" s="204">
        <v>1</v>
      </c>
      <c r="CZ287" s="204">
        <v>0.14285714285714285</v>
      </c>
      <c r="DA287" s="203">
        <v>0</v>
      </c>
      <c r="DB287" s="204">
        <v>0.14285714285714285</v>
      </c>
      <c r="DC287" s="204">
        <v>0</v>
      </c>
      <c r="DD287" s="204">
        <v>0</v>
      </c>
      <c r="DE287" s="204">
        <v>0</v>
      </c>
      <c r="DF287" s="215">
        <v>0</v>
      </c>
      <c r="DG287" s="13" t="s">
        <v>615</v>
      </c>
      <c r="DH287" s="86">
        <v>285</v>
      </c>
      <c r="DI287" s="86"/>
      <c r="DJ287" s="86" t="e">
        <v>#N/A</v>
      </c>
      <c r="DK287" s="86" t="s">
        <v>1730</v>
      </c>
      <c r="DL287" s="86" t="e">
        <v>#N/A</v>
      </c>
      <c r="DM287" s="86" t="e">
        <v>#N/A</v>
      </c>
      <c r="DN287" s="86" t="e">
        <v>#N/A</v>
      </c>
      <c r="DO287" s="86" t="e">
        <v>#N/A</v>
      </c>
      <c r="DP287" s="86">
        <v>5</v>
      </c>
      <c r="DQ287" s="86">
        <v>49</v>
      </c>
      <c r="DR287" s="151"/>
      <c r="DS287" s="152"/>
      <c r="DT287" s="151"/>
      <c r="DU287" s="151"/>
      <c r="DV287" s="151"/>
      <c r="DW287" s="151"/>
      <c r="DX287" s="151"/>
      <c r="DY287" s="152"/>
      <c r="DZ287" s="151"/>
      <c r="EA287" s="151"/>
      <c r="EB287" s="151"/>
      <c r="EC287" s="151"/>
      <c r="ED287" s="151"/>
      <c r="EE287" s="151"/>
      <c r="EF287" s="224"/>
      <c r="EG287" s="224"/>
      <c r="EH287" s="151"/>
      <c r="EI287" s="151"/>
      <c r="EJ287" s="151"/>
      <c r="EK287" s="151"/>
      <c r="EL287" s="151"/>
      <c r="EM287" s="224"/>
      <c r="EN287" s="151"/>
      <c r="EO287" s="151"/>
      <c r="EP287" s="151"/>
      <c r="EQ287" s="151"/>
      <c r="ER287" s="224"/>
      <c r="ES287" s="224"/>
      <c r="ET287" s="151"/>
      <c r="EU287" s="151"/>
      <c r="EV287" s="151"/>
      <c r="EW287" s="151"/>
      <c r="EX287" s="151"/>
      <c r="EY287" s="224"/>
      <c r="EZ287" s="151"/>
      <c r="FA287" s="151"/>
      <c r="FB287" s="151"/>
      <c r="FC287" s="151"/>
      <c r="FD287" s="151"/>
      <c r="FE287" s="224"/>
      <c r="FF287" s="151"/>
      <c r="FG287" s="151"/>
      <c r="FH287" s="151"/>
      <c r="FI287" s="224"/>
      <c r="FJ287" s="224"/>
      <c r="FK287" s="151"/>
      <c r="FL287" s="151"/>
      <c r="FM287" s="224"/>
      <c r="FN287" s="224"/>
      <c r="FO287" s="224"/>
      <c r="FP287" s="224"/>
      <c r="FQ287" s="224"/>
      <c r="FR287" s="224"/>
      <c r="FS287" s="224"/>
      <c r="FT287" s="224"/>
      <c r="FU287" s="224"/>
      <c r="FV287" s="224"/>
      <c r="FW287" s="224"/>
      <c r="FX287" s="224"/>
      <c r="FY287" s="224"/>
      <c r="FZ287" s="224"/>
      <c r="GA287" s="224"/>
      <c r="GB287" s="224"/>
      <c r="GC287" s="224"/>
      <c r="GD287" s="224"/>
      <c r="GE287" s="224"/>
      <c r="GF287" s="224"/>
      <c r="GG287" s="224"/>
      <c r="GH287" s="224"/>
      <c r="GI287" s="224"/>
      <c r="GJ287" s="224"/>
      <c r="GK287" s="224"/>
      <c r="GL287" s="224"/>
      <c r="GM287" s="224"/>
      <c r="GN287" s="224"/>
      <c r="GO287" s="224"/>
      <c r="GP287" s="224"/>
      <c r="GQ287" s="224"/>
      <c r="GR287" s="224"/>
      <c r="GS287" s="224"/>
      <c r="GT287" s="224"/>
      <c r="GU287" s="224"/>
      <c r="GV287" s="224"/>
      <c r="GW287" s="224"/>
      <c r="GX287" s="224"/>
      <c r="GY287" s="224"/>
      <c r="GZ287" s="224"/>
      <c r="HA287" s="224"/>
      <c r="HB287" s="224"/>
      <c r="HC287" s="151"/>
      <c r="HD287" s="151"/>
      <c r="HE287" s="226"/>
      <c r="HF287" s="226"/>
      <c r="HG287" s="151"/>
      <c r="HH287" s="151"/>
      <c r="HI287" s="151"/>
      <c r="HJ287" s="151"/>
      <c r="HK287" s="151"/>
      <c r="HL287" s="226"/>
      <c r="HM287" s="226"/>
      <c r="HN287" s="151"/>
      <c r="HO287" s="152">
        <v>0</v>
      </c>
      <c r="HP287" s="152">
        <v>0</v>
      </c>
      <c r="HQ287" s="152">
        <v>0</v>
      </c>
      <c r="HR287" s="152">
        <v>0</v>
      </c>
      <c r="HS287" s="152">
        <v>0</v>
      </c>
      <c r="HT287" s="152">
        <v>0</v>
      </c>
      <c r="HU287" s="151"/>
      <c r="HV287" s="146">
        <v>0</v>
      </c>
      <c r="HW287" s="151"/>
      <c r="HX287" s="151"/>
      <c r="HY287" s="151"/>
      <c r="HZ287" s="151"/>
      <c r="IA287" s="151"/>
      <c r="IB287" s="151"/>
      <c r="IC287" s="151"/>
      <c r="ID287" s="151"/>
      <c r="IE287" s="151"/>
      <c r="IF287" s="151"/>
      <c r="IG287" s="151"/>
      <c r="IH287" s="151"/>
      <c r="II287" s="151"/>
      <c r="IJ287" s="151"/>
      <c r="IK287" s="151"/>
      <c r="IL287" s="151"/>
      <c r="IM287" s="151"/>
      <c r="IN287" s="151"/>
      <c r="IO287" s="151"/>
      <c r="IP287" s="151"/>
      <c r="IQ287" s="151"/>
      <c r="IR287" s="151"/>
      <c r="IS287" s="151"/>
      <c r="IT287" s="151"/>
      <c r="IU287" s="151"/>
      <c r="IV287" s="151"/>
      <c r="IW287" s="151"/>
      <c r="IX287" s="151"/>
      <c r="IY287" s="151"/>
      <c r="IZ287" s="151"/>
      <c r="JA287" s="151"/>
      <c r="JB287" s="151"/>
      <c r="JC287" s="151"/>
      <c r="JD287" s="151"/>
      <c r="JE287" s="151"/>
      <c r="JF287" s="151"/>
      <c r="JG287" s="151"/>
      <c r="JH287" s="151"/>
      <c r="JI287" s="151"/>
      <c r="JJ287" s="151"/>
      <c r="JK287" s="151"/>
      <c r="JL287" s="151"/>
      <c r="JM287" s="151"/>
      <c r="JN287" s="151"/>
      <c r="JO287" s="151"/>
      <c r="JP287" s="151"/>
      <c r="JQ287" s="151"/>
      <c r="JR287" s="151"/>
      <c r="JS287" s="151"/>
      <c r="JT287" s="151"/>
      <c r="JU287" s="151"/>
      <c r="JV287" s="151"/>
      <c r="JW287" s="151"/>
      <c r="JX287" s="151"/>
      <c r="JY287" s="151"/>
      <c r="JZ287" s="151"/>
      <c r="KA287" s="151"/>
      <c r="KB287" s="151"/>
      <c r="KC287" s="151"/>
      <c r="KD287" s="151"/>
      <c r="KE287" s="151"/>
      <c r="KF287" s="151"/>
      <c r="KG287" s="151"/>
      <c r="KH287" s="151"/>
      <c r="KI287" s="151"/>
      <c r="KJ287" s="151"/>
      <c r="KK287" s="151"/>
      <c r="KL287" s="151"/>
      <c r="KM287" s="151"/>
      <c r="KN287" s="151"/>
      <c r="KO287" s="151"/>
      <c r="KP287" s="151"/>
      <c r="KQ287" s="151"/>
      <c r="KR287" s="151"/>
      <c r="KS287" s="151"/>
      <c r="KT287" s="151"/>
      <c r="KU287" s="151"/>
      <c r="KV287" s="151"/>
      <c r="KW287" s="151"/>
      <c r="KX287" s="151"/>
      <c r="KY287" s="151"/>
      <c r="KZ287" s="151"/>
      <c r="LA287" s="151"/>
      <c r="LB287" s="151"/>
      <c r="LC287" s="151"/>
      <c r="LD287" s="151"/>
      <c r="LE287" s="151"/>
    </row>
    <row r="288" spans="1:317" x14ac:dyDescent="0.2">
      <c r="A288" s="179" t="s">
        <v>849</v>
      </c>
      <c r="B288" s="180" t="s">
        <v>1187</v>
      </c>
      <c r="C288" s="181"/>
      <c r="D288" s="182" t="s">
        <v>615</v>
      </c>
      <c r="E288" s="182" t="s">
        <v>615</v>
      </c>
      <c r="F288" s="183" t="s">
        <v>615</v>
      </c>
      <c r="G288" s="183" t="s">
        <v>615</v>
      </c>
      <c r="H288" s="183" t="s">
        <v>615</v>
      </c>
      <c r="I288" s="183" t="s">
        <v>615</v>
      </c>
      <c r="J288" s="183" t="s">
        <v>615</v>
      </c>
      <c r="K288" s="183" t="s">
        <v>615</v>
      </c>
      <c r="L288" s="183" t="s">
        <v>615</v>
      </c>
      <c r="M288" s="183" t="s">
        <v>615</v>
      </c>
      <c r="N288" s="183" t="s">
        <v>615</v>
      </c>
      <c r="O288" s="183" t="s">
        <v>615</v>
      </c>
      <c r="P288" s="183" t="s">
        <v>615</v>
      </c>
      <c r="Q288" s="183"/>
      <c r="R288" s="183"/>
      <c r="S288" s="183"/>
      <c r="T288" s="183"/>
      <c r="U288" s="183"/>
      <c r="V288" s="183" t="s">
        <v>615</v>
      </c>
      <c r="W288" s="183" t="s">
        <v>615</v>
      </c>
      <c r="X288" s="183" t="s">
        <v>615</v>
      </c>
      <c r="Y288" s="184">
        <v>0</v>
      </c>
      <c r="Z288" s="184">
        <v>0</v>
      </c>
      <c r="AA288" s="184">
        <v>0</v>
      </c>
      <c r="AB288" s="185" t="s">
        <v>615</v>
      </c>
      <c r="AC288" s="185" t="s">
        <v>615</v>
      </c>
      <c r="AD288" s="186" t="s">
        <v>881</v>
      </c>
      <c r="AE288" s="186" t="s">
        <v>858</v>
      </c>
      <c r="AF288" s="187">
        <v>7</v>
      </c>
      <c r="AG288" s="187">
        <v>3</v>
      </c>
      <c r="AH288" s="187">
        <v>4</v>
      </c>
      <c r="AI288" s="188">
        <v>1</v>
      </c>
      <c r="AJ288" s="188" t="s">
        <v>615</v>
      </c>
      <c r="AK288" s="187" t="s">
        <v>1723</v>
      </c>
      <c r="AL288" s="87" t="s">
        <v>615</v>
      </c>
      <c r="AM288" s="189"/>
      <c r="AN288" s="187" t="s">
        <v>615</v>
      </c>
      <c r="AO288" s="13" t="s">
        <v>615</v>
      </c>
      <c r="AP288" s="187">
        <v>0</v>
      </c>
      <c r="AQ288" s="187">
        <v>0</v>
      </c>
      <c r="AR288" s="190">
        <v>0</v>
      </c>
      <c r="AS288" s="190">
        <v>0</v>
      </c>
      <c r="AT288" s="190">
        <v>0</v>
      </c>
      <c r="AU288" s="187">
        <v>0</v>
      </c>
      <c r="AV288" s="187">
        <v>0</v>
      </c>
      <c r="AW288" s="191"/>
      <c r="AX288" s="192"/>
      <c r="AY288" s="193"/>
      <c r="AZ288" s="193"/>
      <c r="BA288" s="193"/>
      <c r="BB288" s="194"/>
      <c r="BC288" s="194"/>
      <c r="BD288" s="195"/>
      <c r="BE288" s="195" t="s">
        <v>532</v>
      </c>
      <c r="BF288" s="195"/>
      <c r="BG288" s="195"/>
      <c r="BH288" s="196" t="s">
        <v>547</v>
      </c>
      <c r="BI288" s="197">
        <v>1</v>
      </c>
      <c r="BJ288" s="198"/>
      <c r="BK288" s="199">
        <v>0</v>
      </c>
      <c r="BL288" s="13">
        <v>0</v>
      </c>
      <c r="BM288" s="13">
        <v>0</v>
      </c>
      <c r="BN288" s="13" t="s">
        <v>616</v>
      </c>
      <c r="BO288" s="13" t="s">
        <v>616</v>
      </c>
      <c r="BP288" s="200">
        <v>0</v>
      </c>
      <c r="BQ288" s="201"/>
      <c r="BR288" s="202"/>
      <c r="BS288" s="187">
        <v>1000000000</v>
      </c>
      <c r="BT288" s="203">
        <v>0</v>
      </c>
      <c r="BU288" s="204">
        <v>0</v>
      </c>
      <c r="BV288" s="203">
        <v>0</v>
      </c>
      <c r="BW288" s="205">
        <v>0</v>
      </c>
      <c r="BX288" s="205">
        <v>0</v>
      </c>
      <c r="BY288" s="205">
        <v>0</v>
      </c>
      <c r="BZ288" s="203">
        <v>0</v>
      </c>
      <c r="CA288" s="203">
        <v>0</v>
      </c>
      <c r="CB288" s="203">
        <v>0</v>
      </c>
      <c r="CC288" s="204">
        <v>0</v>
      </c>
      <c r="CD288" s="203">
        <v>0</v>
      </c>
      <c r="CE288" s="203">
        <v>0</v>
      </c>
      <c r="CF288" s="13">
        <v>0</v>
      </c>
      <c r="CG288" s="206">
        <v>0</v>
      </c>
      <c r="CH288" s="207">
        <v>0</v>
      </c>
      <c r="CI288" s="201"/>
      <c r="CJ288" s="208"/>
      <c r="CK288" s="209" t="s">
        <v>615</v>
      </c>
      <c r="CL288" s="210" t="s">
        <v>615</v>
      </c>
      <c r="CM288" s="207">
        <v>0</v>
      </c>
      <c r="CN288" s="207">
        <v>0</v>
      </c>
      <c r="CO288" s="204">
        <v>0</v>
      </c>
      <c r="CP288" s="204">
        <v>0</v>
      </c>
      <c r="CQ288" s="211"/>
      <c r="CR288" s="204">
        <v>1</v>
      </c>
      <c r="CS288" s="212">
        <v>0</v>
      </c>
      <c r="CT288" s="212">
        <v>42780</v>
      </c>
      <c r="CU288" s="213">
        <v>42780</v>
      </c>
      <c r="CV288" s="214">
        <v>42829</v>
      </c>
      <c r="CW288" s="214" t="s">
        <v>615</v>
      </c>
      <c r="CX288" s="214" t="s">
        <v>615</v>
      </c>
      <c r="CY288" s="204">
        <v>1</v>
      </c>
      <c r="CZ288" s="204">
        <v>0.14285714285714285</v>
      </c>
      <c r="DA288" s="203">
        <v>0</v>
      </c>
      <c r="DB288" s="204">
        <v>0.14285714285714285</v>
      </c>
      <c r="DC288" s="204">
        <v>0</v>
      </c>
      <c r="DD288" s="204">
        <v>0</v>
      </c>
      <c r="DE288" s="204">
        <v>0</v>
      </c>
      <c r="DF288" s="215">
        <v>0</v>
      </c>
      <c r="DG288" s="13" t="s">
        <v>615</v>
      </c>
      <c r="DH288" s="86">
        <v>286</v>
      </c>
      <c r="DI288" s="86"/>
      <c r="DJ288" s="86" t="e">
        <v>#N/A</v>
      </c>
      <c r="DK288" s="86" t="s">
        <v>1731</v>
      </c>
      <c r="DL288" s="86" t="e">
        <v>#N/A</v>
      </c>
      <c r="DM288" s="86" t="e">
        <v>#N/A</v>
      </c>
      <c r="DN288" s="86" t="e">
        <v>#N/A</v>
      </c>
      <c r="DO288" s="86" t="e">
        <v>#N/A</v>
      </c>
      <c r="DP288" s="86">
        <v>5</v>
      </c>
      <c r="DQ288" s="86">
        <v>49</v>
      </c>
      <c r="DR288" s="216"/>
      <c r="DS288" s="152"/>
      <c r="DT288" s="216"/>
      <c r="DU288" s="216"/>
      <c r="DV288" s="216"/>
      <c r="DW288" s="216"/>
      <c r="DX288" s="216"/>
      <c r="DY288" s="152"/>
      <c r="DZ288" s="216"/>
      <c r="EA288" s="216"/>
      <c r="EB288" s="216"/>
      <c r="EC288" s="216"/>
      <c r="ED288" s="216"/>
      <c r="EE288" s="216"/>
      <c r="EF288" s="223"/>
      <c r="EG288" s="223"/>
      <c r="EH288" s="216"/>
      <c r="EI288" s="216"/>
      <c r="EJ288" s="216"/>
      <c r="EK288" s="216"/>
      <c r="EL288" s="216"/>
      <c r="EM288" s="223"/>
      <c r="EN288" s="216"/>
      <c r="EO288" s="216"/>
      <c r="EP288" s="216"/>
      <c r="EQ288" s="216"/>
      <c r="ER288" s="223"/>
      <c r="ES288" s="223"/>
      <c r="ET288" s="216"/>
      <c r="EU288" s="216"/>
      <c r="EV288" s="216"/>
      <c r="EW288" s="216"/>
      <c r="EX288" s="216"/>
      <c r="EY288" s="223"/>
      <c r="EZ288" s="216"/>
      <c r="FA288" s="216"/>
      <c r="FB288" s="216"/>
      <c r="FC288" s="216"/>
      <c r="FD288" s="216"/>
      <c r="FE288" s="223"/>
      <c r="FF288" s="216"/>
      <c r="FG288" s="216"/>
      <c r="FH288" s="216"/>
      <c r="FI288" s="223"/>
      <c r="FJ288" s="223"/>
      <c r="FK288" s="216"/>
      <c r="FL288" s="216"/>
      <c r="FM288" s="223"/>
      <c r="FN288" s="223"/>
      <c r="FO288" s="223"/>
      <c r="FP288" s="223"/>
      <c r="FQ288" s="223"/>
      <c r="FR288" s="223"/>
      <c r="FS288" s="223"/>
      <c r="FT288" s="223"/>
      <c r="FU288" s="223"/>
      <c r="FV288" s="223"/>
      <c r="FW288" s="223"/>
      <c r="FX288" s="223"/>
      <c r="FY288" s="223"/>
      <c r="FZ288" s="223"/>
      <c r="GA288" s="223"/>
      <c r="GB288" s="223"/>
      <c r="GC288" s="223"/>
      <c r="GD288" s="223"/>
      <c r="GE288" s="223"/>
      <c r="GF288" s="223"/>
      <c r="GG288" s="223"/>
      <c r="GH288" s="223"/>
      <c r="GI288" s="223"/>
      <c r="GJ288" s="223"/>
      <c r="GK288" s="223"/>
      <c r="GL288" s="223"/>
      <c r="GM288" s="223"/>
      <c r="GN288" s="223"/>
      <c r="GO288" s="223"/>
      <c r="GP288" s="223"/>
      <c r="GQ288" s="223"/>
      <c r="GR288" s="223"/>
      <c r="GS288" s="223"/>
      <c r="GT288" s="223"/>
      <c r="GU288" s="223"/>
      <c r="GV288" s="223"/>
      <c r="GW288" s="223"/>
      <c r="GX288" s="223"/>
      <c r="GY288" s="223"/>
      <c r="GZ288" s="223"/>
      <c r="HA288" s="223"/>
      <c r="HB288" s="223"/>
      <c r="HC288" s="216"/>
      <c r="HD288" s="216"/>
      <c r="HE288" s="225"/>
      <c r="HF288" s="225"/>
      <c r="HG288" s="216"/>
      <c r="HH288" s="216"/>
      <c r="HI288" s="216"/>
      <c r="HJ288" s="216"/>
      <c r="HK288" s="216"/>
      <c r="HL288" s="225"/>
      <c r="HM288" s="225"/>
      <c r="HN288" s="216"/>
      <c r="HO288" s="152">
        <v>0</v>
      </c>
      <c r="HP288" s="152">
        <v>0</v>
      </c>
      <c r="HQ288" s="152">
        <v>0</v>
      </c>
      <c r="HR288" s="152">
        <v>0</v>
      </c>
      <c r="HS288" s="152">
        <v>0</v>
      </c>
      <c r="HT288" s="152">
        <v>0</v>
      </c>
      <c r="HU288" s="216"/>
      <c r="HV288" s="152">
        <v>0</v>
      </c>
      <c r="HW288" s="216"/>
      <c r="HX288" s="216"/>
      <c r="HY288" s="216"/>
      <c r="HZ288" s="216"/>
      <c r="IA288" s="216"/>
      <c r="IB288" s="216"/>
      <c r="IC288" s="216"/>
      <c r="ID288" s="216"/>
      <c r="IE288" s="216"/>
      <c r="IF288" s="216"/>
      <c r="IG288" s="216"/>
      <c r="IH288" s="216"/>
      <c r="II288" s="216"/>
      <c r="IJ288" s="216"/>
      <c r="IK288" s="216"/>
      <c r="IL288" s="216"/>
      <c r="IM288" s="216"/>
      <c r="IN288" s="216"/>
      <c r="IO288" s="216"/>
      <c r="IP288" s="216"/>
      <c r="IQ288" s="216"/>
      <c r="IR288" s="216"/>
      <c r="IS288" s="216"/>
      <c r="IT288" s="216"/>
      <c r="IU288" s="216"/>
      <c r="IV288" s="216"/>
      <c r="IW288" s="216"/>
      <c r="IX288" s="216"/>
      <c r="IY288" s="216"/>
      <c r="IZ288" s="216"/>
      <c r="JA288" s="216"/>
      <c r="JB288" s="216"/>
      <c r="JC288" s="216"/>
      <c r="JD288" s="216"/>
      <c r="JE288" s="216"/>
      <c r="JF288" s="216"/>
      <c r="JG288" s="216"/>
      <c r="JH288" s="216"/>
      <c r="JI288" s="216"/>
      <c r="JJ288" s="216"/>
      <c r="JK288" s="216"/>
      <c r="JL288" s="216"/>
      <c r="JM288" s="216"/>
      <c r="JN288" s="216"/>
      <c r="JO288" s="216"/>
      <c r="JP288" s="216"/>
      <c r="JQ288" s="216"/>
      <c r="JR288" s="216"/>
      <c r="JS288" s="216"/>
      <c r="JT288" s="216"/>
      <c r="JU288" s="216"/>
      <c r="JV288" s="216"/>
      <c r="JW288" s="216"/>
      <c r="JX288" s="216"/>
      <c r="JY288" s="216"/>
      <c r="JZ288" s="216"/>
      <c r="KA288" s="216"/>
      <c r="KB288" s="216"/>
      <c r="KC288" s="216"/>
      <c r="KD288" s="216"/>
      <c r="KE288" s="216"/>
      <c r="KF288" s="216"/>
      <c r="KG288" s="216"/>
      <c r="KH288" s="216"/>
      <c r="KI288" s="216"/>
      <c r="KJ288" s="216"/>
      <c r="KK288" s="216"/>
      <c r="KL288" s="216"/>
      <c r="KM288" s="216"/>
      <c r="KN288" s="216"/>
      <c r="KO288" s="216"/>
      <c r="KP288" s="216"/>
      <c r="KQ288" s="216"/>
      <c r="KR288" s="216"/>
      <c r="KS288" s="216"/>
      <c r="KT288" s="216"/>
      <c r="KU288" s="216"/>
      <c r="KV288" s="216"/>
      <c r="KW288" s="216"/>
      <c r="KX288" s="216"/>
      <c r="KY288" s="216"/>
      <c r="KZ288" s="216"/>
      <c r="LA288" s="216"/>
      <c r="LB288" s="216"/>
      <c r="LC288" s="216"/>
      <c r="LD288" s="216"/>
      <c r="LE288" s="216"/>
    </row>
    <row r="289" spans="1:317" x14ac:dyDescent="0.2">
      <c r="A289" s="179" t="s">
        <v>849</v>
      </c>
      <c r="B289" s="180" t="s">
        <v>1188</v>
      </c>
      <c r="C289" s="181"/>
      <c r="D289" s="182" t="s">
        <v>615</v>
      </c>
      <c r="E289" s="182" t="s">
        <v>615</v>
      </c>
      <c r="F289" s="183" t="s">
        <v>615</v>
      </c>
      <c r="G289" s="183" t="s">
        <v>615</v>
      </c>
      <c r="H289" s="183" t="s">
        <v>615</v>
      </c>
      <c r="I289" s="183" t="s">
        <v>615</v>
      </c>
      <c r="J289" s="183" t="s">
        <v>615</v>
      </c>
      <c r="K289" s="183" t="s">
        <v>615</v>
      </c>
      <c r="L289" s="183" t="s">
        <v>615</v>
      </c>
      <c r="M289" s="183" t="s">
        <v>615</v>
      </c>
      <c r="N289" s="183" t="s">
        <v>615</v>
      </c>
      <c r="O289" s="183" t="s">
        <v>615</v>
      </c>
      <c r="P289" s="183" t="s">
        <v>615</v>
      </c>
      <c r="Q289" s="183"/>
      <c r="R289" s="183"/>
      <c r="S289" s="183"/>
      <c r="T289" s="183"/>
      <c r="U289" s="183"/>
      <c r="V289" s="183" t="s">
        <v>615</v>
      </c>
      <c r="W289" s="183" t="s">
        <v>615</v>
      </c>
      <c r="X289" s="183" t="s">
        <v>615</v>
      </c>
      <c r="Y289" s="184">
        <v>0</v>
      </c>
      <c r="Z289" s="184">
        <v>0</v>
      </c>
      <c r="AA289" s="184">
        <v>0</v>
      </c>
      <c r="AB289" s="185" t="s">
        <v>615</v>
      </c>
      <c r="AC289" s="185" t="s">
        <v>615</v>
      </c>
      <c r="AD289" s="186" t="s">
        <v>881</v>
      </c>
      <c r="AE289" s="186" t="s">
        <v>858</v>
      </c>
      <c r="AF289" s="187">
        <v>7</v>
      </c>
      <c r="AG289" s="187">
        <v>3</v>
      </c>
      <c r="AH289" s="187">
        <v>4</v>
      </c>
      <c r="AI289" s="188">
        <v>1</v>
      </c>
      <c r="AJ289" s="188" t="s">
        <v>615</v>
      </c>
      <c r="AK289" s="187" t="s">
        <v>1723</v>
      </c>
      <c r="AL289" s="87" t="s">
        <v>615</v>
      </c>
      <c r="AM289" s="189"/>
      <c r="AN289" s="187" t="s">
        <v>615</v>
      </c>
      <c r="AO289" s="13" t="s">
        <v>615</v>
      </c>
      <c r="AP289" s="187">
        <v>0</v>
      </c>
      <c r="AQ289" s="187">
        <v>0</v>
      </c>
      <c r="AR289" s="190">
        <v>0</v>
      </c>
      <c r="AS289" s="190">
        <v>0</v>
      </c>
      <c r="AT289" s="190">
        <v>0</v>
      </c>
      <c r="AU289" s="187">
        <v>0</v>
      </c>
      <c r="AV289" s="187">
        <v>0</v>
      </c>
      <c r="AW289" s="191"/>
      <c r="AX289" s="192"/>
      <c r="AY289" s="193"/>
      <c r="AZ289" s="193"/>
      <c r="BA289" s="193"/>
      <c r="BB289" s="194"/>
      <c r="BC289" s="194"/>
      <c r="BD289" s="195"/>
      <c r="BE289" s="195" t="s">
        <v>532</v>
      </c>
      <c r="BF289" s="195"/>
      <c r="BG289" s="195"/>
      <c r="BH289" s="196" t="s">
        <v>547</v>
      </c>
      <c r="BI289" s="197">
        <v>1</v>
      </c>
      <c r="BJ289" s="198"/>
      <c r="BK289" s="199">
        <v>0</v>
      </c>
      <c r="BL289" s="13">
        <v>0</v>
      </c>
      <c r="BM289" s="13">
        <v>0</v>
      </c>
      <c r="BN289" s="13" t="s">
        <v>616</v>
      </c>
      <c r="BO289" s="13" t="s">
        <v>616</v>
      </c>
      <c r="BP289" s="200">
        <v>0</v>
      </c>
      <c r="BQ289" s="201"/>
      <c r="BR289" s="202"/>
      <c r="BS289" s="187">
        <v>1000000000</v>
      </c>
      <c r="BT289" s="203">
        <v>0</v>
      </c>
      <c r="BU289" s="204">
        <v>0</v>
      </c>
      <c r="BV289" s="203">
        <v>0</v>
      </c>
      <c r="BW289" s="205">
        <v>0</v>
      </c>
      <c r="BX289" s="205">
        <v>0</v>
      </c>
      <c r="BY289" s="205">
        <v>0</v>
      </c>
      <c r="BZ289" s="203">
        <v>0</v>
      </c>
      <c r="CA289" s="203">
        <v>0</v>
      </c>
      <c r="CB289" s="203">
        <v>0</v>
      </c>
      <c r="CC289" s="204">
        <v>0</v>
      </c>
      <c r="CD289" s="203">
        <v>0</v>
      </c>
      <c r="CE289" s="203">
        <v>0</v>
      </c>
      <c r="CF289" s="13">
        <v>0</v>
      </c>
      <c r="CG289" s="206">
        <v>0</v>
      </c>
      <c r="CH289" s="207">
        <v>0</v>
      </c>
      <c r="CI289" s="201"/>
      <c r="CJ289" s="208"/>
      <c r="CK289" s="209" t="s">
        <v>615</v>
      </c>
      <c r="CL289" s="210" t="s">
        <v>615</v>
      </c>
      <c r="CM289" s="207">
        <v>0</v>
      </c>
      <c r="CN289" s="207">
        <v>0</v>
      </c>
      <c r="CO289" s="204">
        <v>0</v>
      </c>
      <c r="CP289" s="204">
        <v>0</v>
      </c>
      <c r="CQ289" s="211"/>
      <c r="CR289" s="204">
        <v>1</v>
      </c>
      <c r="CS289" s="212">
        <v>0</v>
      </c>
      <c r="CT289" s="212">
        <v>42780</v>
      </c>
      <c r="CU289" s="213">
        <v>42780</v>
      </c>
      <c r="CV289" s="214">
        <v>42829</v>
      </c>
      <c r="CW289" s="214" t="s">
        <v>615</v>
      </c>
      <c r="CX289" s="214" t="s">
        <v>615</v>
      </c>
      <c r="CY289" s="204">
        <v>1</v>
      </c>
      <c r="CZ289" s="204">
        <v>0.14285714285714285</v>
      </c>
      <c r="DA289" s="203">
        <v>0</v>
      </c>
      <c r="DB289" s="204">
        <v>0.14285714285714285</v>
      </c>
      <c r="DC289" s="204">
        <v>0</v>
      </c>
      <c r="DD289" s="204">
        <v>0</v>
      </c>
      <c r="DE289" s="204">
        <v>0</v>
      </c>
      <c r="DF289" s="215">
        <v>0</v>
      </c>
      <c r="DG289" s="13" t="s">
        <v>615</v>
      </c>
      <c r="DH289" s="86">
        <v>287</v>
      </c>
      <c r="DI289" s="86"/>
      <c r="DJ289" s="86" t="e">
        <v>#N/A</v>
      </c>
      <c r="DK289" s="86" t="s">
        <v>1732</v>
      </c>
      <c r="DL289" s="86" t="e">
        <v>#N/A</v>
      </c>
      <c r="DM289" s="86" t="e">
        <v>#N/A</v>
      </c>
      <c r="DN289" s="86" t="e">
        <v>#N/A</v>
      </c>
      <c r="DO289" s="86" t="e">
        <v>#N/A</v>
      </c>
      <c r="DP289" s="86">
        <v>5</v>
      </c>
      <c r="DQ289" s="86">
        <v>49</v>
      </c>
      <c r="DR289" s="151"/>
      <c r="DS289" s="152"/>
      <c r="DT289" s="151"/>
      <c r="DU289" s="151"/>
      <c r="DV289" s="151"/>
      <c r="DW289" s="151"/>
      <c r="DX289" s="151"/>
      <c r="DY289" s="152"/>
      <c r="DZ289" s="151"/>
      <c r="EA289" s="151"/>
      <c r="EB289" s="151"/>
      <c r="EC289" s="151"/>
      <c r="ED289" s="151"/>
      <c r="EE289" s="151"/>
      <c r="EF289" s="224"/>
      <c r="EG289" s="224"/>
      <c r="EH289" s="151"/>
      <c r="EI289" s="151"/>
      <c r="EJ289" s="151"/>
      <c r="EK289" s="151"/>
      <c r="EL289" s="151"/>
      <c r="EM289" s="224"/>
      <c r="EN289" s="151"/>
      <c r="EO289" s="151"/>
      <c r="EP289" s="151"/>
      <c r="EQ289" s="151"/>
      <c r="ER289" s="224"/>
      <c r="ES289" s="224"/>
      <c r="ET289" s="151"/>
      <c r="EU289" s="151"/>
      <c r="EV289" s="151"/>
      <c r="EW289" s="151"/>
      <c r="EX289" s="151"/>
      <c r="EY289" s="224"/>
      <c r="EZ289" s="151"/>
      <c r="FA289" s="151"/>
      <c r="FB289" s="151"/>
      <c r="FC289" s="151"/>
      <c r="FD289" s="151"/>
      <c r="FE289" s="224"/>
      <c r="FF289" s="151"/>
      <c r="FG289" s="151"/>
      <c r="FH289" s="151"/>
      <c r="FI289" s="224"/>
      <c r="FJ289" s="224"/>
      <c r="FK289" s="151"/>
      <c r="FL289" s="151"/>
      <c r="FM289" s="224"/>
      <c r="FN289" s="224"/>
      <c r="FO289" s="224"/>
      <c r="FP289" s="224"/>
      <c r="FQ289" s="224"/>
      <c r="FR289" s="224"/>
      <c r="FS289" s="224"/>
      <c r="FT289" s="224"/>
      <c r="FU289" s="224"/>
      <c r="FV289" s="224"/>
      <c r="FW289" s="224"/>
      <c r="FX289" s="224"/>
      <c r="FY289" s="224"/>
      <c r="FZ289" s="224"/>
      <c r="GA289" s="224"/>
      <c r="GB289" s="224"/>
      <c r="GC289" s="224"/>
      <c r="GD289" s="224"/>
      <c r="GE289" s="224"/>
      <c r="GF289" s="224"/>
      <c r="GG289" s="224"/>
      <c r="GH289" s="224"/>
      <c r="GI289" s="224"/>
      <c r="GJ289" s="224"/>
      <c r="GK289" s="224"/>
      <c r="GL289" s="224"/>
      <c r="GM289" s="224"/>
      <c r="GN289" s="224"/>
      <c r="GO289" s="224"/>
      <c r="GP289" s="224"/>
      <c r="GQ289" s="224"/>
      <c r="GR289" s="224"/>
      <c r="GS289" s="224"/>
      <c r="GT289" s="224"/>
      <c r="GU289" s="224"/>
      <c r="GV289" s="224"/>
      <c r="GW289" s="224"/>
      <c r="GX289" s="224"/>
      <c r="GY289" s="224"/>
      <c r="GZ289" s="224"/>
      <c r="HA289" s="224"/>
      <c r="HB289" s="224"/>
      <c r="HC289" s="151"/>
      <c r="HD289" s="151"/>
      <c r="HE289" s="226"/>
      <c r="HF289" s="226"/>
      <c r="HG289" s="151"/>
      <c r="HH289" s="151"/>
      <c r="HI289" s="151"/>
      <c r="HJ289" s="151"/>
      <c r="HK289" s="151"/>
      <c r="HL289" s="226"/>
      <c r="HM289" s="226"/>
      <c r="HN289" s="151"/>
      <c r="HO289" s="152">
        <v>0</v>
      </c>
      <c r="HP289" s="152">
        <v>0</v>
      </c>
      <c r="HQ289" s="152">
        <v>0</v>
      </c>
      <c r="HR289" s="152">
        <v>0</v>
      </c>
      <c r="HS289" s="152">
        <v>0</v>
      </c>
      <c r="HT289" s="152">
        <v>0</v>
      </c>
      <c r="HU289" s="151"/>
      <c r="HV289" s="146">
        <v>0</v>
      </c>
      <c r="HW289" s="151"/>
      <c r="HX289" s="151"/>
      <c r="HY289" s="151"/>
      <c r="HZ289" s="151"/>
      <c r="IA289" s="151"/>
      <c r="IB289" s="151"/>
      <c r="IC289" s="151"/>
      <c r="ID289" s="151"/>
      <c r="IE289" s="151"/>
      <c r="IF289" s="151"/>
      <c r="IG289" s="151"/>
      <c r="IH289" s="151"/>
      <c r="II289" s="151"/>
      <c r="IJ289" s="151"/>
      <c r="IK289" s="151"/>
      <c r="IL289" s="151"/>
      <c r="IM289" s="151"/>
      <c r="IN289" s="151"/>
      <c r="IO289" s="151"/>
      <c r="IP289" s="151"/>
      <c r="IQ289" s="151"/>
      <c r="IR289" s="151"/>
      <c r="IS289" s="151"/>
      <c r="IT289" s="151"/>
      <c r="IU289" s="151"/>
      <c r="IV289" s="151"/>
      <c r="IW289" s="151"/>
      <c r="IX289" s="151"/>
      <c r="IY289" s="151"/>
      <c r="IZ289" s="151"/>
      <c r="JA289" s="151"/>
      <c r="JB289" s="151"/>
      <c r="JC289" s="151"/>
      <c r="JD289" s="151"/>
      <c r="JE289" s="151"/>
      <c r="JF289" s="151"/>
      <c r="JG289" s="151"/>
      <c r="JH289" s="151"/>
      <c r="JI289" s="151"/>
      <c r="JJ289" s="151"/>
      <c r="JK289" s="151"/>
      <c r="JL289" s="151"/>
      <c r="JM289" s="151"/>
      <c r="JN289" s="151"/>
      <c r="JO289" s="151"/>
      <c r="JP289" s="151"/>
      <c r="JQ289" s="151"/>
      <c r="JR289" s="151"/>
      <c r="JS289" s="151"/>
      <c r="JT289" s="151"/>
      <c r="JU289" s="151"/>
      <c r="JV289" s="151"/>
      <c r="JW289" s="151"/>
      <c r="JX289" s="151"/>
      <c r="JY289" s="151"/>
      <c r="JZ289" s="151"/>
      <c r="KA289" s="151"/>
      <c r="KB289" s="151"/>
      <c r="KC289" s="151"/>
      <c r="KD289" s="151"/>
      <c r="KE289" s="151"/>
      <c r="KF289" s="151"/>
      <c r="KG289" s="151"/>
      <c r="KH289" s="151"/>
      <c r="KI289" s="151"/>
      <c r="KJ289" s="151"/>
      <c r="KK289" s="151"/>
      <c r="KL289" s="151"/>
      <c r="KM289" s="151"/>
      <c r="KN289" s="151"/>
      <c r="KO289" s="151"/>
      <c r="KP289" s="151"/>
      <c r="KQ289" s="151"/>
      <c r="KR289" s="151"/>
      <c r="KS289" s="151"/>
      <c r="KT289" s="151"/>
      <c r="KU289" s="151"/>
      <c r="KV289" s="151"/>
      <c r="KW289" s="151"/>
      <c r="KX289" s="151"/>
      <c r="KY289" s="151"/>
      <c r="KZ289" s="151"/>
      <c r="LA289" s="151"/>
      <c r="LB289" s="151"/>
      <c r="LC289" s="151"/>
      <c r="LD289" s="151"/>
      <c r="LE289" s="151"/>
    </row>
  </sheetData>
  <sheetProtection algorithmName="SHA-512" hashValue="VjoBS1+TL99wKxAvppl4nzzxXNC7BfWu8a5thd3W1tth7AvCPhptxOrBWb+L7TgxdKspn0zSY7UD4UAOIoeGtA==" saltValue="OTWRW9ofXzo/UFJJKHKPZw==" spinCount="100000" sheet="1" objects="1" scenarios="1" sort="0" autoFilter="0"/>
  <dataConsolidate/>
  <conditionalFormatting sqref="DA2 CU2:CY2 A2:AK2 AN2:AX2 BB2:CS2">
    <cfRule type="expression" dxfId="536" priority="3977">
      <formula>COUNTIF(A2,"*/*")</formula>
    </cfRule>
    <cfRule type="expression" dxfId="535" priority="3978">
      <formula>A2="*/*"</formula>
    </cfRule>
  </conditionalFormatting>
  <conditionalFormatting sqref="CS3:CS289">
    <cfRule type="expression" dxfId="534" priority="3959">
      <formula>CS3=0</formula>
    </cfRule>
  </conditionalFormatting>
  <conditionalFormatting sqref="AD3:AD289">
    <cfRule type="expression" dxfId="533" priority="3422">
      <formula>IFERROR(IF(MATCH(A3&amp;AD3,ListaBodegaProveedor,0)&gt;0,0,1),1)</formula>
    </cfRule>
  </conditionalFormatting>
  <conditionalFormatting sqref="A3:A289">
    <cfRule type="expression" dxfId="532" priority="3155">
      <formula>SUMPRODUCT(--(A3=BodegasPermitidas))=0</formula>
    </cfRule>
  </conditionalFormatting>
  <conditionalFormatting sqref="AE3:AE289">
    <cfRule type="expression" dxfId="531" priority="3136">
      <formula>IFERROR(IF(MATCH(A3&amp;AE3,ListaBodegaPerfil,0)&gt;0,0,1),1)</formula>
    </cfRule>
  </conditionalFormatting>
  <conditionalFormatting sqref="AX3:AX289">
    <cfRule type="expression" dxfId="530" priority="319">
      <formula>AND(AX3&gt;BC3,AX3&lt;&gt;"",BC3&lt;&gt;"")</formula>
    </cfRule>
    <cfRule type="expression" dxfId="529" priority="320">
      <formula>AND(AX3&lt;BB3,AX3&lt;&gt;"",BB3&lt;&gt;"")</formula>
    </cfRule>
    <cfRule type="expression" dxfId="528" priority="321">
      <formula>AND(AX3&lt;BK3,AX3&lt;&gt;"")</formula>
    </cfRule>
    <cfRule type="expression" dxfId="527" priority="322">
      <formula>AND(AX3&gt;BK3,AX3&lt;&gt;"")</formula>
    </cfRule>
    <cfRule type="expression" dxfId="526" priority="2598">
      <formula>AND(AX3=BK3,AX3&lt;&gt;"")</formula>
    </cfRule>
  </conditionalFormatting>
  <conditionalFormatting sqref="BG3:BH289">
    <cfRule type="expression" dxfId="525" priority="2527">
      <formula>AND(BD3&lt;&gt;0,BG3&gt;BD3)</formula>
    </cfRule>
  </conditionalFormatting>
  <conditionalFormatting sqref="BT3:BT289">
    <cfRule type="expression" dxfId="524" priority="3853">
      <formula>BT3&lt;0</formula>
    </cfRule>
    <cfRule type="expression" dxfId="523" priority="3935" stopIfTrue="1">
      <formula>BN3="A"</formula>
    </cfRule>
    <cfRule type="expression" dxfId="522" priority="3936" stopIfTrue="1">
      <formula>BN3="V"</formula>
    </cfRule>
    <cfRule type="expression" dxfId="521" priority="3937" stopIfTrue="1">
      <formula>BN3="R"</formula>
    </cfRule>
    <cfRule type="expression" dxfId="520" priority="3938" stopIfTrue="1">
      <formula>BN3="L"</formula>
    </cfRule>
    <cfRule type="expression" dxfId="519" priority="3939" stopIfTrue="1">
      <formula>BN3="N"</formula>
    </cfRule>
    <cfRule type="expression" dxfId="518" priority="3940" stopIfTrue="1">
      <formula>BN3="G"</formula>
    </cfRule>
  </conditionalFormatting>
  <conditionalFormatting sqref="CB3:CB289">
    <cfRule type="expression" dxfId="517" priority="2160" stopIfTrue="1">
      <formula>BO3="A"</formula>
    </cfRule>
    <cfRule type="expression" dxfId="516" priority="2162" stopIfTrue="1">
      <formula>BO3="V"</formula>
    </cfRule>
    <cfRule type="expression" dxfId="515" priority="2163" stopIfTrue="1">
      <formula>BO3="R"</formula>
    </cfRule>
    <cfRule type="expression" dxfId="514" priority="2164" stopIfTrue="1">
      <formula>BO3="L"</formula>
    </cfRule>
    <cfRule type="expression" dxfId="513" priority="2165" stopIfTrue="1">
      <formula>BO3="N"</formula>
    </cfRule>
    <cfRule type="expression" dxfId="512" priority="2166" stopIfTrue="1">
      <formula>BO3="G"</formula>
    </cfRule>
  </conditionalFormatting>
  <conditionalFormatting sqref="AN3:AN289">
    <cfRule type="expression" dxfId="511" priority="1544983" stopIfTrue="1">
      <formula>AND($AN3&lt;&gt;"",$AN3&lt;$BK3)</formula>
    </cfRule>
    <cfRule type="expression" dxfId="510" priority="1544984" stopIfTrue="1">
      <formula>AND($AN3&lt;&gt;"",$AN3&gt;$BK3)</formula>
    </cfRule>
  </conditionalFormatting>
  <conditionalFormatting sqref="B3:B289">
    <cfRule type="expression" dxfId="509" priority="1558408">
      <formula>SUMPRODUCT(--(A3&amp;B3=$A$3:$A$289&amp;$B$3:$B$289))&gt;1</formula>
    </cfRule>
    <cfRule type="expression" dxfId="508" priority="1558409">
      <formula>IF(RIGHT(B3,1)=" ",TRUE,FALSE)</formula>
    </cfRule>
  </conditionalFormatting>
  <conditionalFormatting sqref="DR3:LE289">
    <cfRule type="expression" dxfId="507" priority="3">
      <formula>DR3=""</formula>
    </cfRule>
  </conditionalFormatting>
  <conditionalFormatting sqref="DR3:LE289">
    <cfRule type="expression" dxfId="506" priority="2">
      <formula>DR$2*1=$CU3</formula>
    </cfRule>
  </conditionalFormatting>
  <conditionalFormatting sqref="DR3:LE289">
    <cfRule type="expression" dxfId="505" priority="1">
      <formula>DR$2*1=$CV3</formula>
    </cfRule>
  </conditionalFormatting>
  <dataValidations count="19">
    <dataValidation allowBlank="1" showErrorMessage="1" errorTitle="Validación" error="Esta celda sólo puede alojar números mayores a cero, vuelva a intentar" promptTitle="Validación" sqref="AY3:BA289 CO3:CP289"/>
    <dataValidation type="list" allowBlank="1" errorTitle="Validación" error="Esta celda sólo puede alojar números mayores a cero, vuelva a intentar" promptTitle="Validación" sqref="CJ3:CJ289">
      <formula1>SeleccionCalendariosNueva</formula1>
    </dataValidation>
    <dataValidation type="decimal" allowBlank="1" showErrorMessage="1" errorTitle="Validación" error="Esta celda sólo puede alojar números mayores a cero, vuelva a intentar" promptTitle="Validación" sqref="AP3:AT289">
      <formula1>0</formula1>
      <formula2>1.11111111111111E+21</formula2>
    </dataValidation>
    <dataValidation type="whole" operator="greaterThan" allowBlank="1" showErrorMessage="1" errorTitle="Validación" error="La Unidad de Empaque tiene que ser submúltiplo del Pedido Mínimo." promptTitle="Validación" sqref="BG3:BG289">
      <formula1>0</formula1>
    </dataValidation>
    <dataValidation errorStyle="warning" allowBlank="1" showInputMessage="1" showErrorMessage="1" error="No se pueden ingresar códigos repetidos en una hoja" sqref="BJ3:BJ289 B3:E289 CF3:CF289"/>
    <dataValidation type="decimal" allowBlank="1" showErrorMessage="1" errorTitle="Validación" error="Esta celda sólo puede alojar números mayores a cero, vuelva a intentar" promptTitle="Validación" sqref="BI3:BI289">
      <formula1>0</formula1>
      <formula2>1</formula2>
    </dataValidation>
    <dataValidation type="decimal" operator="greaterThanOrEqual" allowBlank="1" showInputMessage="1" showErrorMessage="1" sqref="BP3:BP289">
      <formula1>0</formula1>
    </dataValidation>
    <dataValidation type="decimal" operator="greaterThanOrEqual" allowBlank="1" showInputMessage="1" showErrorMessage="1" error="Esta celda sólo puede alojar números mayores a cero, vuelva a intentar" sqref="BK3:BK289">
      <formula1>0</formula1>
    </dataValidation>
    <dataValidation type="whole" operator="greaterThanOrEqual" allowBlank="1" showErrorMessage="1" errorTitle="Validación" error="El valor tiene que cer mayor que cero." promptTitle="Validación" sqref="BF3:BF289">
      <formula1>1</formula1>
    </dataValidation>
    <dataValidation type="whole" allowBlank="1" showErrorMessage="1" errorTitle="Validación" error="Esta celda sólo puede alojar números mayores a cero, vuelva a intentar" promptTitle="Validación" sqref="AU3:AV289">
      <formula1>0</formula1>
      <formula2>1.11111111111111E+21</formula2>
    </dataValidation>
    <dataValidation type="list" allowBlank="1" showErrorMessage="1" errorTitle="Validación" error="Esta celda sólo puede alojar números mayores a cero, vuelva a intentar" promptTitle="Validación" sqref="AW3:AW289">
      <formula1>RangoCausas</formula1>
    </dataValidation>
    <dataValidation type="list" allowBlank="1" showInputMessage="1" showErrorMessage="1" sqref="AD3:AD289">
      <formula1>ListaProveedores</formula1>
    </dataValidation>
    <dataValidation type="list" allowBlank="1" showInputMessage="1" showErrorMessage="1" sqref="AE3:AE289">
      <formula1>ListaPerfiles</formula1>
    </dataValidation>
    <dataValidation type="list" errorStyle="warning" allowBlank="1" showInputMessage="1" showErrorMessage="1" error="No se pueden ingresar códigos repetidos en una hoja" sqref="A3:A289">
      <formula1>BodegasPermitidas</formula1>
    </dataValidation>
    <dataValidation type="whole" operator="greaterThanOrEqual" allowBlank="1" showInputMessage="1" showErrorMessage="1" sqref="BQ3:BR289">
      <formula1>0</formula1>
    </dataValidation>
    <dataValidation type="list" allowBlank="1" showErrorMessage="1" errorTitle="Validación" error="Esta celda tiene que ser un múltiplo de la Unidad de Empaque" promptTitle="Validación" sqref="BE3:BE289">
      <formula1>ListaNombresPedidoMinimo</formula1>
    </dataValidation>
    <dataValidation type="list" allowBlank="1" showErrorMessage="1" errorTitle="Validación" error="La Unidad de Empaque tiene que ser submúltiplo del Pedido Mínimo." promptTitle="Validación" sqref="BH3:BH289">
      <formula1>"+,-,="</formula1>
    </dataValidation>
    <dataValidation type="decimal" operator="greaterThanOrEqual" allowBlank="1" showErrorMessage="1" errorTitle="Validación" error="Esta celda sólo puede alojar números mayores a cero, vuelva a intentar" promptTitle="Validación" sqref="BB3:BC289 AX3:AX289 CI3:CI289">
      <formula1>0</formula1>
    </dataValidation>
    <dataValidation type="custom" allowBlank="1" showErrorMessage="1" errorTitle="Validación" error="Esta celda tiene que ser un múltiplo de la Unidad de Empaque" promptTitle="Validación" sqref="BD3:BD289">
      <formula1>MOD(BD3,BG3)=0</formula1>
    </dataValidation>
  </dataValidations>
  <printOptions horizontalCentered="1" verticalCentered="1"/>
  <pageMargins left="0.78740157480314965" right="0.78740157480314965" top="1.93" bottom="0.96" header="0" footer="0"/>
  <pageSetup paperSize="9" scale="1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1144" r:id="rId4" name="cmdMalAtendidos">
          <controlPr defaultSize="0" print="0" autoLine="0" r:id="rId5">
            <anchor>
              <from>
                <xdr:col>1</xdr:col>
                <xdr:colOff>1038225</xdr:colOff>
                <xdr:row>0</xdr:row>
                <xdr:rowOff>1104900</xdr:rowOff>
              </from>
              <to>
                <xdr:col>2</xdr:col>
                <xdr:colOff>104775</xdr:colOff>
                <xdr:row>0</xdr:row>
                <xdr:rowOff>1343025</xdr:rowOff>
              </to>
            </anchor>
          </controlPr>
        </control>
      </mc:Choice>
      <mc:Fallback>
        <control shapeId="651144" r:id="rId4" name="cmdMalAtendidos"/>
      </mc:Fallback>
    </mc:AlternateContent>
    <mc:AlternateContent xmlns:mc="http://schemas.openxmlformats.org/markup-compatibility/2006">
      <mc:Choice Requires="x14">
        <control shapeId="400005" r:id="rId6" name="cmdDuplicados">
          <controlPr defaultSize="0" print="0" autoLine="0" autoPict="0" r:id="rId7">
            <anchor>
              <from>
                <xdr:col>1</xdr:col>
                <xdr:colOff>28575</xdr:colOff>
                <xdr:row>0</xdr:row>
                <xdr:rowOff>1104900</xdr:rowOff>
              </from>
              <to>
                <xdr:col>1</xdr:col>
                <xdr:colOff>266700</xdr:colOff>
                <xdr:row>0</xdr:row>
                <xdr:rowOff>1343025</xdr:rowOff>
              </to>
            </anchor>
          </controlPr>
        </control>
      </mc:Choice>
      <mc:Fallback>
        <control shapeId="400005" r:id="rId6" name="cmdDuplicados"/>
      </mc:Fallback>
    </mc:AlternateContent>
    <mc:AlternateContent xmlns:mc="http://schemas.openxmlformats.org/markup-compatibility/2006">
      <mc:Choice Requires="x14">
        <control shapeId="399810" r:id="rId8" name="cmdBuscarTexto">
          <controlPr defaultSize="0" disabled="1" autoLine="0" r:id="rId9">
            <anchor>
              <from>
                <xdr:col>3</xdr:col>
                <xdr:colOff>685800</xdr:colOff>
                <xdr:row>0</xdr:row>
                <xdr:rowOff>904875</xdr:rowOff>
              </from>
              <to>
                <xdr:col>3</xdr:col>
                <xdr:colOff>876300</xdr:colOff>
                <xdr:row>0</xdr:row>
                <xdr:rowOff>1095375</xdr:rowOff>
              </to>
            </anchor>
          </controlPr>
        </control>
      </mc:Choice>
      <mc:Fallback>
        <control shapeId="399810" r:id="rId8" name="cmdBuscarTexto"/>
      </mc:Fallback>
    </mc:AlternateContent>
    <mc:AlternateContent xmlns:mc="http://schemas.openxmlformats.org/markup-compatibility/2006">
      <mc:Choice Requires="x14">
        <control shapeId="352980" r:id="rId10" name="txtDiasGrafico">
          <controlPr defaultSize="0" autoLine="0" autoPict="0" r:id="rId11">
            <anchor>
              <from>
                <xdr:col>3</xdr:col>
                <xdr:colOff>9525</xdr:colOff>
                <xdr:row>0</xdr:row>
                <xdr:rowOff>647700</xdr:rowOff>
              </from>
              <to>
                <xdr:col>3</xdr:col>
                <xdr:colOff>447675</xdr:colOff>
                <xdr:row>0</xdr:row>
                <xdr:rowOff>885825</xdr:rowOff>
              </to>
            </anchor>
          </controlPr>
        </control>
      </mc:Choice>
      <mc:Fallback>
        <control shapeId="352980" r:id="rId10" name="txtDiasGrafico"/>
      </mc:Fallback>
    </mc:AlternateContent>
    <mc:AlternateContent xmlns:mc="http://schemas.openxmlformats.org/markup-compatibility/2006">
      <mc:Choice Requires="x14">
        <control shapeId="46011" r:id="rId12" name="cmdAyuda">
          <controlPr defaultSize="0" print="0" autoLine="0" r:id="rId13">
            <anchor>
              <from>
                <xdr:col>3</xdr:col>
                <xdr:colOff>628650</xdr:colOff>
                <xdr:row>0</xdr:row>
                <xdr:rowOff>647700</xdr:rowOff>
              </from>
              <to>
                <xdr:col>3</xdr:col>
                <xdr:colOff>876300</xdr:colOff>
                <xdr:row>0</xdr:row>
                <xdr:rowOff>885825</xdr:rowOff>
              </to>
            </anchor>
          </controlPr>
        </control>
      </mc:Choice>
      <mc:Fallback>
        <control shapeId="46011" r:id="rId12" name="cmdAyuda"/>
      </mc:Fallback>
    </mc:AlternateContent>
    <mc:AlternateContent xmlns:mc="http://schemas.openxmlformats.org/markup-compatibility/2006">
      <mc:Choice Requires="x14">
        <control shapeId="1366" r:id="rId14" name="cboCampos">
          <controlPr locked="0" defaultSize="0" autoLine="0" r:id="rId15">
            <anchor>
              <from>
                <xdr:col>2</xdr:col>
                <xdr:colOff>504825</xdr:colOff>
                <xdr:row>0</xdr:row>
                <xdr:rowOff>1095375</xdr:rowOff>
              </from>
              <to>
                <xdr:col>3</xdr:col>
                <xdr:colOff>876300</xdr:colOff>
                <xdr:row>0</xdr:row>
                <xdr:rowOff>1323975</xdr:rowOff>
              </to>
            </anchor>
          </controlPr>
        </control>
      </mc:Choice>
      <mc:Fallback>
        <control shapeId="1366" r:id="rId14" name="cboCampos"/>
      </mc:Fallback>
    </mc:AlternateContent>
    <mc:AlternateContent xmlns:mc="http://schemas.openxmlformats.org/markup-compatibility/2006">
      <mc:Choice Requires="x14">
        <control shapeId="1352" r:id="rId16" name="cmdPosponer">
          <controlPr defaultSize="0" autoLine="0" autoPict="0" r:id="rId17">
            <anchor>
              <from>
                <xdr:col>2</xdr:col>
                <xdr:colOff>704850</xdr:colOff>
                <xdr:row>0</xdr:row>
                <xdr:rowOff>647700</xdr:rowOff>
              </from>
              <to>
                <xdr:col>2</xdr:col>
                <xdr:colOff>933450</xdr:colOff>
                <xdr:row>0</xdr:row>
                <xdr:rowOff>885825</xdr:rowOff>
              </to>
            </anchor>
          </controlPr>
        </control>
      </mc:Choice>
      <mc:Fallback>
        <control shapeId="1352" r:id="rId16" name="cmdPosponer"/>
      </mc:Fallback>
    </mc:AlternateContent>
    <mc:AlternateContent xmlns:mc="http://schemas.openxmlformats.org/markup-compatibility/2006">
      <mc:Choice Requires="x14">
        <control shapeId="1324" r:id="rId18" name="cmdOrdenamientoMultiple">
          <controlPr defaultSize="0" autoLine="0" autoPict="0" r:id="rId19">
            <anchor>
              <from>
                <xdr:col>0</xdr:col>
                <xdr:colOff>800100</xdr:colOff>
                <xdr:row>0</xdr:row>
                <xdr:rowOff>1104900</xdr:rowOff>
              </from>
              <to>
                <xdr:col>0</xdr:col>
                <xdr:colOff>1057275</xdr:colOff>
                <xdr:row>0</xdr:row>
                <xdr:rowOff>1343025</xdr:rowOff>
              </to>
            </anchor>
          </controlPr>
        </control>
      </mc:Choice>
      <mc:Fallback>
        <control shapeId="1324" r:id="rId18" name="cmdOrdenamientoMultiple"/>
      </mc:Fallback>
    </mc:AlternateContent>
    <mc:AlternateContent xmlns:mc="http://schemas.openxmlformats.org/markup-compatibility/2006">
      <mc:Choice Requires="x14">
        <control shapeId="1289" r:id="rId20" name="cmdDescendente">
          <controlPr defaultSize="0" print="0" autoLine="0" autoPict="0" r:id="rId21">
            <anchor>
              <from>
                <xdr:col>0</xdr:col>
                <xdr:colOff>628650</xdr:colOff>
                <xdr:row>0</xdr:row>
                <xdr:rowOff>1104900</xdr:rowOff>
              </from>
              <to>
                <xdr:col>0</xdr:col>
                <xdr:colOff>800100</xdr:colOff>
                <xdr:row>0</xdr:row>
                <xdr:rowOff>1343025</xdr:rowOff>
              </to>
            </anchor>
          </controlPr>
        </control>
      </mc:Choice>
      <mc:Fallback>
        <control shapeId="1289" r:id="rId20" name="cmdDescendente"/>
      </mc:Fallback>
    </mc:AlternateContent>
    <mc:AlternateContent xmlns:mc="http://schemas.openxmlformats.org/markup-compatibility/2006">
      <mc:Choice Requires="x14">
        <control shapeId="1287" r:id="rId22" name="cmdAscendente">
          <controlPr defaultSize="0" print="0" autoLine="0" autoPict="0" r:id="rId23">
            <anchor>
              <from>
                <xdr:col>0</xdr:col>
                <xdr:colOff>466725</xdr:colOff>
                <xdr:row>0</xdr:row>
                <xdr:rowOff>1104900</xdr:rowOff>
              </from>
              <to>
                <xdr:col>0</xdr:col>
                <xdr:colOff>638175</xdr:colOff>
                <xdr:row>0</xdr:row>
                <xdr:rowOff>1343025</xdr:rowOff>
              </to>
            </anchor>
          </controlPr>
        </control>
      </mc:Choice>
      <mc:Fallback>
        <control shapeId="1287" r:id="rId22" name="cmdAscendente"/>
      </mc:Fallback>
    </mc:AlternateContent>
    <mc:AlternateContent xmlns:mc="http://schemas.openxmlformats.org/markup-compatibility/2006">
      <mc:Choice Requires="x14">
        <control shapeId="1259" r:id="rId24" name="cmdIrPrimerCampo">
          <controlPr defaultSize="0" print="0" autoLine="0" autoPict="0" r:id="rId25">
            <anchor>
              <from>
                <xdr:col>1</xdr:col>
                <xdr:colOff>352425</xdr:colOff>
                <xdr:row>0</xdr:row>
                <xdr:rowOff>885825</xdr:rowOff>
              </from>
              <to>
                <xdr:col>1</xdr:col>
                <xdr:colOff>638175</xdr:colOff>
                <xdr:row>0</xdr:row>
                <xdr:rowOff>1123950</xdr:rowOff>
              </to>
            </anchor>
          </controlPr>
        </control>
      </mc:Choice>
      <mc:Fallback>
        <control shapeId="1259" r:id="rId24" name="cmdIrPrimerCampo"/>
      </mc:Fallback>
    </mc:AlternateContent>
    <mc:AlternateContent xmlns:mc="http://schemas.openxmlformats.org/markup-compatibility/2006">
      <mc:Choice Requires="x14">
        <control shapeId="1249" r:id="rId26" name="cmdIrFinHorizonte">
          <controlPr defaultSize="0" print="0" autoLine="0" autoPict="0" r:id="rId27">
            <anchor>
              <from>
                <xdr:col>1</xdr:col>
                <xdr:colOff>1152525</xdr:colOff>
                <xdr:row>0</xdr:row>
                <xdr:rowOff>885825</xdr:rowOff>
              </from>
              <to>
                <xdr:col>2</xdr:col>
                <xdr:colOff>257175</xdr:colOff>
                <xdr:row>0</xdr:row>
                <xdr:rowOff>1123950</xdr:rowOff>
              </to>
            </anchor>
          </controlPr>
        </control>
      </mc:Choice>
      <mc:Fallback>
        <control shapeId="1249" r:id="rId26" name="cmdIrFinHorizonte"/>
      </mc:Fallback>
    </mc:AlternateContent>
    <mc:AlternateContent xmlns:mc="http://schemas.openxmlformats.org/markup-compatibility/2006">
      <mc:Choice Requires="x14">
        <control shapeId="1244" r:id="rId28" name="cmdFiltraErrores">
          <controlPr defaultSize="0" print="0" autoLine="0" autoPict="0" r:id="rId29">
            <anchor>
              <from>
                <xdr:col>2</xdr:col>
                <xdr:colOff>276225</xdr:colOff>
                <xdr:row>0</xdr:row>
                <xdr:rowOff>885825</xdr:rowOff>
              </from>
              <to>
                <xdr:col>2</xdr:col>
                <xdr:colOff>504825</xdr:colOff>
                <xdr:row>0</xdr:row>
                <xdr:rowOff>1123950</xdr:rowOff>
              </to>
            </anchor>
          </controlPr>
        </control>
      </mc:Choice>
      <mc:Fallback>
        <control shapeId="1244" r:id="rId28" name="cmdFiltraErrores"/>
      </mc:Fallback>
    </mc:AlternateContent>
    <mc:AlternateContent xmlns:mc="http://schemas.openxmlformats.org/markup-compatibility/2006">
      <mc:Choice Requires="x14">
        <control shapeId="1194" r:id="rId30" name="cmdRefrescaFormulas">
          <controlPr defaultSize="0" print="0" autoLine="0" autoPict="0" r:id="rId31">
            <anchor>
              <from>
                <xdr:col>1</xdr:col>
                <xdr:colOff>990600</xdr:colOff>
                <xdr:row>0</xdr:row>
                <xdr:rowOff>647700</xdr:rowOff>
              </from>
              <to>
                <xdr:col>2</xdr:col>
                <xdr:colOff>57150</xdr:colOff>
                <xdr:row>0</xdr:row>
                <xdr:rowOff>885825</xdr:rowOff>
              </to>
            </anchor>
          </controlPr>
        </control>
      </mc:Choice>
      <mc:Fallback>
        <control shapeId="1194" r:id="rId30" name="cmdRefrescaFormulas"/>
      </mc:Fallback>
    </mc:AlternateContent>
    <mc:AlternateContent xmlns:mc="http://schemas.openxmlformats.org/markup-compatibility/2006">
      <mc:Choice Requires="x14">
        <control shapeId="1186" r:id="rId32" name="cmdAccionesEstacionalidad">
          <controlPr defaultSize="0" autoLine="0" autoPict="0" r:id="rId33">
            <anchor>
              <from>
                <xdr:col>2</xdr:col>
                <xdr:colOff>276225</xdr:colOff>
                <xdr:row>0</xdr:row>
                <xdr:rowOff>647700</xdr:rowOff>
              </from>
              <to>
                <xdr:col>2</xdr:col>
                <xdr:colOff>523875</xdr:colOff>
                <xdr:row>0</xdr:row>
                <xdr:rowOff>885825</xdr:rowOff>
              </to>
            </anchor>
          </controlPr>
        </control>
      </mc:Choice>
      <mc:Fallback>
        <control shapeId="1186" r:id="rId32" name="cmdAccionesEstacionalidad"/>
      </mc:Fallback>
    </mc:AlternateContent>
    <mc:AlternateContent xmlns:mc="http://schemas.openxmlformats.org/markup-compatibility/2006">
      <mc:Choice Requires="x14">
        <control shapeId="1175" r:id="rId34" name="cmdCambiaBuffer">
          <controlPr defaultSize="0" autoLine="0" autoPict="0" r:id="rId35">
            <anchor>
              <from>
                <xdr:col>2</xdr:col>
                <xdr:colOff>514350</xdr:colOff>
                <xdr:row>0</xdr:row>
                <xdr:rowOff>647700</xdr:rowOff>
              </from>
              <to>
                <xdr:col>2</xdr:col>
                <xdr:colOff>733425</xdr:colOff>
                <xdr:row>0</xdr:row>
                <xdr:rowOff>885825</xdr:rowOff>
              </to>
            </anchor>
          </controlPr>
        </control>
      </mc:Choice>
      <mc:Fallback>
        <control shapeId="1175" r:id="rId34" name="cmdCambiaBuffer"/>
      </mc:Fallback>
    </mc:AlternateContent>
    <mc:AlternateContent xmlns:mc="http://schemas.openxmlformats.org/markup-compatibility/2006">
      <mc:Choice Requires="x14">
        <control shapeId="1168" r:id="rId36" name="cmdIrInicioHorizonte">
          <controlPr defaultSize="0" print="0" autoLine="0" autoPict="0" r:id="rId37">
            <anchor>
              <from>
                <xdr:col>1</xdr:col>
                <xdr:colOff>895350</xdr:colOff>
                <xdr:row>0</xdr:row>
                <xdr:rowOff>885825</xdr:rowOff>
              </from>
              <to>
                <xdr:col>1</xdr:col>
                <xdr:colOff>1181100</xdr:colOff>
                <xdr:row>0</xdr:row>
                <xdr:rowOff>1123950</xdr:rowOff>
              </to>
            </anchor>
          </controlPr>
        </control>
      </mc:Choice>
      <mc:Fallback>
        <control shapeId="1168" r:id="rId36" name="cmdIrInicioHorizonte"/>
      </mc:Fallback>
    </mc:AlternateContent>
    <mc:AlternateContent xmlns:mc="http://schemas.openxmlformats.org/markup-compatibility/2006">
      <mc:Choice Requires="x14">
        <control shapeId="1082" r:id="rId38" name="cmdControl">
          <controlPr defaultSize="0" print="0" autoLine="0" autoPict="0" r:id="rId39">
            <anchor>
              <from>
                <xdr:col>1</xdr:col>
                <xdr:colOff>428625</xdr:colOff>
                <xdr:row>0</xdr:row>
                <xdr:rowOff>647700</xdr:rowOff>
              </from>
              <to>
                <xdr:col>1</xdr:col>
                <xdr:colOff>723900</xdr:colOff>
                <xdr:row>0</xdr:row>
                <xdr:rowOff>885825</xdr:rowOff>
              </to>
            </anchor>
          </controlPr>
        </control>
      </mc:Choice>
      <mc:Fallback>
        <control shapeId="1082" r:id="rId38" name="cmdControl"/>
      </mc:Fallback>
    </mc:AlternateContent>
    <mc:AlternateContent xmlns:mc="http://schemas.openxmlformats.org/markup-compatibility/2006">
      <mc:Choice Requires="x14">
        <control shapeId="1106" r:id="rId40" name="cmdTransitoDetallado">
          <controlPr defaultSize="0" print="0" autoLine="0" autoPict="0" r:id="rId41">
            <anchor>
              <from>
                <xdr:col>2</xdr:col>
                <xdr:colOff>38100</xdr:colOff>
                <xdr:row>0</xdr:row>
                <xdr:rowOff>647700</xdr:rowOff>
              </from>
              <to>
                <xdr:col>2</xdr:col>
                <xdr:colOff>295275</xdr:colOff>
                <xdr:row>0</xdr:row>
                <xdr:rowOff>885825</xdr:rowOff>
              </to>
            </anchor>
          </controlPr>
        </control>
      </mc:Choice>
      <mc:Fallback>
        <control shapeId="1106" r:id="rId40" name="cmdTransitoDetallado"/>
      </mc:Fallback>
    </mc:AlternateContent>
    <mc:AlternateContent xmlns:mc="http://schemas.openxmlformats.org/markup-compatibility/2006">
      <mc:Choice Requires="x14">
        <control shapeId="1111" r:id="rId42" name="cmdOcultaColumna">
          <controlPr defaultSize="0" autoLine="0" autoPict="0" r:id="rId43">
            <anchor>
              <from>
                <xdr:col>0</xdr:col>
                <xdr:colOff>523875</xdr:colOff>
                <xdr:row>0</xdr:row>
                <xdr:rowOff>885825</xdr:rowOff>
              </from>
              <to>
                <xdr:col>0</xdr:col>
                <xdr:colOff>781050</xdr:colOff>
                <xdr:row>0</xdr:row>
                <xdr:rowOff>1123950</xdr:rowOff>
              </to>
            </anchor>
          </controlPr>
        </control>
      </mc:Choice>
      <mc:Fallback>
        <control shapeId="1111" r:id="rId42" name="cmdOcultaColumna"/>
      </mc:Fallback>
    </mc:AlternateContent>
    <mc:AlternateContent xmlns:mc="http://schemas.openxmlformats.org/markup-compatibility/2006">
      <mc:Choice Requires="x14">
        <control shapeId="1118" r:id="rId44" name="cmdVistas">
          <controlPr defaultSize="0" autoLine="0" autoPict="0" r:id="rId45">
            <anchor>
              <from>
                <xdr:col>0</xdr:col>
                <xdr:colOff>228600</xdr:colOff>
                <xdr:row>0</xdr:row>
                <xdr:rowOff>885825</xdr:rowOff>
              </from>
              <to>
                <xdr:col>0</xdr:col>
                <xdr:colOff>523875</xdr:colOff>
                <xdr:row>0</xdr:row>
                <xdr:rowOff>1123950</xdr:rowOff>
              </to>
            </anchor>
          </controlPr>
        </control>
      </mc:Choice>
      <mc:Fallback>
        <control shapeId="1118" r:id="rId44" name="cmdVistas"/>
      </mc:Fallback>
    </mc:AlternateContent>
    <mc:AlternateContent xmlns:mc="http://schemas.openxmlformats.org/markup-compatibility/2006">
      <mc:Choice Requires="x14">
        <control shapeId="1166" r:id="rId46" name="cmdHOY">
          <controlPr defaultSize="0" print="0" autoLine="0" autoPict="0" r:id="rId47">
            <anchor>
              <from>
                <xdr:col>1</xdr:col>
                <xdr:colOff>628650</xdr:colOff>
                <xdr:row>0</xdr:row>
                <xdr:rowOff>885825</xdr:rowOff>
              </from>
              <to>
                <xdr:col>1</xdr:col>
                <xdr:colOff>914400</xdr:colOff>
                <xdr:row>0</xdr:row>
                <xdr:rowOff>1123950</xdr:rowOff>
              </to>
            </anchor>
          </controlPr>
        </control>
      </mc:Choice>
      <mc:Fallback>
        <control shapeId="1166" r:id="rId46" name="cmdHOY"/>
      </mc:Fallback>
    </mc:AlternateContent>
    <mc:AlternateContent xmlns:mc="http://schemas.openxmlformats.org/markup-compatibility/2006">
      <mc:Choice Requires="x14">
        <control shapeId="1167" r:id="rId48" name="cmdBufferHoy">
          <controlPr defaultSize="0" print="0" autoLine="0" autoPict="0" r:id="rId49">
            <anchor>
              <from>
                <xdr:col>1</xdr:col>
                <xdr:colOff>66675</xdr:colOff>
                <xdr:row>0</xdr:row>
                <xdr:rowOff>885825</xdr:rowOff>
              </from>
              <to>
                <xdr:col>1</xdr:col>
                <xdr:colOff>352425</xdr:colOff>
                <xdr:row>0</xdr:row>
                <xdr:rowOff>1123950</xdr:rowOff>
              </to>
            </anchor>
          </controlPr>
        </control>
      </mc:Choice>
      <mc:Fallback>
        <control shapeId="1167" r:id="rId48" name="cmdBufferHoy"/>
      </mc:Fallback>
    </mc:AlternateContent>
    <mc:AlternateContent xmlns:mc="http://schemas.openxmlformats.org/markup-compatibility/2006">
      <mc:Choice Requires="x14">
        <control shapeId="1193" r:id="rId50" name="cmdGraficoDinamico">
          <controlPr defaultSize="0" autoLine="0" autoPict="0" r:id="rId51">
            <anchor>
              <from>
                <xdr:col>2</xdr:col>
                <xdr:colOff>942975</xdr:colOff>
                <xdr:row>0</xdr:row>
                <xdr:rowOff>647700</xdr:rowOff>
              </from>
              <to>
                <xdr:col>2</xdr:col>
                <xdr:colOff>1171575</xdr:colOff>
                <xdr:row>0</xdr:row>
                <xdr:rowOff>885825</xdr:rowOff>
              </to>
            </anchor>
          </controlPr>
        </control>
      </mc:Choice>
      <mc:Fallback>
        <control shapeId="1193" r:id="rId50" name="cmdGraficoDinamico"/>
      </mc:Fallback>
    </mc:AlternateContent>
    <mc:AlternateContent xmlns:mc="http://schemas.openxmlformats.org/markup-compatibility/2006">
      <mc:Choice Requires="x14">
        <control shapeId="1196" r:id="rId52" name="cmdRefrescaTodo">
          <controlPr defaultSize="0" print="0" autoLine="0" autoPict="0" r:id="rId53">
            <anchor>
              <from>
                <xdr:col>1</xdr:col>
                <xdr:colOff>723900</xdr:colOff>
                <xdr:row>0</xdr:row>
                <xdr:rowOff>647700</xdr:rowOff>
              </from>
              <to>
                <xdr:col>1</xdr:col>
                <xdr:colOff>981075</xdr:colOff>
                <xdr:row>0</xdr:row>
                <xdr:rowOff>885825</xdr:rowOff>
              </to>
            </anchor>
          </controlPr>
        </control>
      </mc:Choice>
      <mc:Fallback>
        <control shapeId="1196" r:id="rId52" name="cmdRefrescaTodo"/>
      </mc:Fallback>
    </mc:AlternateContent>
    <mc:AlternateContent xmlns:mc="http://schemas.openxmlformats.org/markup-compatibility/2006">
      <mc:Choice Requires="x14">
        <control shapeId="1199" r:id="rId54" name="txtBusqueda">
          <controlPr defaultSize="0" print="0" disabled="1" autoLine="0" autoPict="0" r:id="rId55">
            <anchor>
              <from>
                <xdr:col>2</xdr:col>
                <xdr:colOff>504825</xdr:colOff>
                <xdr:row>0</xdr:row>
                <xdr:rowOff>885825</xdr:rowOff>
              </from>
              <to>
                <xdr:col>3</xdr:col>
                <xdr:colOff>876300</xdr:colOff>
                <xdr:row>0</xdr:row>
                <xdr:rowOff>1114425</xdr:rowOff>
              </to>
            </anchor>
          </controlPr>
        </control>
      </mc:Choice>
      <mc:Fallback>
        <control shapeId="1199" r:id="rId54" name="txtBusqueda"/>
      </mc:Fallback>
    </mc:AlternateContent>
    <mc:AlternateContent xmlns:mc="http://schemas.openxmlformats.org/markup-compatibility/2006">
      <mc:Choice Requires="x14">
        <control shapeId="1204" r:id="rId56" name="cmdQuitaFiltros">
          <controlPr defaultSize="0" print="0" autoLine="0" autoPict="0" r:id="rId57">
            <anchor>
              <from>
                <xdr:col>0</xdr:col>
                <xdr:colOff>228600</xdr:colOff>
                <xdr:row>0</xdr:row>
                <xdr:rowOff>1104900</xdr:rowOff>
              </from>
              <to>
                <xdr:col>0</xdr:col>
                <xdr:colOff>466725</xdr:colOff>
                <xdr:row>0</xdr:row>
                <xdr:rowOff>1343025</xdr:rowOff>
              </to>
            </anchor>
          </controlPr>
        </control>
      </mc:Choice>
      <mc:Fallback>
        <control shapeId="1204" r:id="rId56" name="cmdQuitaFiltros"/>
      </mc:Fallback>
    </mc:AlternateContent>
    <mc:AlternateContent xmlns:mc="http://schemas.openxmlformats.org/markup-compatibility/2006">
      <mc:Choice Requires="x14">
        <control shapeId="1284" r:id="rId58" name="cmdAnadeRegistro">
          <controlPr defaultSize="0" print="0" autoLine="0" autoPict="0" r:id="rId59">
            <anchor>
              <from>
                <xdr:col>0</xdr:col>
                <xdr:colOff>781050</xdr:colOff>
                <xdr:row>0</xdr:row>
                <xdr:rowOff>885825</xdr:rowOff>
              </from>
              <to>
                <xdr:col>0</xdr:col>
                <xdr:colOff>971550</xdr:colOff>
                <xdr:row>0</xdr:row>
                <xdr:rowOff>1123950</xdr:rowOff>
              </to>
            </anchor>
          </controlPr>
        </control>
      </mc:Choice>
      <mc:Fallback>
        <control shapeId="1284" r:id="rId58" name="cmdAnadeRegistro"/>
      </mc:Fallback>
    </mc:AlternateContent>
    <mc:AlternateContent xmlns:mc="http://schemas.openxmlformats.org/markup-compatibility/2006">
      <mc:Choice Requires="x14">
        <control shapeId="1285" r:id="rId60" name="cmdBorraRegistro">
          <controlPr defaultSize="0" print="0" autoLine="0" autoPict="0" r:id="rId61">
            <anchor>
              <from>
                <xdr:col>0</xdr:col>
                <xdr:colOff>962025</xdr:colOff>
                <xdr:row>0</xdr:row>
                <xdr:rowOff>885825</xdr:rowOff>
              </from>
              <to>
                <xdr:col>0</xdr:col>
                <xdr:colOff>1152525</xdr:colOff>
                <xdr:row>0</xdr:row>
                <xdr:rowOff>1123950</xdr:rowOff>
              </to>
            </anchor>
          </controlPr>
        </control>
      </mc:Choice>
      <mc:Fallback>
        <control shapeId="1285" r:id="rId60" name="cmdBorraRegistro"/>
      </mc:Fallback>
    </mc:AlternateContent>
    <mc:AlternateContent xmlns:mc="http://schemas.openxmlformats.org/markup-compatibility/2006">
      <mc:Choice Requires="x14">
        <control shapeId="1292" r:id="rId62" name="cmdEliminaColumnaHorizonte">
          <controlPr defaultSize="0" print="0" autoLine="0" autoPict="0" r:id="rId63">
            <anchor>
              <from>
                <xdr:col>0</xdr:col>
                <xdr:colOff>1152525</xdr:colOff>
                <xdr:row>0</xdr:row>
                <xdr:rowOff>885825</xdr:rowOff>
              </from>
              <to>
                <xdr:col>1</xdr:col>
                <xdr:colOff>76200</xdr:colOff>
                <xdr:row>0</xdr:row>
                <xdr:rowOff>1123950</xdr:rowOff>
              </to>
            </anchor>
          </controlPr>
        </control>
      </mc:Choice>
      <mc:Fallback>
        <control shapeId="1292" r:id="rId62" name="cmdEliminaColumnaHorizonte"/>
      </mc:Fallback>
    </mc:AlternateContent>
    <mc:AlternateContent xmlns:mc="http://schemas.openxmlformats.org/markup-compatibility/2006">
      <mc:Choice Requires="x14">
        <control shapeId="1298" r:id="rId64" name="cmdOrdenaColores">
          <controlPr defaultSize="0" print="0" autoLine="0" autoPict="0" r:id="rId65">
            <anchor>
              <from>
                <xdr:col>0</xdr:col>
                <xdr:colOff>1038225</xdr:colOff>
                <xdr:row>0</xdr:row>
                <xdr:rowOff>1104900</xdr:rowOff>
              </from>
              <to>
                <xdr:col>1</xdr:col>
                <xdr:colOff>28575</xdr:colOff>
                <xdr:row>0</xdr:row>
                <xdr:rowOff>1343025</xdr:rowOff>
              </to>
            </anchor>
          </controlPr>
        </control>
      </mc:Choice>
      <mc:Fallback>
        <control shapeId="1298" r:id="rId64" name="cmdOrdenaColores"/>
      </mc:Fallback>
    </mc:AlternateContent>
    <mc:AlternateContent xmlns:mc="http://schemas.openxmlformats.org/markup-compatibility/2006">
      <mc:Choice Requires="x14">
        <control shapeId="400139" r:id="rId66" name="cmdCeldasVisibles">
          <controlPr defaultSize="0" print="0" autoLine="0" autoPict="0" r:id="rId67">
            <anchor>
              <from>
                <xdr:col>1</xdr:col>
                <xdr:colOff>342900</xdr:colOff>
                <xdr:row>0</xdr:row>
                <xdr:rowOff>1104900</xdr:rowOff>
              </from>
              <to>
                <xdr:col>1</xdr:col>
                <xdr:colOff>581025</xdr:colOff>
                <xdr:row>0</xdr:row>
                <xdr:rowOff>1343025</xdr:rowOff>
              </to>
            </anchor>
          </controlPr>
        </control>
      </mc:Choice>
      <mc:Fallback>
        <control shapeId="400139" r:id="rId66" name="cmdCeldasVisibles"/>
      </mc:Fallback>
    </mc:AlternateContent>
    <mc:AlternateContent xmlns:mc="http://schemas.openxmlformats.org/markup-compatibility/2006">
      <mc:Choice Requires="x14">
        <control shapeId="400160" r:id="rId68" name="cmdCeldasBlanco">
          <controlPr defaultSize="0" print="0" autoLine="0" r:id="rId69">
            <anchor>
              <from>
                <xdr:col>1</xdr:col>
                <xdr:colOff>581025</xdr:colOff>
                <xdr:row>0</xdr:row>
                <xdr:rowOff>1104900</xdr:rowOff>
              </from>
              <to>
                <xdr:col>1</xdr:col>
                <xdr:colOff>819150</xdr:colOff>
                <xdr:row>0</xdr:row>
                <xdr:rowOff>1343025</xdr:rowOff>
              </to>
            </anchor>
          </controlPr>
        </control>
      </mc:Choice>
      <mc:Fallback>
        <control shapeId="400160" r:id="rId68" name="cmdCeldasBlanco"/>
      </mc:Fallback>
    </mc:AlternateContent>
    <mc:AlternateContent xmlns:mc="http://schemas.openxmlformats.org/markup-compatibility/2006">
      <mc:Choice Requires="x14">
        <control shapeId="400204" r:id="rId70" name="cmdDesprotege">
          <controlPr defaultSize="0" print="0" autoLine="0" autoPict="0" r:id="rId71">
            <anchor>
              <from>
                <xdr:col>0</xdr:col>
                <xdr:colOff>962025</xdr:colOff>
                <xdr:row>0</xdr:row>
                <xdr:rowOff>885825</xdr:rowOff>
              </from>
              <to>
                <xdr:col>0</xdr:col>
                <xdr:colOff>1152525</xdr:colOff>
                <xdr:row>0</xdr:row>
                <xdr:rowOff>1123950</xdr:rowOff>
              </to>
            </anchor>
          </controlPr>
        </control>
      </mc:Choice>
      <mc:Fallback>
        <control shapeId="400204" r:id="rId70" name="cmdDesprotege"/>
      </mc:Fallback>
    </mc:AlternateContent>
  </controls>
  <tableParts count="1">
    <tablePart r:id="rId7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1:N2"/>
  <sheetViews>
    <sheetView showGridLines="0" topLeftCell="C1" workbookViewId="0">
      <selection activeCell="A2" sqref="A2:N2"/>
    </sheetView>
  </sheetViews>
  <sheetFormatPr baseColWidth="10" defaultRowHeight="15" x14ac:dyDescent="0.25"/>
  <cols>
    <col min="1" max="2" width="11.42578125" style="217"/>
    <col min="3" max="3" width="57.85546875" style="217" bestFit="1" customWidth="1"/>
    <col min="4" max="16384" width="11.42578125" style="217"/>
  </cols>
  <sheetData>
    <row r="1" spans="1:14" x14ac:dyDescent="0.25">
      <c r="A1" s="217" t="s">
        <v>808</v>
      </c>
      <c r="B1" s="217" t="s">
        <v>3</v>
      </c>
      <c r="C1" s="217" t="s">
        <v>4</v>
      </c>
      <c r="D1" s="217" t="s">
        <v>23</v>
      </c>
      <c r="E1" s="217" t="s">
        <v>37</v>
      </c>
      <c r="F1" s="217" t="s">
        <v>809</v>
      </c>
      <c r="G1" s="217" t="s">
        <v>57</v>
      </c>
      <c r="H1" s="217" t="s">
        <v>54</v>
      </c>
      <c r="I1" s="217" t="s">
        <v>810</v>
      </c>
      <c r="J1" s="217" t="s">
        <v>811</v>
      </c>
      <c r="K1" s="217" t="s">
        <v>812</v>
      </c>
      <c r="L1" s="217" t="s">
        <v>813</v>
      </c>
      <c r="M1" s="217" t="s">
        <v>814</v>
      </c>
      <c r="N1" s="217" t="s">
        <v>815</v>
      </c>
    </row>
    <row r="2" spans="1:14" x14ac:dyDescent="0.25">
      <c r="A2" s="217">
        <v>35</v>
      </c>
      <c r="B2" s="217" t="s">
        <v>1167</v>
      </c>
      <c r="C2" s="217" t="s">
        <v>1344</v>
      </c>
      <c r="F2" s="217">
        <v>10</v>
      </c>
      <c r="G2" s="217" t="s">
        <v>872</v>
      </c>
      <c r="H2" s="217" t="s">
        <v>849</v>
      </c>
      <c r="J2" s="218">
        <v>0</v>
      </c>
      <c r="L2" s="219"/>
      <c r="M2" s="219"/>
      <c r="N2" s="21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9"/>
  <dimension ref="A1:U31"/>
  <sheetViews>
    <sheetView showGridLines="0" zoomScaleNormal="100" workbookViewId="0">
      <selection activeCell="B12" sqref="B12"/>
    </sheetView>
  </sheetViews>
  <sheetFormatPr baseColWidth="10" defaultRowHeight="15" x14ac:dyDescent="0.25"/>
  <cols>
    <col min="1" max="1" width="12.42578125" style="217" customWidth="1"/>
    <col min="2" max="2" width="35.85546875" style="217" customWidth="1"/>
    <col min="3" max="3" width="13.42578125" style="217" customWidth="1"/>
    <col min="4" max="4" width="15.5703125" style="217" customWidth="1"/>
    <col min="5" max="5" width="9.140625" style="217" customWidth="1"/>
    <col min="6" max="6" width="11.42578125" style="217" customWidth="1"/>
    <col min="7" max="7" width="11.5703125" style="217" customWidth="1"/>
    <col min="8" max="8" width="14.85546875" style="217" customWidth="1"/>
    <col min="9" max="9" width="17.140625" style="217" customWidth="1"/>
    <col min="10" max="10" width="16.5703125" style="217" customWidth="1"/>
    <col min="11" max="11" width="16.140625" style="217" customWidth="1"/>
    <col min="12" max="13" width="12.5703125" style="217" customWidth="1"/>
    <col min="14" max="14" width="17" style="217" customWidth="1"/>
    <col min="15" max="15" width="12.5703125" style="217" customWidth="1"/>
    <col min="16" max="20" width="16.140625" style="217" customWidth="1"/>
    <col min="21" max="21" width="12.5703125" style="217" customWidth="1"/>
    <col min="22" max="29" width="21.42578125" style="217" customWidth="1"/>
    <col min="30" max="16384" width="11.42578125" style="217"/>
  </cols>
  <sheetData>
    <row r="1" spans="1:21" ht="21" x14ac:dyDescent="0.35">
      <c r="A1" s="221" t="s">
        <v>817</v>
      </c>
    </row>
    <row r="3" spans="1:21" x14ac:dyDescent="0.25">
      <c r="A3" s="137" t="s">
        <v>57</v>
      </c>
      <c r="B3" s="68" t="s">
        <v>518</v>
      </c>
    </row>
    <row r="4" spans="1:21" x14ac:dyDescent="0.25">
      <c r="A4" s="137" t="s">
        <v>54</v>
      </c>
      <c r="B4" s="68" t="s">
        <v>518</v>
      </c>
    </row>
    <row r="6" spans="1:21" x14ac:dyDescent="0.25">
      <c r="A6" s="137" t="s">
        <v>816</v>
      </c>
      <c r="B6"/>
      <c r="C6"/>
      <c r="D6"/>
      <c r="E6"/>
      <c r="F6"/>
      <c r="G6"/>
      <c r="H6" s="137" t="s">
        <v>810</v>
      </c>
      <c r="I6" s="137" t="s">
        <v>808</v>
      </c>
      <c r="J6" s="137" t="s">
        <v>811</v>
      </c>
    </row>
    <row r="7" spans="1:21" x14ac:dyDescent="0.25">
      <c r="A7"/>
      <c r="B7"/>
      <c r="C7"/>
      <c r="D7"/>
      <c r="E7"/>
      <c r="F7"/>
      <c r="G7"/>
      <c r="H7" s="92" t="s">
        <v>807</v>
      </c>
      <c r="I7" s="68" t="s">
        <v>84</v>
      </c>
      <c r="J7"/>
    </row>
    <row r="8" spans="1:21" x14ac:dyDescent="0.25">
      <c r="A8"/>
      <c r="B8"/>
      <c r="C8"/>
      <c r="D8"/>
      <c r="E8"/>
      <c r="F8"/>
      <c r="G8"/>
      <c r="H8" s="92">
        <v>35</v>
      </c>
      <c r="I8"/>
      <c r="J8"/>
    </row>
    <row r="9" spans="1:21" x14ac:dyDescent="0.25">
      <c r="A9" s="137" t="s">
        <v>3</v>
      </c>
      <c r="B9" s="137" t="s">
        <v>4</v>
      </c>
      <c r="C9" s="137" t="s">
        <v>23</v>
      </c>
      <c r="D9" s="137" t="s">
        <v>37</v>
      </c>
      <c r="E9" s="222" t="s">
        <v>813</v>
      </c>
      <c r="F9" s="222" t="s">
        <v>809</v>
      </c>
      <c r="G9" s="222" t="s">
        <v>815</v>
      </c>
      <c r="H9" s="20">
        <v>0</v>
      </c>
      <c r="I9"/>
      <c r="J9"/>
    </row>
    <row r="10" spans="1:21" s="220" customFormat="1" x14ac:dyDescent="0.25">
      <c r="A10" s="68" t="s">
        <v>1167</v>
      </c>
      <c r="B10" s="68" t="s">
        <v>1344</v>
      </c>
      <c r="C10" s="68" t="s">
        <v>807</v>
      </c>
      <c r="D10" s="1" t="s">
        <v>807</v>
      </c>
      <c r="E10" s="68" t="s">
        <v>807</v>
      </c>
      <c r="F10" s="68">
        <v>10</v>
      </c>
      <c r="G10" s="68" t="s">
        <v>807</v>
      </c>
      <c r="H10" s="27">
        <v>10</v>
      </c>
      <c r="I10" s="27">
        <v>10</v>
      </c>
      <c r="J10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</row>
    <row r="11" spans="1:21" s="220" customFormat="1" x14ac:dyDescent="0.25">
      <c r="A11"/>
      <c r="B11"/>
      <c r="C11"/>
      <c r="D11"/>
      <c r="E11"/>
      <c r="F11"/>
      <c r="G11"/>
      <c r="H11"/>
      <c r="I11"/>
      <c r="J11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</row>
    <row r="12" spans="1:21" s="220" customFormat="1" x14ac:dyDescent="0.25">
      <c r="A12" s="217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</row>
    <row r="13" spans="1:21" s="220" customFormat="1" x14ac:dyDescent="0.25">
      <c r="A13" s="217"/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7"/>
      <c r="P13" s="217"/>
      <c r="Q13" s="217"/>
      <c r="R13" s="217"/>
      <c r="S13" s="217"/>
      <c r="T13" s="217"/>
      <c r="U13" s="217"/>
    </row>
    <row r="14" spans="1:21" s="220" customFormat="1" x14ac:dyDescent="0.25">
      <c r="A14" s="217"/>
      <c r="B14" s="217"/>
      <c r="C14" s="217"/>
      <c r="D14" s="217"/>
      <c r="E14" s="217"/>
      <c r="F14" s="217"/>
      <c r="G14" s="217"/>
      <c r="H14" s="217"/>
      <c r="I14" s="217"/>
      <c r="J14" s="217"/>
      <c r="K14" s="217"/>
      <c r="L14" s="217"/>
      <c r="M14" s="217"/>
      <c r="N14" s="217"/>
      <c r="O14" s="217"/>
      <c r="P14" s="217"/>
      <c r="Q14" s="217"/>
      <c r="R14" s="217"/>
      <c r="S14" s="217"/>
      <c r="T14" s="217"/>
      <c r="U14" s="217"/>
    </row>
    <row r="15" spans="1:21" s="220" customFormat="1" x14ac:dyDescent="0.25">
      <c r="A15" s="217"/>
      <c r="B15" s="217"/>
      <c r="C15" s="217"/>
      <c r="D15" s="217"/>
      <c r="E15" s="217"/>
      <c r="F15" s="217"/>
      <c r="G15" s="217"/>
      <c r="H15" s="217"/>
      <c r="I15" s="217"/>
      <c r="J15" s="217"/>
      <c r="K15" s="217"/>
      <c r="L15" s="217"/>
      <c r="M15" s="217"/>
      <c r="N15" s="217"/>
      <c r="O15" s="217"/>
      <c r="P15" s="217"/>
      <c r="Q15" s="217"/>
      <c r="R15" s="217"/>
      <c r="S15" s="217"/>
      <c r="T15" s="217"/>
      <c r="U15" s="217"/>
    </row>
    <row r="16" spans="1:21" s="220" customFormat="1" x14ac:dyDescent="0.25">
      <c r="A16" s="217"/>
      <c r="B16" s="217"/>
      <c r="C16" s="217"/>
      <c r="D16" s="217"/>
      <c r="E16" s="217"/>
      <c r="F16" s="217"/>
      <c r="G16" s="217"/>
      <c r="H16" s="217"/>
      <c r="I16" s="217"/>
      <c r="J16" s="217"/>
      <c r="K16" s="217"/>
      <c r="L16" s="217"/>
      <c r="M16" s="217"/>
      <c r="N16" s="217"/>
      <c r="O16" s="217"/>
      <c r="P16" s="217"/>
      <c r="Q16" s="217"/>
      <c r="R16" s="217"/>
      <c r="S16" s="217"/>
      <c r="T16" s="217"/>
      <c r="U16" s="217"/>
    </row>
    <row r="17" spans="1:21" s="220" customFormat="1" x14ac:dyDescent="0.25">
      <c r="A17" s="217"/>
      <c r="B17" s="217"/>
      <c r="C17" s="217"/>
      <c r="D17" s="217"/>
      <c r="E17" s="217"/>
      <c r="F17" s="217"/>
      <c r="G17" s="217"/>
      <c r="H17" s="217"/>
      <c r="I17" s="217"/>
      <c r="J17" s="217"/>
      <c r="K17" s="217"/>
      <c r="L17" s="217"/>
      <c r="M17" s="217"/>
      <c r="N17" s="217"/>
      <c r="O17" s="217"/>
      <c r="P17" s="217"/>
      <c r="Q17" s="217"/>
      <c r="R17" s="217"/>
      <c r="S17" s="217"/>
      <c r="T17" s="217"/>
      <c r="U17" s="217"/>
    </row>
    <row r="18" spans="1:21" s="220" customFormat="1" x14ac:dyDescent="0.25">
      <c r="A18" s="217"/>
      <c r="B18" s="217"/>
      <c r="C18" s="217"/>
      <c r="D18" s="217"/>
      <c r="E18" s="217"/>
      <c r="F18" s="217"/>
      <c r="G18" s="217"/>
      <c r="H18" s="217"/>
      <c r="I18" s="217"/>
      <c r="J18" s="217"/>
      <c r="K18" s="217"/>
      <c r="L18" s="217"/>
      <c r="M18" s="217"/>
      <c r="N18" s="217"/>
      <c r="O18" s="217"/>
      <c r="P18" s="217"/>
      <c r="Q18" s="217"/>
      <c r="R18" s="217"/>
      <c r="S18" s="217"/>
      <c r="T18" s="217"/>
      <c r="U18" s="217"/>
    </row>
    <row r="19" spans="1:21" s="220" customFormat="1" x14ac:dyDescent="0.25">
      <c r="A19" s="217"/>
      <c r="B19" s="217"/>
      <c r="C19" s="217"/>
      <c r="D19" s="217"/>
      <c r="E19" s="217"/>
      <c r="F19" s="217"/>
      <c r="G19" s="217"/>
      <c r="H19" s="217"/>
      <c r="I19" s="217"/>
      <c r="J19" s="217"/>
      <c r="K19" s="217"/>
      <c r="L19" s="217"/>
      <c r="M19" s="217"/>
      <c r="N19" s="217"/>
      <c r="O19" s="217"/>
      <c r="P19" s="217"/>
      <c r="Q19" s="217"/>
      <c r="R19" s="217"/>
      <c r="S19" s="217"/>
      <c r="T19" s="217"/>
      <c r="U19" s="217"/>
    </row>
    <row r="20" spans="1:21" s="220" customFormat="1" x14ac:dyDescent="0.25">
      <c r="A20" s="217"/>
      <c r="B20" s="217"/>
      <c r="C20" s="217"/>
      <c r="D20" s="217"/>
      <c r="E20" s="217"/>
      <c r="F20" s="217"/>
      <c r="G20" s="217"/>
      <c r="H20" s="217"/>
      <c r="I20" s="217"/>
      <c r="J20" s="217"/>
      <c r="K20" s="217"/>
      <c r="L20" s="217"/>
      <c r="M20" s="217"/>
      <c r="N20" s="217"/>
      <c r="O20" s="217"/>
      <c r="P20" s="217"/>
      <c r="Q20" s="217"/>
      <c r="R20" s="217"/>
      <c r="S20" s="217"/>
      <c r="T20" s="217"/>
      <c r="U20" s="217"/>
    </row>
    <row r="21" spans="1:21" s="220" customFormat="1" x14ac:dyDescent="0.25">
      <c r="A21" s="217"/>
      <c r="B21" s="217"/>
      <c r="C21" s="217"/>
      <c r="D21" s="217"/>
      <c r="E21" s="217"/>
      <c r="F21" s="217"/>
      <c r="G21" s="217"/>
      <c r="H21" s="217"/>
      <c r="I21" s="217"/>
      <c r="J21" s="217"/>
      <c r="K21" s="217"/>
      <c r="L21" s="217"/>
      <c r="M21" s="217"/>
      <c r="N21" s="217"/>
      <c r="O21" s="217"/>
      <c r="P21" s="217"/>
      <c r="Q21" s="217"/>
      <c r="R21" s="217"/>
      <c r="S21" s="217"/>
      <c r="T21" s="217"/>
      <c r="U21" s="217"/>
    </row>
    <row r="22" spans="1:21" s="220" customFormat="1" x14ac:dyDescent="0.25">
      <c r="A22" s="217"/>
      <c r="B22" s="217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7"/>
      <c r="N22" s="217"/>
      <c r="O22" s="217"/>
      <c r="P22" s="217"/>
      <c r="Q22" s="217"/>
      <c r="R22" s="217"/>
      <c r="S22" s="217"/>
      <c r="T22" s="217"/>
      <c r="U22" s="217"/>
    </row>
    <row r="23" spans="1:21" s="220" customFormat="1" x14ac:dyDescent="0.25">
      <c r="A23" s="217"/>
      <c r="B23" s="217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7"/>
      <c r="N23" s="217"/>
      <c r="O23" s="217"/>
      <c r="P23" s="217"/>
      <c r="Q23" s="217"/>
      <c r="R23" s="217"/>
      <c r="S23" s="217"/>
      <c r="T23" s="217"/>
      <c r="U23" s="217"/>
    </row>
    <row r="24" spans="1:21" s="220" customFormat="1" x14ac:dyDescent="0.25">
      <c r="A24" s="217"/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217"/>
    </row>
    <row r="25" spans="1:21" s="220" customFormat="1" x14ac:dyDescent="0.25">
      <c r="A25" s="217"/>
      <c r="B25" s="217"/>
      <c r="C25" s="217"/>
      <c r="D25" s="217"/>
      <c r="E25" s="217"/>
      <c r="F25" s="217"/>
      <c r="G25" s="217"/>
      <c r="H25" s="217"/>
      <c r="I25" s="217"/>
      <c r="J25" s="217"/>
      <c r="K25" s="217"/>
      <c r="L25" s="217"/>
      <c r="M25" s="217"/>
      <c r="N25" s="217"/>
      <c r="O25" s="217"/>
      <c r="P25" s="217"/>
      <c r="Q25" s="217"/>
      <c r="R25" s="217"/>
      <c r="S25" s="217"/>
      <c r="T25" s="217"/>
      <c r="U25" s="217"/>
    </row>
    <row r="26" spans="1:21" s="220" customFormat="1" x14ac:dyDescent="0.25">
      <c r="A26" s="217"/>
      <c r="B26" s="217"/>
      <c r="C26" s="217"/>
      <c r="D26" s="217"/>
      <c r="E26" s="217"/>
      <c r="F26" s="217"/>
      <c r="G26" s="217"/>
      <c r="H26" s="217"/>
      <c r="I26" s="217"/>
      <c r="J26" s="217"/>
      <c r="K26" s="217"/>
      <c r="L26" s="217"/>
      <c r="M26" s="217"/>
      <c r="N26" s="217"/>
      <c r="O26" s="217"/>
      <c r="P26" s="217"/>
      <c r="Q26" s="217"/>
      <c r="R26" s="217"/>
      <c r="S26" s="217"/>
      <c r="T26" s="217"/>
      <c r="U26" s="217"/>
    </row>
    <row r="27" spans="1:21" s="220" customFormat="1" x14ac:dyDescent="0.25">
      <c r="A27" s="217"/>
      <c r="B27" s="217"/>
      <c r="C27" s="217"/>
      <c r="D27" s="217"/>
      <c r="E27" s="217"/>
      <c r="F27" s="217"/>
      <c r="G27" s="217"/>
      <c r="H27" s="217"/>
      <c r="I27" s="217"/>
      <c r="J27" s="217"/>
      <c r="K27" s="217"/>
      <c r="L27" s="217"/>
      <c r="M27" s="217"/>
      <c r="N27" s="217"/>
      <c r="O27" s="217"/>
      <c r="P27" s="217"/>
      <c r="Q27" s="217"/>
      <c r="R27" s="217"/>
      <c r="S27" s="217"/>
      <c r="T27" s="217"/>
      <c r="U27" s="217"/>
    </row>
    <row r="28" spans="1:21" s="220" customFormat="1" x14ac:dyDescent="0.25">
      <c r="A28" s="217"/>
      <c r="B28" s="217"/>
      <c r="C28" s="217"/>
      <c r="D28" s="217"/>
      <c r="E28" s="217"/>
      <c r="F28" s="217"/>
      <c r="G28" s="217"/>
      <c r="H28" s="217"/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</row>
    <row r="29" spans="1:21" s="220" customFormat="1" x14ac:dyDescent="0.25">
      <c r="A29" s="217"/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17"/>
      <c r="P29" s="217"/>
      <c r="Q29" s="217"/>
      <c r="R29" s="217"/>
      <c r="S29" s="217"/>
      <c r="T29" s="217"/>
      <c r="U29" s="217"/>
    </row>
    <row r="30" spans="1:21" s="220" customFormat="1" x14ac:dyDescent="0.25">
      <c r="A30" s="217"/>
      <c r="B30" s="217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</row>
    <row r="31" spans="1:21" s="220" customFormat="1" x14ac:dyDescent="0.25">
      <c r="A31" s="217"/>
      <c r="B31" s="217"/>
      <c r="C31" s="217"/>
      <c r="D31" s="217"/>
      <c r="E31" s="217"/>
      <c r="F31" s="217"/>
      <c r="G31" s="217"/>
      <c r="H31" s="217"/>
      <c r="I31" s="217"/>
      <c r="J31" s="217"/>
      <c r="K31" s="217"/>
      <c r="L31" s="217"/>
      <c r="M31" s="217"/>
      <c r="N31" s="217"/>
      <c r="O31" s="217"/>
      <c r="P31" s="217"/>
      <c r="Q31" s="217"/>
      <c r="R31" s="217"/>
      <c r="S31" s="217"/>
      <c r="T31" s="217"/>
      <c r="U31" s="217"/>
    </row>
  </sheetData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763906" r:id="rId5" name="cmdIr">
          <controlPr defaultSize="0" autoLine="0" r:id="rId6">
            <anchor>
              <from>
                <xdr:col>2</xdr:col>
                <xdr:colOff>28575</xdr:colOff>
                <xdr:row>2</xdr:row>
                <xdr:rowOff>19050</xdr:rowOff>
              </from>
              <to>
                <xdr:col>2</xdr:col>
                <xdr:colOff>742950</xdr:colOff>
                <xdr:row>3</xdr:row>
                <xdr:rowOff>123825</xdr:rowOff>
              </to>
            </anchor>
          </controlPr>
        </control>
      </mc:Choice>
      <mc:Fallback>
        <control shapeId="763906" r:id="rId5" name="cmdIr"/>
      </mc:Fallback>
    </mc:AlternateContent>
    <mc:AlternateContent xmlns:mc="http://schemas.openxmlformats.org/markup-compatibility/2006">
      <mc:Choice Requires="x14">
        <control shapeId="763905" r:id="rId7" name="cmd_Volver">
          <controlPr locked="0" defaultSize="0" autoLine="0" r:id="rId8">
            <anchor>
              <from>
                <xdr:col>2</xdr:col>
                <xdr:colOff>28575</xdr:colOff>
                <xdr:row>0</xdr:row>
                <xdr:rowOff>142875</xdr:rowOff>
              </from>
              <to>
                <xdr:col>2</xdr:col>
                <xdr:colOff>752475</xdr:colOff>
                <xdr:row>2</xdr:row>
                <xdr:rowOff>9525</xdr:rowOff>
              </to>
            </anchor>
          </controlPr>
        </control>
      </mc:Choice>
      <mc:Fallback>
        <control shapeId="763905" r:id="rId7" name="cmd_Volv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6"/>
  <dimension ref="A1:O3"/>
  <sheetViews>
    <sheetView showGridLines="0" zoomScale="80" zoomScaleNormal="80" workbookViewId="0">
      <pane ySplit="1" topLeftCell="A2" activePane="bottomLeft" state="frozen"/>
      <selection pane="bottomLeft"/>
    </sheetView>
  </sheetViews>
  <sheetFormatPr baseColWidth="10" defaultRowHeight="12.75" x14ac:dyDescent="0.2"/>
  <cols>
    <col min="2" max="2" width="15.85546875" customWidth="1"/>
    <col min="5" max="5" width="12.42578125" customWidth="1"/>
    <col min="8" max="8" width="14.5703125" customWidth="1"/>
    <col min="9" max="9" width="14" customWidth="1"/>
    <col min="12" max="12" width="17.28515625" customWidth="1"/>
    <col min="13" max="13" width="18.85546875" customWidth="1"/>
    <col min="14" max="14" width="15.85546875" customWidth="1"/>
  </cols>
  <sheetData>
    <row r="1" spans="1:15" ht="22.5" x14ac:dyDescent="0.3">
      <c r="A1" s="169" t="s">
        <v>743</v>
      </c>
    </row>
    <row r="2" spans="1:15" ht="25.5" customHeight="1" x14ac:dyDescent="0.2">
      <c r="A2" s="172" t="s">
        <v>63</v>
      </c>
      <c r="B2" s="170" t="s">
        <v>3</v>
      </c>
      <c r="C2" s="170" t="s">
        <v>4</v>
      </c>
      <c r="D2" s="170" t="s">
        <v>23</v>
      </c>
      <c r="E2" s="170" t="s">
        <v>37</v>
      </c>
      <c r="F2" s="170" t="s">
        <v>280</v>
      </c>
      <c r="G2" s="170" t="s">
        <v>281</v>
      </c>
      <c r="H2" s="170" t="s">
        <v>282</v>
      </c>
      <c r="I2" s="170" t="s">
        <v>283</v>
      </c>
      <c r="J2" s="170" t="s">
        <v>284</v>
      </c>
      <c r="K2" s="170" t="s">
        <v>22</v>
      </c>
      <c r="L2" s="170" t="s">
        <v>285</v>
      </c>
      <c r="M2" s="170" t="s">
        <v>740</v>
      </c>
      <c r="N2" s="170" t="s">
        <v>741</v>
      </c>
      <c r="O2" s="170" t="s">
        <v>742</v>
      </c>
    </row>
    <row r="3" spans="1:15" x14ac:dyDescent="0.2">
      <c r="A3" s="1"/>
      <c r="M3" s="176"/>
      <c r="N3" s="176"/>
      <c r="O3" s="92"/>
    </row>
  </sheetData>
  <sheetProtection sort="0" autoFilter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8369" r:id="rId4" name="volver">
              <controlPr defaultSize="0" print="0" autoFill="0" autoPict="0" macro="[0]!Volver_Mal_Atendidos_Frecuencia">
                <anchor moveWithCells="1">
                  <from>
                    <xdr:col>6</xdr:col>
                    <xdr:colOff>447675</xdr:colOff>
                    <xdr:row>0</xdr:row>
                    <xdr:rowOff>38100</xdr:rowOff>
                  </from>
                  <to>
                    <xdr:col>7</xdr:col>
                    <xdr:colOff>180975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7"/>
  <dimension ref="A1:Q3"/>
  <sheetViews>
    <sheetView showGridLines="0" zoomScale="80" zoomScaleNormal="80" workbookViewId="0">
      <pane ySplit="1" topLeftCell="A2" activePane="bottomLeft" state="frozen"/>
      <selection pane="bottomLeft"/>
    </sheetView>
  </sheetViews>
  <sheetFormatPr baseColWidth="10" defaultRowHeight="12.75" x14ac:dyDescent="0.2"/>
  <cols>
    <col min="1" max="1" width="11.42578125" style="68"/>
    <col min="2" max="2" width="15.85546875" style="68" customWidth="1"/>
    <col min="3" max="4" width="11.42578125" style="68"/>
    <col min="5" max="5" width="12.42578125" style="68" customWidth="1"/>
    <col min="6" max="7" width="11.42578125" style="68"/>
    <col min="8" max="8" width="14.5703125" style="68" customWidth="1"/>
    <col min="9" max="9" width="14" style="68" customWidth="1"/>
    <col min="10" max="11" width="11.42578125" style="68"/>
    <col min="12" max="12" width="17.28515625" style="68" customWidth="1"/>
    <col min="13" max="13" width="18.85546875" style="68" customWidth="1"/>
    <col min="14" max="14" width="19.5703125" style="68" customWidth="1"/>
    <col min="15" max="15" width="21.85546875" style="68" customWidth="1"/>
    <col min="16" max="16" width="19.42578125" style="68" customWidth="1"/>
    <col min="17" max="17" width="14.7109375" style="68" customWidth="1"/>
    <col min="18" max="16384" width="11.42578125" style="68"/>
  </cols>
  <sheetData>
    <row r="1" spans="1:17" ht="22.5" x14ac:dyDescent="0.3">
      <c r="A1" s="169" t="s">
        <v>744</v>
      </c>
    </row>
    <row r="2" spans="1:17" ht="28.5" customHeight="1" x14ac:dyDescent="0.2">
      <c r="A2" s="170" t="s">
        <v>63</v>
      </c>
      <c r="B2" s="170" t="s">
        <v>3</v>
      </c>
      <c r="C2" s="170" t="s">
        <v>4</v>
      </c>
      <c r="D2" s="170" t="s">
        <v>23</v>
      </c>
      <c r="E2" s="170" t="s">
        <v>37</v>
      </c>
      <c r="F2" s="170" t="s">
        <v>280</v>
      </c>
      <c r="G2" s="170" t="s">
        <v>281</v>
      </c>
      <c r="H2" s="170" t="s">
        <v>282</v>
      </c>
      <c r="I2" s="170" t="s">
        <v>283</v>
      </c>
      <c r="J2" s="170" t="s">
        <v>284</v>
      </c>
      <c r="K2" s="170" t="s">
        <v>22</v>
      </c>
      <c r="L2" s="170" t="s">
        <v>285</v>
      </c>
      <c r="M2" s="170" t="s">
        <v>745</v>
      </c>
      <c r="N2" s="170" t="s">
        <v>746</v>
      </c>
      <c r="O2" s="170" t="s">
        <v>747</v>
      </c>
      <c r="P2" s="170" t="s">
        <v>748</v>
      </c>
      <c r="Q2" s="170" t="s">
        <v>742</v>
      </c>
    </row>
    <row r="3" spans="1:17" x14ac:dyDescent="0.2">
      <c r="A3" s="1"/>
      <c r="M3" s="176"/>
      <c r="N3" s="176"/>
      <c r="O3" s="92"/>
      <c r="P3" s="92"/>
      <c r="Q3" s="178"/>
    </row>
  </sheetData>
  <sheetProtection sort="0" autoFilter="0"/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5713" r:id="rId3" name="volver">
              <controlPr defaultSize="0" print="0" autoFill="0" autoPict="0" macro="[0]!Volver_Mal_Atendidos_Suministro">
                <anchor moveWithCells="1">
                  <from>
                    <xdr:col>6</xdr:col>
                    <xdr:colOff>447675</xdr:colOff>
                    <xdr:row>0</xdr:row>
                    <xdr:rowOff>38100</xdr:rowOff>
                  </from>
                  <to>
                    <xdr:col>7</xdr:col>
                    <xdr:colOff>180975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3"/>
  <dimension ref="A1:B2"/>
  <sheetViews>
    <sheetView workbookViewId="0">
      <selection activeCell="A3" sqref="A3"/>
    </sheetView>
  </sheetViews>
  <sheetFormatPr baseColWidth="10" defaultRowHeight="12.75" x14ac:dyDescent="0.2"/>
  <sheetData>
    <row r="1" spans="1:2" x14ac:dyDescent="0.2">
      <c r="A1" t="s">
        <v>585</v>
      </c>
      <c r="B1" t="s">
        <v>586</v>
      </c>
    </row>
    <row r="2" spans="1:2" x14ac:dyDescent="0.2">
      <c r="A2" t="s">
        <v>587</v>
      </c>
      <c r="B2" t="s">
        <v>588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5"/>
  <dimension ref="A1:E2"/>
  <sheetViews>
    <sheetView showGridLines="0" workbookViewId="0">
      <selection activeCell="A2" sqref="A2:E2"/>
    </sheetView>
  </sheetViews>
  <sheetFormatPr baseColWidth="10" defaultRowHeight="12.75" x14ac:dyDescent="0.2"/>
  <cols>
    <col min="1" max="1" width="12.140625" customWidth="1"/>
    <col min="2" max="2" width="34.7109375" customWidth="1"/>
    <col min="3" max="3" width="23.5703125" customWidth="1"/>
    <col min="4" max="4" width="60.7109375" customWidth="1"/>
    <col min="5" max="5" width="39.28515625" customWidth="1"/>
  </cols>
  <sheetData>
    <row r="1" spans="1:5" x14ac:dyDescent="0.2">
      <c r="A1" t="s">
        <v>73</v>
      </c>
      <c r="B1" t="s">
        <v>63</v>
      </c>
      <c r="C1" t="s">
        <v>3</v>
      </c>
      <c r="D1" t="s">
        <v>534</v>
      </c>
      <c r="E1" t="s">
        <v>535</v>
      </c>
    </row>
    <row r="2" spans="1:5" x14ac:dyDescent="0.2">
      <c r="A2" s="1"/>
      <c r="B2" s="1"/>
      <c r="C2" s="1"/>
      <c r="D2" s="1"/>
      <c r="E2" s="1"/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4481" r:id="rId4" name="cmdVolver">
          <controlPr defaultSize="0" autoLine="0" autoPict="0" r:id="rId5">
            <anchor moveWithCells="1">
              <from>
                <xdr:col>5</xdr:col>
                <xdr:colOff>133350</xdr:colOff>
                <xdr:row>0</xdr:row>
                <xdr:rowOff>9525</xdr:rowOff>
              </from>
              <to>
                <xdr:col>6</xdr:col>
                <xdr:colOff>161925</xdr:colOff>
                <xdr:row>1</xdr:row>
                <xdr:rowOff>38100</xdr:rowOff>
              </to>
            </anchor>
          </controlPr>
        </control>
      </mc:Choice>
      <mc:Fallback>
        <control shapeId="404481" r:id="rId4" name="cmdVolver"/>
      </mc:Fallback>
    </mc:AlternateContent>
  </control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4"/>
  <dimension ref="A1:F2"/>
  <sheetViews>
    <sheetView showGridLines="0" workbookViewId="0">
      <selection activeCell="F2" sqref="F2"/>
    </sheetView>
  </sheetViews>
  <sheetFormatPr baseColWidth="10" defaultRowHeight="12.75" x14ac:dyDescent="0.2"/>
  <cols>
    <col min="3" max="3" width="12" customWidth="1"/>
    <col min="4" max="4" width="13" customWidth="1"/>
    <col min="6" max="6" width="15.42578125" customWidth="1"/>
  </cols>
  <sheetData>
    <row r="1" spans="1:6" x14ac:dyDescent="0.2">
      <c r="A1" t="s">
        <v>43</v>
      </c>
      <c r="B1" t="s">
        <v>523</v>
      </c>
      <c r="C1" t="s">
        <v>524</v>
      </c>
      <c r="D1" t="s">
        <v>525</v>
      </c>
      <c r="F1" s="1" t="s">
        <v>528</v>
      </c>
    </row>
    <row r="2" spans="1:6" x14ac:dyDescent="0.2">
      <c r="A2" t="s">
        <v>532</v>
      </c>
      <c r="B2" t="s">
        <v>493</v>
      </c>
      <c r="D2">
        <v>0.4</v>
      </c>
      <c r="F2" t="s">
        <v>532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/>
  <dimension ref="A1"/>
  <sheetViews>
    <sheetView workbookViewId="0"/>
  </sheetViews>
  <sheetFormatPr baseColWidth="10" defaultRowHeight="12.75" x14ac:dyDescent="0.2"/>
  <sheetData>
    <row r="1" spans="1:1" x14ac:dyDescent="0.2">
      <c r="A1" t="s">
        <v>842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0"/>
  <dimension ref="A1:C54"/>
  <sheetViews>
    <sheetView showGridLines="0" workbookViewId="0">
      <pane ySplit="13" topLeftCell="A14" activePane="bottomLeft" state="frozen"/>
      <selection pane="bottomLeft" activeCell="C46" sqref="C46"/>
    </sheetView>
  </sheetViews>
  <sheetFormatPr baseColWidth="10" defaultRowHeight="12.75" x14ac:dyDescent="0.2"/>
  <cols>
    <col min="1" max="1" width="17.85546875" customWidth="1"/>
    <col min="2" max="2" width="7.5703125" style="68" customWidth="1"/>
  </cols>
  <sheetData>
    <row r="1" spans="1:3" x14ac:dyDescent="0.2">
      <c r="A1" s="1"/>
      <c r="B1" s="1"/>
    </row>
    <row r="14" spans="1:3" x14ac:dyDescent="0.2">
      <c r="A14" s="132"/>
      <c r="B14" s="132">
        <v>1</v>
      </c>
      <c r="C14" t="s">
        <v>456</v>
      </c>
    </row>
    <row r="15" spans="1:3" x14ac:dyDescent="0.2">
      <c r="A15" s="132"/>
      <c r="B15" s="132">
        <v>2</v>
      </c>
      <c r="C15" t="s">
        <v>457</v>
      </c>
    </row>
    <row r="16" spans="1:3" x14ac:dyDescent="0.2">
      <c r="A16" s="132"/>
      <c r="B16" s="132">
        <v>3</v>
      </c>
      <c r="C16" t="s">
        <v>458</v>
      </c>
    </row>
    <row r="17" spans="1:3" x14ac:dyDescent="0.2">
      <c r="A17" s="132"/>
      <c r="B17" s="132">
        <v>4</v>
      </c>
      <c r="C17" t="s">
        <v>459</v>
      </c>
    </row>
    <row r="18" spans="1:3" x14ac:dyDescent="0.2">
      <c r="A18" s="132"/>
      <c r="B18" s="132">
        <v>5</v>
      </c>
      <c r="C18" t="s">
        <v>460</v>
      </c>
    </row>
    <row r="19" spans="1:3" s="68" customFormat="1" x14ac:dyDescent="0.2">
      <c r="A19" s="132"/>
      <c r="B19" s="132">
        <v>6</v>
      </c>
      <c r="C19" s="1" t="s">
        <v>469</v>
      </c>
    </row>
    <row r="20" spans="1:3" s="68" customFormat="1" x14ac:dyDescent="0.2">
      <c r="A20" s="132"/>
      <c r="B20" s="132">
        <v>7</v>
      </c>
      <c r="C20" s="1" t="s">
        <v>470</v>
      </c>
    </row>
    <row r="21" spans="1:3" s="68" customFormat="1" x14ac:dyDescent="0.2">
      <c r="A21" s="132"/>
      <c r="B21" s="132">
        <v>8</v>
      </c>
      <c r="C21" s="1" t="s">
        <v>473</v>
      </c>
    </row>
    <row r="22" spans="1:3" s="68" customFormat="1" x14ac:dyDescent="0.2">
      <c r="A22" s="132"/>
      <c r="B22" s="132">
        <v>9</v>
      </c>
      <c r="C22" s="1" t="s">
        <v>542</v>
      </c>
    </row>
    <row r="23" spans="1:3" ht="16.5" customHeight="1" x14ac:dyDescent="0.2">
      <c r="A23" s="132"/>
      <c r="B23" s="132">
        <v>10</v>
      </c>
      <c r="C23" t="s">
        <v>504</v>
      </c>
    </row>
    <row r="24" spans="1:3" ht="16.5" customHeight="1" x14ac:dyDescent="0.2">
      <c r="A24" s="132"/>
      <c r="B24" s="132">
        <v>11</v>
      </c>
      <c r="C24" t="s">
        <v>505</v>
      </c>
    </row>
    <row r="25" spans="1:3" ht="16.5" customHeight="1" x14ac:dyDescent="0.2">
      <c r="A25" s="132"/>
      <c r="B25" s="132">
        <v>12</v>
      </c>
      <c r="C25" s="1" t="s">
        <v>543</v>
      </c>
    </row>
    <row r="26" spans="1:3" ht="16.5" customHeight="1" x14ac:dyDescent="0.2">
      <c r="A26" s="132"/>
      <c r="B26" s="132">
        <v>13</v>
      </c>
      <c r="C26" t="s">
        <v>506</v>
      </c>
    </row>
    <row r="27" spans="1:3" ht="16.5" customHeight="1" x14ac:dyDescent="0.2">
      <c r="A27" s="132"/>
      <c r="B27" s="132">
        <v>14</v>
      </c>
      <c r="C27" t="s">
        <v>461</v>
      </c>
    </row>
    <row r="28" spans="1:3" ht="16.5" customHeight="1" x14ac:dyDescent="0.2">
      <c r="A28" s="132"/>
      <c r="B28" s="132">
        <v>15</v>
      </c>
      <c r="C28" t="s">
        <v>507</v>
      </c>
    </row>
    <row r="29" spans="1:3" ht="16.5" customHeight="1" x14ac:dyDescent="0.2">
      <c r="A29" s="132"/>
      <c r="B29" s="132">
        <v>16</v>
      </c>
      <c r="C29" t="s">
        <v>462</v>
      </c>
    </row>
    <row r="30" spans="1:3" ht="16.5" customHeight="1" x14ac:dyDescent="0.2">
      <c r="A30" s="132"/>
      <c r="B30" s="132">
        <v>17</v>
      </c>
      <c r="C30" t="s">
        <v>463</v>
      </c>
    </row>
    <row r="31" spans="1:3" ht="16.5" customHeight="1" x14ac:dyDescent="0.2">
      <c r="A31" s="132"/>
      <c r="B31" s="132">
        <v>18</v>
      </c>
      <c r="C31" t="s">
        <v>464</v>
      </c>
    </row>
    <row r="32" spans="1:3" ht="16.5" customHeight="1" x14ac:dyDescent="0.2">
      <c r="A32" s="132"/>
      <c r="B32" s="132">
        <v>19</v>
      </c>
      <c r="C32" t="s">
        <v>465</v>
      </c>
    </row>
    <row r="33" spans="1:3" ht="16.5" customHeight="1" x14ac:dyDescent="0.2">
      <c r="A33" s="132"/>
      <c r="B33" s="132">
        <v>20</v>
      </c>
      <c r="C33" t="s">
        <v>466</v>
      </c>
    </row>
    <row r="34" spans="1:3" ht="16.5" customHeight="1" x14ac:dyDescent="0.2">
      <c r="A34" s="133"/>
      <c r="B34" s="132">
        <v>21</v>
      </c>
      <c r="C34" s="1" t="s">
        <v>481</v>
      </c>
    </row>
    <row r="35" spans="1:3" s="68" customFormat="1" ht="16.5" customHeight="1" x14ac:dyDescent="0.2">
      <c r="A35" s="133"/>
      <c r="B35" s="132">
        <v>22</v>
      </c>
      <c r="C35" s="1" t="s">
        <v>474</v>
      </c>
    </row>
    <row r="36" spans="1:3" ht="16.5" customHeight="1" x14ac:dyDescent="0.2">
      <c r="A36" s="132"/>
      <c r="B36" s="143">
        <v>23</v>
      </c>
      <c r="C36" s="1" t="s">
        <v>467</v>
      </c>
    </row>
    <row r="37" spans="1:3" ht="16.5" customHeight="1" x14ac:dyDescent="0.2">
      <c r="A37" s="132"/>
      <c r="B37" s="143">
        <v>24</v>
      </c>
      <c r="C37" s="1" t="s">
        <v>482</v>
      </c>
    </row>
    <row r="38" spans="1:3" ht="16.5" customHeight="1" x14ac:dyDescent="0.2">
      <c r="A38" s="132"/>
      <c r="B38" s="143">
        <v>25</v>
      </c>
      <c r="C38" s="1" t="s">
        <v>483</v>
      </c>
    </row>
    <row r="39" spans="1:3" ht="16.5" customHeight="1" x14ac:dyDescent="0.2">
      <c r="A39" s="132"/>
      <c r="B39" s="143">
        <v>26</v>
      </c>
      <c r="C39" s="1" t="s">
        <v>484</v>
      </c>
    </row>
    <row r="40" spans="1:3" ht="16.5" customHeight="1" x14ac:dyDescent="0.2">
      <c r="A40" s="132"/>
      <c r="B40" s="143">
        <v>27</v>
      </c>
      <c r="C40" s="1" t="s">
        <v>485</v>
      </c>
    </row>
    <row r="41" spans="1:3" ht="16.5" customHeight="1" x14ac:dyDescent="0.2">
      <c r="A41" s="132"/>
      <c r="B41" s="143">
        <v>28</v>
      </c>
      <c r="C41" s="1" t="s">
        <v>486</v>
      </c>
    </row>
    <row r="42" spans="1:3" ht="16.5" customHeight="1" x14ac:dyDescent="0.2">
      <c r="A42" s="132"/>
      <c r="B42" s="132">
        <v>29</v>
      </c>
      <c r="C42" s="1" t="s">
        <v>468</v>
      </c>
    </row>
    <row r="43" spans="1:3" ht="16.5" customHeight="1" x14ac:dyDescent="0.2">
      <c r="A43" s="132"/>
      <c r="B43" s="132">
        <v>30</v>
      </c>
      <c r="C43" s="1" t="s">
        <v>471</v>
      </c>
    </row>
    <row r="44" spans="1:3" ht="16.5" customHeight="1" x14ac:dyDescent="0.2">
      <c r="A44" s="132"/>
      <c r="B44" s="132">
        <v>31</v>
      </c>
      <c r="C44" s="1" t="s">
        <v>475</v>
      </c>
    </row>
    <row r="45" spans="1:3" ht="16.5" customHeight="1" x14ac:dyDescent="0.2">
      <c r="A45" s="132"/>
      <c r="B45" s="132">
        <v>32</v>
      </c>
      <c r="C45" s="1" t="s">
        <v>472</v>
      </c>
    </row>
    <row r="46" spans="1:3" ht="16.5" customHeight="1" x14ac:dyDescent="0.2">
      <c r="A46" s="132"/>
      <c r="B46" s="132">
        <v>33</v>
      </c>
      <c r="C46" s="1" t="s">
        <v>487</v>
      </c>
    </row>
    <row r="47" spans="1:3" ht="16.5" customHeight="1" x14ac:dyDescent="0.2">
      <c r="A47" s="132"/>
      <c r="B47" s="132">
        <v>34</v>
      </c>
      <c r="C47" s="1" t="s">
        <v>539</v>
      </c>
    </row>
    <row r="48" spans="1:3" ht="16.5" customHeight="1" x14ac:dyDescent="0.2">
      <c r="A48" s="132"/>
      <c r="B48" s="132">
        <v>35</v>
      </c>
      <c r="C48" s="1" t="s">
        <v>540</v>
      </c>
    </row>
    <row r="49" spans="2:3" x14ac:dyDescent="0.2">
      <c r="B49" s="132">
        <v>36</v>
      </c>
      <c r="C49" s="1" t="s">
        <v>541</v>
      </c>
    </row>
    <row r="52" spans="2:3" x14ac:dyDescent="0.2">
      <c r="C52" s="1"/>
    </row>
    <row r="53" spans="2:3" x14ac:dyDescent="0.2">
      <c r="C53" s="1"/>
    </row>
    <row r="54" spans="2:3" x14ac:dyDescent="0.2">
      <c r="C54" s="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7045" r:id="rId4" name="cmdVolver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9525</xdr:rowOff>
              </from>
              <to>
                <xdr:col>0</xdr:col>
                <xdr:colOff>466725</xdr:colOff>
                <xdr:row>1</xdr:row>
                <xdr:rowOff>133350</xdr:rowOff>
              </to>
            </anchor>
          </controlPr>
        </control>
      </mc:Choice>
      <mc:Fallback>
        <control shapeId="87045" r:id="rId4" name="cmdVolve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>
    <tabColor rgb="FF6600CC"/>
  </sheetPr>
  <dimension ref="A1:DS15"/>
  <sheetViews>
    <sheetView showGridLines="0" topLeftCell="U1" zoomScale="80" zoomScaleNormal="80" workbookViewId="0">
      <selection activeCell="AB3" sqref="AB3"/>
    </sheetView>
  </sheetViews>
  <sheetFormatPr baseColWidth="10" defaultColWidth="11.42578125" defaultRowHeight="12.75" x14ac:dyDescent="0.2"/>
  <cols>
    <col min="3" max="4" width="11.42578125" style="68"/>
    <col min="5" max="5" width="21.7109375" style="68" bestFit="1" customWidth="1"/>
    <col min="9" max="12" width="11.42578125" style="68"/>
    <col min="14" max="24" width="11.42578125" style="68"/>
    <col min="27" max="29" width="11.42578125" style="68"/>
    <col min="38" max="38" width="11.42578125" style="68"/>
    <col min="41" max="42" width="11.42578125" style="68"/>
    <col min="45" max="52" width="11.42578125" style="68"/>
    <col min="55" max="55" width="11.42578125" style="68"/>
    <col min="56" max="56" width="13.5703125" bestFit="1" customWidth="1"/>
    <col min="57" max="57" width="13.5703125" style="68" customWidth="1"/>
    <col min="60" max="60" width="11.42578125" style="68"/>
    <col min="70" max="70" width="12" bestFit="1" customWidth="1"/>
    <col min="71" max="71" width="13" bestFit="1" customWidth="1"/>
    <col min="75" max="77" width="11.42578125" style="68"/>
    <col min="81" max="84" width="11.42578125" style="68"/>
    <col min="94" max="94" width="11.42578125" style="68"/>
    <col min="97" max="97" width="11.42578125" style="68"/>
    <col min="101" max="102" width="11.42578125" style="68"/>
    <col min="105" max="105" width="11.42578125" style="68"/>
    <col min="107" max="107" width="8.42578125" bestFit="1" customWidth="1"/>
    <col min="111" max="121" width="11.42578125" style="68"/>
  </cols>
  <sheetData>
    <row r="1" spans="1:123" s="68" customFormat="1" x14ac:dyDescent="0.2"/>
    <row r="2" spans="1:123" x14ac:dyDescent="0.2">
      <c r="A2" t="s">
        <v>63</v>
      </c>
      <c r="B2" t="s">
        <v>3</v>
      </c>
      <c r="C2" s="68" t="s">
        <v>353</v>
      </c>
      <c r="D2" s="147" t="s">
        <v>351</v>
      </c>
      <c r="E2" s="147" t="s">
        <v>352</v>
      </c>
      <c r="F2" s="147" t="s">
        <v>4</v>
      </c>
      <c r="G2" s="148" t="s">
        <v>23</v>
      </c>
      <c r="H2" s="148" t="s">
        <v>37</v>
      </c>
      <c r="I2" s="148" t="s">
        <v>280</v>
      </c>
      <c r="J2" s="148" t="s">
        <v>282</v>
      </c>
      <c r="K2" s="148" t="s">
        <v>283</v>
      </c>
      <c r="L2" s="148" t="s">
        <v>284</v>
      </c>
      <c r="M2" s="148" t="s">
        <v>22</v>
      </c>
      <c r="N2" s="148" t="s">
        <v>285</v>
      </c>
      <c r="O2" s="148" t="s">
        <v>281</v>
      </c>
      <c r="P2" s="148" t="s">
        <v>291</v>
      </c>
      <c r="Q2" s="148" t="s">
        <v>286</v>
      </c>
      <c r="R2" s="148" t="s">
        <v>287</v>
      </c>
      <c r="S2" s="148" t="s">
        <v>288</v>
      </c>
      <c r="T2" s="148" t="s">
        <v>289</v>
      </c>
      <c r="U2" s="148" t="s">
        <v>290</v>
      </c>
      <c r="V2" s="148" t="s">
        <v>404</v>
      </c>
      <c r="W2" s="148" t="s">
        <v>493</v>
      </c>
      <c r="X2" s="148" t="s">
        <v>494</v>
      </c>
      <c r="Y2" s="148" t="s">
        <v>58</v>
      </c>
      <c r="Z2" s="148" t="s">
        <v>59</v>
      </c>
      <c r="AA2" s="148" t="s">
        <v>495</v>
      </c>
      <c r="AB2" s="148" t="s">
        <v>496</v>
      </c>
      <c r="AC2" s="148" t="s">
        <v>497</v>
      </c>
      <c r="AD2" s="1" t="s">
        <v>48</v>
      </c>
      <c r="AE2" s="1" t="s">
        <v>235</v>
      </c>
      <c r="AF2" s="148" t="s">
        <v>210</v>
      </c>
      <c r="AG2" s="148" t="s">
        <v>211</v>
      </c>
      <c r="AH2" s="148" t="s">
        <v>212</v>
      </c>
      <c r="AI2" s="148" t="s">
        <v>118</v>
      </c>
      <c r="AJ2" s="148" t="s">
        <v>97</v>
      </c>
      <c r="AK2" s="148" t="s">
        <v>489</v>
      </c>
      <c r="AL2" s="69" t="s">
        <v>123</v>
      </c>
      <c r="AM2" s="69" t="s">
        <v>124</v>
      </c>
      <c r="AN2" s="69" t="s">
        <v>13</v>
      </c>
      <c r="AO2" s="69" t="s">
        <v>380</v>
      </c>
      <c r="AP2" s="148" t="s">
        <v>257</v>
      </c>
      <c r="AQ2" s="148" t="s">
        <v>256</v>
      </c>
      <c r="AR2" s="148" t="s">
        <v>373</v>
      </c>
      <c r="AS2" s="148" t="s">
        <v>374</v>
      </c>
      <c r="AT2" s="148" t="s">
        <v>378</v>
      </c>
      <c r="AU2" s="69" t="s">
        <v>375</v>
      </c>
      <c r="AV2" s="69" t="s">
        <v>492</v>
      </c>
      <c r="AW2" s="1" t="s">
        <v>52</v>
      </c>
      <c r="AX2" s="1" t="s">
        <v>14</v>
      </c>
      <c r="AY2" s="68" t="s">
        <v>392</v>
      </c>
      <c r="AZ2" s="68" t="s">
        <v>393</v>
      </c>
      <c r="BA2" s="68" t="s">
        <v>394</v>
      </c>
      <c r="BB2" s="1" t="s">
        <v>122</v>
      </c>
      <c r="BC2" s="1" t="s">
        <v>376</v>
      </c>
      <c r="BD2" s="1" t="s">
        <v>131</v>
      </c>
      <c r="BE2" s="1" t="s">
        <v>527</v>
      </c>
      <c r="BF2" s="1" t="s">
        <v>354</v>
      </c>
      <c r="BG2" s="1" t="s">
        <v>264</v>
      </c>
      <c r="BH2" s="1" t="s">
        <v>526</v>
      </c>
      <c r="BI2" s="1" t="s">
        <v>132</v>
      </c>
      <c r="BJ2" s="1" t="s">
        <v>206</v>
      </c>
      <c r="BK2" s="1" t="s">
        <v>9</v>
      </c>
      <c r="BL2" s="148" t="s">
        <v>15</v>
      </c>
      <c r="BM2" s="148" t="s">
        <v>5</v>
      </c>
      <c r="BN2" s="148" t="s">
        <v>77</v>
      </c>
      <c r="BO2" s="148" t="s">
        <v>268</v>
      </c>
      <c r="BP2" t="s">
        <v>137</v>
      </c>
      <c r="BQ2" t="s">
        <v>166</v>
      </c>
      <c r="BR2" t="s">
        <v>165</v>
      </c>
      <c r="BS2" s="148" t="s">
        <v>53</v>
      </c>
      <c r="BT2" s="148" t="s">
        <v>16</v>
      </c>
      <c r="BU2" s="148" t="s">
        <v>17</v>
      </c>
      <c r="BV2" s="148" t="s">
        <v>10</v>
      </c>
      <c r="BW2" s="148" t="s">
        <v>355</v>
      </c>
      <c r="BX2" s="148" t="s">
        <v>356</v>
      </c>
      <c r="BY2" s="148" t="s">
        <v>357</v>
      </c>
      <c r="BZ2" s="148" t="s">
        <v>26</v>
      </c>
      <c r="CA2" s="148" t="s">
        <v>12</v>
      </c>
      <c r="CB2" s="148" t="s">
        <v>11</v>
      </c>
      <c r="CC2" s="148" t="s">
        <v>371</v>
      </c>
      <c r="CD2" s="148" t="s">
        <v>390</v>
      </c>
      <c r="CE2" s="148" t="s">
        <v>391</v>
      </c>
      <c r="CF2" s="148" t="s">
        <v>529</v>
      </c>
      <c r="CG2" s="148" t="s">
        <v>24</v>
      </c>
      <c r="CH2" s="148" t="s">
        <v>106</v>
      </c>
      <c r="CI2" t="s">
        <v>25</v>
      </c>
      <c r="CJ2" t="s">
        <v>164</v>
      </c>
      <c r="CK2" s="149" t="s">
        <v>201</v>
      </c>
      <c r="CL2" s="148" t="s">
        <v>200</v>
      </c>
      <c r="CM2" s="148" t="s">
        <v>107</v>
      </c>
      <c r="CN2" s="148" t="s">
        <v>108</v>
      </c>
      <c r="CO2" s="148" t="s">
        <v>35</v>
      </c>
      <c r="CP2" s="148" t="s">
        <v>372</v>
      </c>
      <c r="CQ2" s="148" t="s">
        <v>105</v>
      </c>
      <c r="CR2" s="148" t="s">
        <v>78</v>
      </c>
      <c r="CS2" s="148" t="s">
        <v>88</v>
      </c>
      <c r="CT2" s="148" t="s">
        <v>117</v>
      </c>
      <c r="CU2" s="148" t="s">
        <v>115</v>
      </c>
      <c r="CV2" s="148" t="s">
        <v>116</v>
      </c>
      <c r="CW2" s="148" t="s">
        <v>405</v>
      </c>
      <c r="CX2" s="148" t="s">
        <v>406</v>
      </c>
      <c r="CY2" s="148" t="s">
        <v>121</v>
      </c>
      <c r="CZ2" s="148" t="s">
        <v>265</v>
      </c>
      <c r="DA2" s="69" t="s">
        <v>8</v>
      </c>
      <c r="DB2" s="148" t="s">
        <v>6</v>
      </c>
      <c r="DC2" s="148" t="s">
        <v>0</v>
      </c>
      <c r="DD2" s="148" t="s">
        <v>1</v>
      </c>
      <c r="DE2" s="148" t="s">
        <v>2</v>
      </c>
      <c r="DF2" s="148" t="s">
        <v>7</v>
      </c>
      <c r="DG2" s="69" t="s">
        <v>379</v>
      </c>
      <c r="DH2" s="69" t="s">
        <v>381</v>
      </c>
      <c r="DI2" s="69" t="s">
        <v>564</v>
      </c>
      <c r="DJ2" s="69" t="s">
        <v>545</v>
      </c>
      <c r="DK2" s="69" t="s">
        <v>546</v>
      </c>
      <c r="DL2" s="69" t="s">
        <v>552</v>
      </c>
      <c r="DM2" s="69" t="s">
        <v>553</v>
      </c>
      <c r="DN2" s="69" t="s">
        <v>557</v>
      </c>
      <c r="DO2" s="69" t="s">
        <v>558</v>
      </c>
      <c r="DP2" s="69" t="s">
        <v>549</v>
      </c>
      <c r="DQ2" s="69" t="s">
        <v>551</v>
      </c>
      <c r="DR2" s="77" t="s">
        <v>261</v>
      </c>
      <c r="DS2" s="77" t="s">
        <v>395</v>
      </c>
    </row>
    <row r="3" spans="1:123" x14ac:dyDescent="0.2">
      <c r="C3" s="88"/>
      <c r="D3" t="e">
        <f>IF(ISERROR(CONTROL[[#This Row],[Coincidir Codigo en Producto]]),"",INDEX(Tabla_Datos_Codigo[pro_codigovinculado],CONTROL[[#This Row],[Coincidir Codigo en Producto]]))</f>
        <v>#REF!</v>
      </c>
      <c r="E3" t="e">
        <f>IF(ISERROR(CONTROL[[#This Row],[Coincidir Codigo en Producto]]),"",INDEX(Tabla_Datos_Codigo[pro_codigogenerico],CONTROL[[#This Row],[Coincidir Codigo en Producto]]))</f>
        <v>#REF!</v>
      </c>
      <c r="F3" t="e">
        <f>IF(ISERROR(CONTROL[[#This Row],[Coincidir Codigo en Producto]]),"",INDEX(Tabla_Datos_Codigo[pro_descripcion],CONTROL[[#This Row],[Coincidir Codigo en Producto]]))</f>
        <v>#REF!</v>
      </c>
      <c r="G3" t="e">
        <f>IF(ISERROR(CONTROL[[#This Row],[Coincidir Codigo en Producto]]),"",INDEX(Tabla_Datos_Codigo[pro_grupo],CONTROL[[#This Row],[Coincidir Codigo en Producto]]))</f>
        <v>#REF!</v>
      </c>
      <c r="H3" t="e">
        <f>IF(ISERROR(CONTROL[[#This Row],[Coincidir Codigo en Producto]]),"",INDEX(Tabla_Datos_Codigo[pro_linea],CONTROL[[#This Row],[Coincidir Codigo en Producto]]))</f>
        <v>#REF!</v>
      </c>
      <c r="I3" t="e">
        <f>IF(ISERROR(CONTROL[[#This Row],[Coincidir Codigo en Producto]]),"",INDEX(Tabla_Datos_Codigo[pro_sublinea],CONTROL[[#This Row],[Coincidir Codigo en Producto]]))</f>
        <v>#REF!</v>
      </c>
      <c r="J3" t="e">
        <f>IF(ISERROR(CONTROL[[#This Row],[Coincidir Codigo en Producto]]),"",INDEX(Tabla_Datos_Codigo[pro_familia],CONTROL[[#This Row],[Coincidir Codigo en Producto]]))</f>
        <v>#REF!</v>
      </c>
      <c r="K3" t="e">
        <f>IF(ISERROR(CONTROL[[#This Row],[Coincidir Codigo en Producto]]),"",INDEX(Tabla_Datos_Codigo[pro_subfamilia],CONTROL[[#This Row],[Coincidir Codigo en Producto]]))</f>
        <v>#REF!</v>
      </c>
      <c r="L3" t="e">
        <f>IF(ISERROR(CONTROL[[#This Row],[Coincidir Codigo en Producto]]),"",INDEX(Tabla_Datos_Codigo[pro_categoria],CONTROL[[#This Row],[Coincidir Codigo en Producto]]))</f>
        <v>#REF!</v>
      </c>
      <c r="M3" t="e">
        <f>IF(ISERROR(CONTROL[[#This Row],[Coincidir Codigo en Producto]]),"",INDEX(Tabla_Datos_Codigo[pro_tipo],CONTROL[[#This Row],[Coincidir Codigo en Producto]]))</f>
        <v>#REF!</v>
      </c>
      <c r="N3" t="e">
        <f>IF(ISERROR(CONTROL[[#This Row],[Coincidir Codigo en Producto]]),"",INDEX(Tabla_Datos_Codigo[pro_marca],CONTROL[[#This Row],[Coincidir Codigo en Producto]]))</f>
        <v>#REF!</v>
      </c>
      <c r="O3" t="e">
        <f>IF(ISERROR(CONTROL[[#This Row],[Coincidir Codigo en Producto]]),"",INDEX(Tabla_Datos_Codigo[pro_modelo],CONTROL[[#This Row],[Coincidir Codigo en Producto]]))</f>
        <v>#REF!</v>
      </c>
      <c r="P3" t="e">
        <f>IF(ISERROR(CONTROL[[#This Row],[Coincidir Codigo en Producto]]),"",INDEX(Tabla_Datos_Codigo[pro_cat_management],CONTROL[[#This Row],[Coincidir Codigo en Producto]]))</f>
        <v>#REF!</v>
      </c>
      <c r="Q3"/>
      <c r="R3"/>
      <c r="S3"/>
      <c r="T3"/>
      <c r="U3"/>
      <c r="V3" s="68" t="e">
        <f>IF(ISERROR(CONTROL[[#This Row],[Coincidir Codigo en Producto]]),"",INDEX(Tabla_Datos_Codigo[pro_estatus],CONTROL[[#This Row],[Coincidir Codigo en Producto]]))</f>
        <v>#REF!</v>
      </c>
      <c r="W3" s="68" t="e">
        <f>IF(ISERROR(CONTROL[[#This Row],[Coincidir Codigo en Producto]]),"",INDEX(Tabla_Datos_Codigo[pro_clasificacion],CONTROL[[#This Row],[Coincidir Codigo en Producto]]))</f>
        <v>#REF!</v>
      </c>
      <c r="X3" s="68" t="e">
        <f>IF(ISERROR(CONTROL[[#This Row],[Coincidir Codigo en Producto]]),"",INDEX(Tabla_Datos_Codigo[pro_responsable],CONTROL[[#This Row],[Coincidir Codigo en Producto]]))</f>
        <v>#REF!</v>
      </c>
      <c r="Y3" t="e">
        <f>IF(ISERROR(CONTROL[[#This Row],[Coincidir Codigo en Producto]]),0,--INDEX(Tabla_Datos_Codigo[pro_costo],CONTROL[[#This Row],[Coincidir Codigo en Producto]]))</f>
        <v>#REF!</v>
      </c>
      <c r="Z3" t="e">
        <f>IF(ISERROR(CONTROL[[#This Row],[Coincidir Codigo en Producto]]),0,--INDEX(Tabla_Datos_Codigo[pro_precio],CONTROL[[#This Row],[Coincidir Codigo en Producto]]))</f>
        <v>#REF!</v>
      </c>
      <c r="AA3" s="68" t="e">
        <f>IF(ISERROR(CONTROL[[#This Row],[Coincidir Codigo en Producto]]),0,--INDEX(Tabla_Datos_Codigo[pro_precio_promocion],CONTROL[[#This Row],[Coincidir Codigo en Producto]]))</f>
        <v>#REF!</v>
      </c>
      <c r="AB3" s="68" t="e">
        <f>IF(ISERROR(CONTROL[[#This Row],[Coincidir Codigo en Producto]]),"",IF(INDEX(Tabla_Datos_Codigo[pro_promocion_desde],CONTROL[[#This Row],[Coincidir Codigo en Producto]])=0,"",INDEX(Tabla_Datos_Codigo[pro_promocion_desde],CONTROL[[#This Row],[Coincidir Codigo en Producto]])))</f>
        <v>#REF!</v>
      </c>
      <c r="AC3" s="68" t="e">
        <f>IF(ISERROR(CONTROL[[#This Row],[Coincidir Codigo en Producto]]),"",IF(INDEX(Tabla_Datos_Codigo[pro_promocion_hasta],CONTROL[[#This Row],[Coincidir Codigo en Producto]])=0,"",INDEX(Tabla_Datos_Codigo[pro_promocion_hasta],CONTROL[[#This Row],[Coincidir Codigo en Producto]])))</f>
        <v>#REF!</v>
      </c>
      <c r="AF3">
        <f>IF(ISERROR(CONTROL[[#This Row],[Coincidir Bodega Perfil]]),"",INDEX(Tabla_ArchivosBodegas[HORIZONTE],CONTROL[[#This Row],[Coincidir Bodega Perfil]],1))</f>
        <v>7</v>
      </c>
      <c r="AG3">
        <f>IF(ISERROR(CONTROL[[#This Row],[Coincidir Bodega Perfil]]),"",INDEX(Tabla_ArchivosBodegas[TIEMP SUMINIS],CONTROL[[#This Row],[Coincidir Bodega Perfil]],1))</f>
        <v>3</v>
      </c>
      <c r="AH3">
        <f>IF(ISERROR(CONTROL[[#This Row],[Coincidir Bodega Perfil]]),"",INDEX(Tabla_ArchivosBodegas[FREC REP],CONTROL[[#This Row],[Coincidir Bodega Perfil]],1))</f>
        <v>4</v>
      </c>
      <c r="AI3">
        <f>IF(CONTROL[[#This Row],[Calendario Estacional]]&lt;&gt;"",IF(IFERROR(SUMPRODUCT((--(CONTROL[[#This Row],[Perfil]]=Tabla_Est[Perfil])),(--(CONTROL[[#This Row],[Calendario Estacional]]=Tabla_Est[CALENDARIO])),Tabla_Est[Dentro de Cambios por Estacionalidad?])&lt;&gt;0,0),0,1),1)</f>
        <v>1</v>
      </c>
      <c r="AJ3" t="str">
        <f>IF(AND(CONTROL[[#This Row],[GDB]]=1,CONTROL[[#This Row],[Color]]&lt;&gt;"L",CONTROL[[#This Row],[Color]]&lt;&gt;"G"),IF(AND(CONTROL[[#This Row],[Servicio]]&gt;=75%,LEFT(CONTROL[[#This Row],[Etapa]],5)="LIBRE"),"+-",IF(AND(CONTROL[[#This Row],[Servicio]]&gt;=75%,LEFT(CONTROL[[#This Row],[Etapa]],5)="LIBRE"),"+",IF(CONTROL[[#This Row],[Ult Cambio]]&lt;HOY,"-",""))),"")</f>
        <v/>
      </c>
      <c r="AK3" s="68" t="str">
        <f ca="1">IF(CONTROL[[#This Row],[Ult Cambio]]=0,"NUEVO",IF((CONTROL[[#This Row],[Ult Cambio]]+(CONTROL[[#This Row],[Horizonte]]*7))&gt;HOY,"SUSP"&amp;"-"&amp;(CONTROL[[#This Row],[Ult Cambio]]+(CONTROL[[#This Row],[Horizonte]]*7))-HOY,"LIBRE"&amp;"-"&amp;HOY-(CONTROL[[#This Row],[Ult Cambio]]+(CONTROL[[#This Row],[Horizonte]]*7))))</f>
        <v>LIBRE-190</v>
      </c>
      <c r="AL3" t="str">
        <f t="array" ref="AL3">IF(CONTROL[[#This Row],[Cam]]="","",IF(CONTROL[[#This Row],[Cam]]="+",IF(CONTROL[[#This Row],[Rojo Acum]]&gt;=CONTROL[[#This Row],[Zona Roja]],ROUNDUP(CONTROL[[#This Row],[Buff Act]]*1.33,0),""),IF(CONTROL[[#This Row],[Cam]]="-",IF(AND(CONTROL[[#This Row],[Verde]]&gt;=80%,CONTROL[[#This Row],[Negro]]=0,CONTROL[[#This Row],[Color]]&lt;&gt;"L"),ROUNDDOWN(CONTROL[[#This Row],[Buff Act]]*0.7,0),IF(AND(OR(CONTROL[[#This Row],[Buff Act]]&lt;&gt;1,CONTROL[[#This Row],[Buff Act]]&lt;&gt;2),CONTROL[[#This Row],[Porcent Lleno]]&gt;=90%,CONTROL[[#This Row],[Negro]]=0,CONTROL[[#This Row],[Rojo]]=0,CONTROL[[#This Row],[Lila]]&lt;5%,CONTROL[[#This Row],[Color]]&lt;&gt;"L"),ROUNDDOWN(CONTROL[[#This Row],[Buff Act]]*0.8,0),IF(AND(CONTROL[[#This Row],[Var]]&lt;=6%,CONTROL[[#This Row],[Porcent Lleno]]&gt;=90%,CONTROL[[#This Row],[Lila]]&lt;3%,OR(CONTROL[[#This Row],[Color]]="V",CONTROL[[#This Row],[Color]]="A")),ROUNDDOWN(CONTROL[[#This Row],[Buff Act]]*0.85,0),""))),IF(CONTROL[[#This Row],[Cam]]="+-",IF(CONTROL[[#This Row],[Rojo Acum]]&gt;=CONTROL[[#This Row],[Zona Roja]],ROUNDUP(CONTROL[[#This Row],[Buff Act]]*1.33,0),IF(AND(CONTROL[[#This Row],[Verde]]&gt;=80%,CONTROL[[#This Row],[Negro]]=0,CONTROL[[#This Row],[Color]]&lt;&gt;"L"),ROUNDDOWN(CONTROL[[#This Row],[Buff Act]]*0.7,0),IF(AND(OR(CONTROL[[#This Row],[Buff Act]]&lt;&gt;1,CONTROL[[#This Row],[Buff Act]]&lt;&gt;2),CONTROL[[#This Row],[Porcent Lleno]]&gt;=90%,CONTROL[[#This Row],[Negro]]=0,CONTROL[[#This Row],[Rojo]]=0,CONTROL[[#This Row],[Lila]]&lt;5%,CONTROL[[#This Row],[Color]]&lt;&gt;"L"),ROUNDDOWN(CONTROL[[#This Row],[Buff Act]]*0.8,0),IF(AND(CONTROL[[#This Row],[Var]]&lt;=6%,CONTROL[[#This Row],[Porcent Lleno]]&gt;=90%,CONTROL[[#This Row],[Lila]]&lt;3%,OR(CONTROL[[#This Row],[Color]]="V",CONTROL[[#This Row],[Color]]="A")),ROUNDDOWN(CONTROL[[#This Row],[Buff Act]]*0.85,0),""))))))))</f>
        <v/>
      </c>
      <c r="AN3" t="str">
        <f ca="1">IF(OR(HOY&lt;CONTROL[[#This Row],[Posponer GDB]],CONTROL[[#This Row],[Nuevo Buff Ingles]]&gt;(IF(ISNUMBER(CONTROL[[#This Row],[Buff Max]]),CONTROL[[#This Row],[Buff Max]],100000000000)),CONTROL[[#This Row],[Nuevo Buff Ingles]]&lt;CONTROL[[#This Row],[Buff Min]]),"",CONTROL[[#This Row],[Nuevo Buff Ingles]])</f>
        <v/>
      </c>
      <c r="AO3" s="1" t="str">
        <f>IFERROR(IF(CONTROL[[#This Row],[Color]]="G","",IF(AND(HOY&gt;=CONTROL[[#This Row],[Posponer RED]],CONTROL[[#This Row],[GDB]]=1,OR(CONTROL[[#This Row],[Verde]]=100%,CONTROL[[#This Row],[Amarillo]]=100%,CONTROL[[#This Row],[Rojo]]=100%),CONTROL[[#This Row],[Var]]&lt;=25%),"RED ","")&amp;IF(AND(CONTROL[[#This Row],[Estatus]]&lt;&gt;"PAN",CONTROL[[#This Row],[Negro]]&lt;=10%,HOY&gt;=CONTROL[[#This Row],[Posponer BUF]],ABS((CONTROL[[#This Row],[Buff Calc]]-CONTROL[[#This Row],[Buff Act]])/CONTROL[[#This Row],[Buff Act]])&gt;70%,CONTROL[[#This Row],[Buff Calc]]&lt;&gt;0),"BUF","")),"")</f>
        <v/>
      </c>
      <c r="AP3">
        <f>IFERROR(INDEX(tblConsumos[CONSUMO],CONTROL[[#This Row],[Coincidir Bodega Codigo en Consumo]]),0)</f>
        <v>0</v>
      </c>
      <c r="AQ3">
        <f>ROUNDUP(CONTROL[[#This Row],[Consumo]]*1.5*(CONTROL[[#This Row],[T Suministro]]+CONTROL[[#This Row],[Frec Repos]]),0)</f>
        <v>0</v>
      </c>
      <c r="AR3">
        <f>IF(CONTROL[[#This Row],[Consumo]]=0,0,CONTROL[[#This Row],[Buff Act]]/(CONTROL[[#This Row],[Consumo]]*4))</f>
        <v>0</v>
      </c>
      <c r="AS3">
        <f>IF(CONTROL[[#This Row],[Consumo]]=0,0,CONTROL[[#This Row],[Inv Proy Act]]/(CONTROL[[#This Row],[Consumo]]*4))</f>
        <v>0</v>
      </c>
      <c r="AT3">
        <f>IF(CONTROL[[#This Row],[Consumo]]=0,0,CONTROL[[#This Row],[PEDID Min]]/(CONTROL[[#This Row],[Consumo]]*4))</f>
        <v>0</v>
      </c>
      <c r="AU3">
        <f ca="1">IF(CONTROL[[#This Row],[Color]]="G",0,SUMPRODUCT((--((HORIZONTE*1)&gt;(HOY-30))),(--((HORIZONTE*1)&lt;=HOY)),(--ISNUMBER(OFFSET(PRIMER_CAMPO,CONTROL[[#This Row],[Numero Fila]],0,1,COLUMNS(HORIZONTE)))),(--(OFFSET(PRIMER_CAMPO,CONTROL[[#This Row],[Numero Fila]],0,1,COLUMNS(HORIZONTE))=0))))</f>
        <v>0</v>
      </c>
      <c r="AV3" s="68">
        <f>IFERROR(INDEX(Tabla_Inventario[inv_ventas_perdidas],MATCH(INDEX(Tabla_Bodegas_Permitidas[COD_BODEGA],MATCH(CONTROL[[#This Row],[BODEGA]],Tabla_Bodegas_Permitidas[BODEGA],0),1)&amp;CONTROL[[#This Row],[CODIGO]],Tabla_Inventario[BODEGASKU],0),1),0)</f>
        <v>0</v>
      </c>
      <c r="AW3"/>
      <c r="AX3"/>
      <c r="BA3" s="68"/>
      <c r="BC3"/>
      <c r="BL3">
        <f>IF(CONTROL[[#This Row],[Buff Act]]=2,2,ROUND(CONTROL[[#This Row],[Buff Act]]*(1-((1-(INDEX(Tabla_ArchivosBodegas[PORCENT LINEA ROJA],MATCH(CONTROL[[#This Row],[Perfil]],Tabla_ArchivosBodegas[PERFIL],0),1)))/2)),0))</f>
        <v>0</v>
      </c>
      <c r="BM3">
        <f>IF(CONTROL[[#This Row],[Buff Act]]=1,0.5,ROUND(CONTROL[[#This Row],[Buff Act]]*((INDEX(Tabla_ArchivosBodegas[PORCENT LINEA ROJA],MATCH(CONTROL[[#This Row],[Perfil]],Tabla_ArchivosBodegas[PERFIL],0),1))),0))</f>
        <v>0</v>
      </c>
      <c r="BN3" t="str">
        <f>IF(CONTROL[[#This Row],[Inv Fís Act]]&lt;0,"E",IF((CONTROL[[#This Row],[Buff Act]]*1)=0,"G",IF(CONTROL[[#This Row],[Inv Fís Act]]=0,"N",IF(CONTROL[[#This Row],[Inv Fís Act]]&lt;=CONTROL[[#This Row],[Zona Roja]],"R",IF(CONTROL[[#This Row],[Inv Fís Act]]&lt;=CONTROL[[#This Row],[Zona Amar]],"A",IF(CONTROL[[#This Row],[Inv Fís Act]]&lt;=(CONTROL[[#This Row],[Buff Act]]*1),"V","L"))))))</f>
        <v>G</v>
      </c>
      <c r="BO3" t="str">
        <f>IF(CONTROL[[#This Row],[Inv Proy Act]]&lt;0,"E",IF((CONTROL[[#This Row],[Buff Act]]*1)=0,"G",IF(CONTROL[[#This Row],[Inv Proy Act]]=0,"N",IF(CONTROL[[#This Row],[Inv Proy Act]]&lt;=CONTROL[[#This Row],[Zona Roja]],"R",IF(CONTROL[[#This Row],[Inv Proy Act]]&lt;=CONTROL[[#This Row],[Zona Amar]],"A",IF(CONTROL[[#This Row],[Inv Proy Act]]&lt;=(CONTROL[[#This Row],[Buff Act]]*1),"V","L"))))))</f>
        <v>G</v>
      </c>
      <c r="BS3">
        <f>IFERROR(INDEX(Tabla_Inventario[inv_existencia],MATCH(INDEX(Tabla_Proveedores[COD_PROVEEDOR],MATCH(CONTROL[[#This Row],[BODEGA]]&amp;CONTROL[[#This Row],[Proveedor]]&amp;"1",Tabla_Proveedores[BodegaProveedorPrioridad],0))&amp;CONTROL[[#This Row],[CODIGO]],Tabla_Inventario[BODEGASKU],0)),1000000000)</f>
        <v>1000000000</v>
      </c>
      <c r="BT3">
        <f>IFERROR(IF(INDEX(Tabla_ArchivosBodegas[USA_FISICO],CONTROL[[#This Row],[Coincidir Bodega Perfil]])=1,INDEX(Tabla_Inventario[inv_existencia],CONTROL[[#This Row],[Coincidir Bodega Codigo en Inventario]],1),0),0)</f>
        <v>0</v>
      </c>
      <c r="BU3">
        <f>IF(CONTROL[[#This Row],[Buff Act]]&lt;=0,0,IFERROR(ROUND((CONTROL[[#This Row],[Buff Act]]-CONTROL[[#This Row],[Inv Fís Act]])/CONTROL[[#This Row],[Buff Act]],2),0))</f>
        <v>0</v>
      </c>
      <c r="BV3">
        <f>IFERROR(IF(INDEX(Tabla_ArchivosBodegas[USA_TRANSITO],CONTROL[[#This Row],[Coincidir Bodega Perfil]])=1,IF(INDEX(Tabla_ArchivosBodegas[TIPO_TRANSITO],CONTROL[[#This Row],[Coincidir Bodega Perfil]])="ERP",INDEX(Tabla_Inventario[inv_transito],CONTROL[[#This Row],[Coincidir Bodega Codigo en Inventario]],1),IF(INDEX(Tabla_ArchivosBodegas[TIPO_TRANSITO],CONTROL[[#This Row],[Coincidir Bodega Perfil]])="Transferencias",INDEX(Tabla_TRANSFERENCIAS[CANTIDAD],MATCH(CONTROL[[#This Row],[CODIGO]]&amp;"-"&amp;CONTROL[[#This Row],[BODEGA]],Tabla_TRANSFERENCIAS[UNIDO],0)),INDEX(Tabla_TRANSFERENCIAS[CANTIDAD],MATCH(CONTROL[[#This Row],[CODIGO]]&amp;"-"&amp;CONTROL[[#This Row],[BODEGA]],Tabla_TRANSFERENCIAS[UNIDO],0))+INDEX(Tabla_Inventario[inv_transito],CONTROL[[#This Row],[Coincidir Bodega Codigo en Inventario]],1))),0),0)</f>
        <v>0</v>
      </c>
      <c r="BW3">
        <f>IFERROR(IF(INDEX(Tabla_ArchivosBodegas[USA_TRANSITO],CONTROL[[#This Row],[Coincidir Bodega Perfil]])=1,INDEX(Tabla_Inventario[inv_negociacion],CONTROL[[#This Row],[Coincidir Bodega Codigo en Inventario]],1),0),0)</f>
        <v>0</v>
      </c>
      <c r="BX3">
        <f>IFERROR(IF(INDEX(Tabla_ArchivosBodegas[USA_TRANSITO],CONTROL[[#This Row],[Coincidir Bodega Perfil]])=1,INDEX(Tabla_Inventario[inv_produccion],CONTROL[[#This Row],[Coincidir Bodega Codigo en Inventario]],1),0),0)</f>
        <v>0</v>
      </c>
      <c r="BY3">
        <f>IFERROR(IF(INDEX(Tabla_ArchivosBodegas[USA_TRANSITO],CONTROL[[#This Row],[Coincidir Bodega Perfil]])=1,INDEX(Tabla_Inventario[inv_embarcado],CONTROL[[#This Row],[Coincidir Bodega Codigo en Inventario]],1),0),0)</f>
        <v>0</v>
      </c>
      <c r="BZ3">
        <f>IFERROR(IF(INDEX(Tabla_ArchivosBodegas[USA_COMPROMETIDO],CONTROL[[#This Row],[Coincidir Bodega Perfil]])=1,IF(INDEX(Tabla_ArchivosBodegas[TIPO_COMPROMETIDO],CONTROL[[#This Row],[Coincidir Bodega Perfil]])="ERP",INDEX(Tabla_Inventario[inv_comprometido],CONTROL[[#This Row],[Coincidir Bodega Codigo en Inventario]],1),SUMIFS(Tabla_Comprometidos[CANTIDAD],Tabla_Comprometidos[BODEGA],CONTROL[[#This Row],[BODEGA]],Tabla_Comprometidos[CODIGO],CONTROL[[#This Row],[CODIGO]])),0),0)</f>
        <v>0</v>
      </c>
      <c r="CA3">
        <f>IFERROR(IF(INDEX(Tabla_ArchivosBodegas[USA_BACKORDER],CONTROL[[#This Row],[Coincidir Bodega Perfil]])=1,IF(INDEX(Tabla_ArchivosBodegas[TIPO_BACKORDER],CONTROL[[#This Row],[Coincidir Bodega Perfil]])="ERP",INDEX(Tabla_Inventario[inv_backorder],CONTROL[[#This Row],[Coincidir Bodega Codigo en Inventario]],1),SUMIFS(Tabla_Backorders[CANTIDAD],Tabla_Backorders[BODEGA],CONTROL[[#This Row],[BODEGA]],Tabla_Backorders[CODIGO],CONTROL[[#This Row],[CODIGO]])),0),0)</f>
        <v>0</v>
      </c>
      <c r="CB3">
        <f>CONTROL[[#This Row],[Inv Fís Act]]+CONTROL[[#This Row],[Tráns Act]]-CONTROL[[#This Row],[Comprom]]+CONTROL[[#This Row],[Backorders]]</f>
        <v>43</v>
      </c>
      <c r="CC3">
        <f>IF(CONTROL[[#This Row],[Buff Act]]&lt;=0,0,IFERROR(ROUND((CONTROL[[#This Row],[Buff Act]]-CONTROL[[#This Row],[Inv Proy Act]])/CONTROL[[#This Row],[Buff Act]],2),0))</f>
        <v>0</v>
      </c>
      <c r="CD3" s="68">
        <f>IFERROR(INDEX(Tabla_Inventario[inv_entradas],CONTROL[[#This Row],[Coincidir Bodega Codigo en Inventario]],1),0)</f>
        <v>0</v>
      </c>
      <c r="CE3" s="68">
        <f>IFERROR(INDEX(Tabla_Inventario[inv_salidas],CONTROL[[#This Row],[Coincidir Bodega Codigo en Inventario]],1),0)</f>
        <v>0</v>
      </c>
      <c r="CF3" s="68">
        <f ca="1">IF(CONTROL[[#This Row],[PEDID Min]]&gt;0,IF(IF(AND(INDEX(Tabla_ArchivosBodegas[USA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Aten]])&gt;=CONTROL[[#This Row],[PEDID Min]],IF(AND(INDEX(Tabla_ArchivosBodegas[USA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Aten]]),IF(IF(AND(INDEX(Tabla_ArchivosBodegas[USA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Aten]])&gt;=(CONTROL[[#This Row],[PEDID Min]]*(1-(IF(CONTROL[[#This Row],[Redondeo Pedido Mínimo]]="Default",INDEX(tbl_Redondeo_Pedido_Minimo[Porcentaje],MATCH("Default",tbl_Redondeo_Pedido_Minimo[Nombre],0)),SUMPRODUCT((CONTROL[[#This Row],[Redondeo Pedido Mínimo]]=tbl_Redondeo_Pedido_Minimo[Nombre])*1,((INDEX(INDIRECT("CONTROL["&amp;INDEX(tbl_Redondeo_Pedido_Minimo[Campo],MATCH(CONTROL[[#This Row],[Redondeo Pedido Mínimo]],tbl_Redondeo_Pedido_Minimo[Nombre],0))&amp;"]"),CONTROL[[#This Row],[Numero Fila]]))=tbl_Redondeo_Pedido_Minimo[Categoría])*1,tbl_Redondeo_Pedido_Minimo[Porcentaje]))))),CONTROL[[#This Row],[PEDID Min]],0)),IF(AND(INDEX(Tabla_ArchivosBodegas[USA PED PROM],CONTROL[[#This Row],[Coincidir Bodega Perfil]])=1,CONTROL[[#This Row],[Buff Act]]&gt;0,CONTROL[[#This Row],[Inv Proy Act]]=0,CONTROL[[#This Row],[PEDID Prom]]&gt;0,CONTROL[[#This Row],[PEDID Prom]]&lt;CONTROL[[#This Row],[Buff Act]]),CONTROL[[#This Row],[PEDID Prom]]*CONTROL[[#This Row],[Porc Aten]],MAX(CONTROL[[#This Row],[Buff Act]]-CONTROL[[#This Row],[Inv Proy Act]],0)*CONTROL[[#This Row],[Porc Aten]]))</f>
        <v>0</v>
      </c>
      <c r="CG3">
        <f>IF(CONTROL[[#This Row],[Unidad Empaque]]&gt;0,IF(CONTROL[[#This Row],[Redondeo Unidad Empaque]]="=",ROUND(CONTROL[[#This Row],[Pedid Calc Auxiliar]]/CONTROL[[#This Row],[Unidad Empaque]],0)*CONTROL[[#This Row],[Unidad Empaque]],IF(CONTROL[[#This Row],[Redondeo Unidad Empaque]]="+",ROUNDUP(CONTROL[[#This Row],[Pedid Calc Auxiliar]]/CONTROL[[#This Row],[Unidad Empaque]],0)*CONTROL[[#This Row],[Unidad Empaque]],ROUNDDOWN(CONTROL[[#This Row],[Pedid Calc Auxiliar]]/CONTROL[[#This Row],[Unidad Empaque]],0)*CONTROL[[#This Row],[Unidad Empaque]])),ROUND(CONTROL[[#This Row],[Pedid Calc Auxiliar]],0))</f>
        <v>0</v>
      </c>
      <c r="CH3">
        <f>IF(CONTROL[[#This Row],[Color]]="G",0,IFERROR(ROUND((CONTROL[[#This Row],[Buff Act]]*CONTROL[[#This Row],[Frec Repos]])/(CONTROL[[#This Row],[T Suministro]]+CONTROL[[#This Row],[Frec Repos]]),0),0))</f>
        <v>0</v>
      </c>
      <c r="CK3" t="str">
        <f>IF(CONTROL[[#This Row],[Color]]="G","",IF(AND(CONTROL[[#This Row],[GDB]]=0,OR(ISBLANK(CONTROL[[#This Row],[Buff Ant Estacion]]),ISBLANK(CONTROL[[#This Row],[Buff Estacional]]),CONTROL[[#This Row],[Buff Act]]=CONTROL[[#This Row],[Buff Ant Estacion]])),"SÍ EST: Llenar buff anterior a estación, buff estacional y cambiar el buff actual.",IF(AND(CONTROL[[#This Row],[GDB]]=1,CONTROL[[#This Row],[Buff Ant Estacion]]&lt;&gt;CONTROL[[#This Row],[Buff Act]],CONTROL[[#This Row],[Buff Ant Estacion]]&lt;&gt;""),"NO EST: Volver el buffer actual al buffer anterior a la estación.",IF(AND(CONTROL[[#This Row],[GDB]]=1,OR(NOT(ISBLANK(CONTROL[[#This Row],[Buff Ant Estacion]])),NOT(ISBLANK(CONTROL[[#This Row],[Buff Estacional]])))),"NO EST: Borrar buff estacional y buff anterior a la estación.",IF(AND(CONTROL[[#This Row],[Etapa Estacional]]&lt;&gt;"Stand by",CONTROL[[#This Row],[GDB]]=0),"SÍ EST: Buffer cambiado. Revisar Etapa.","")
)
)))</f>
        <v/>
      </c>
      <c r="CL3" t="str">
        <f>IF(AND(CONTROL[[#This Row],[GDB]]=0,IFERROR(IF(CONTROL[[#This Row],[Calendario Estacional]]&lt;&gt;"",INDEX(Tabla_Est[Aviso General],SUMIFS(Tabla_Est[filas],Tabla_Est[Perfil],CONTROL[[#This Row],[Perfil]],Tabla_Est[CALENDARIO],CONTROL[[#This Row],[Calendario Estacional]])),""),"")=""),"Stand by",IFERROR(IF(CONTROL[[#This Row],[Calendario Estacional]]&lt;&gt;"",INDEX(Tabla_Est[Aviso General],SUMIFS(Tabla_Est[filas],Tabla_Est[Perfil],CONTROL[[#This Row],[Perfil]],Tabla_Est[CALENDARIO],CONTROL[[#This Row],[Calendario Estacional]])),""),""))</f>
        <v/>
      </c>
      <c r="CM3">
        <f>IF(OR(CONTROL[[#This Row],[Color]]="R",CONTROL[[#This Row],[Color]]="N"),CONTROL[[#This Row],[Zona Roja]]-CONTROL[[#This Row],[Inv Fís Act]],0)*(CONTROL[[#This Row],[PV]]-CONTROL[[#This Row],[CTV]])</f>
        <v>0</v>
      </c>
      <c r="CN3">
        <f>IF(CONTROL[[#This Row],[Color]]="G",0,IF(CONTROL[[#This Row],[Inv Fís Act]]&gt;CONTROL[[#This Row],[Buff Act]],CONTROL[[#This Row],[Inv Fís Act]]-CONTROL[[#This Row],[Buff Act]],0)*(CONTROL[[#This Row],[CTV]]))</f>
        <v>0</v>
      </c>
      <c r="CO3">
        <f>IF(CONTROL[[#This Row],[Color]]="G",0,IFERROR(INDEX(Tabla_Rentabilidad[ROI],MATCH(CONTROL[[#This Row],[CODIGO]],Tabla_Rentabilidad[CODIGO],0),1),0))</f>
        <v>0</v>
      </c>
      <c r="CP3">
        <f>IF(CONTROL[[#This Row],[Color]]="G",0,IFERROR((((CONTROL[[#This Row],[Buff Act]]/(CONTROL[[#This Row],[T Suministro]]+CONTROL[[#This Row],[Frec Repos]]))*4)*(CONTROL[[#This Row],[PV]]-CONTROL[[#This Row],[CTV]])*12)/(CONTROL[[#This Row],[Buff Act]]*CONTROL[[#This Row],[CTV]]),0))</f>
        <v>0</v>
      </c>
      <c r="CR3">
        <f t="array" ref="CR3">IF(Servicio_Calculado*1=1,IFERROR(INDEX(Tabla_Nivel_Servicio[Servicio],CONTROL[[#This Row],[Coincidir Bodega Codigo en Servicio]]),0),1)</f>
        <v>1</v>
      </c>
      <c r="CS3">
        <f>IFERROR(INDEX(Tabla_Ultimo_Cambio_Buffer[FECHA],CONTROL[[#This Row],[Coincidir Bodega Codigo en Ultimo Cambio]],0),0)</f>
        <v>0</v>
      </c>
      <c r="CT3">
        <f t="array" aca="1" ref="CT3" ca="1">IF(INDEX(Tabla_ArchivosBodegas[TIPO HORIZONTE],CONTROL[[#This Row],[Coincidir Bodega Perfil]],1)="MOV",MAX(--INDEX(Tabla_ArchivosBodegas[INICIO_HORIZONTE],CONTROL[[#This Row],[Coincidir Bodega Perfil]]),--CONTROL[[#This Row],[Ult Cambio]]),IF(SUM(--(IF(((IF(CONTROL[[#This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Per]])))=HORIZONTE*1))=1,IF(((IF(CONTROL[[#This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Per]]))),INDEX(HORIZONTE*1,1,1+MATCH(IF(((IF(CONTROL[[#This Row],[Ult Cambio]]&gt;=CONTROL[[#This Row],[Inicio Per]],CONTROL[[#This Row],[Ult Cambio]],IF(HOY&gt;=CONTROL[[#This Row],[Fin Per]],CONTROL[[#This Row],[Fin Per]],CONTROL[[#This Row],[Inicio Per]])))+CONTROL[[#This Row],[Horizonte]]*7)&lt;=HOY,HOY,IF(CONTROL[[#This Row],[Ult Cambio]]&gt;=CONTROL[[#This Row],[Inicio Per]],CONTROL[[#This Row],[Ult Cambio]],IF(HOY&gt;=CONTROL[[#This Row],[Fin Per]],CONTROL[[#This Row],[Fin Per]],CONTROL[[#This Row],[Inicio Per]]))),HORIZONTE*1,1))))</f>
        <v>42782</v>
      </c>
      <c r="CU3">
        <f>CONTROL[[#This Row],[Nuevo Inicio]]</f>
        <v>42780</v>
      </c>
      <c r="CV3">
        <f t="array" aca="1" ref="CV3" ca="1">IF(MAX(CONTROL[[#This Row],[Inicio Per]]+CONTROL[[#This Row],[Horizonte]]*7,HOY)=HOY,HOY,INDEX(--HORIZONTE,IFERROR(MATCH(CONTROL[[#This Row],[Inicio Per]]+CONTROL[[#This Row],[Horizonte]]*7,--HORIZONTE,0),1+MATCH(CONTROL[[#This Row],[Inicio Per]]+CONTROL[[#This Row],[Horizonte]]*7,--HORIZONTE,1))))</f>
        <v>42831</v>
      </c>
      <c r="CW3" s="68" t="str">
        <f>IFERROR(INDEX(Tabla_Nivel_Servicio[Ultimo Inicio],CONTROL[[#This Row],[Coincidir Bodega Codigo en Servicio]]),"")</f>
        <v/>
      </c>
      <c r="CX3" s="68" t="str">
        <f>IFERROR(INDEX(Tabla_Nivel_Servicio[Ultimo Fin],CONTROL[[#This Row],[Coincidir Bodega Codigo en Servicio]]),"")</f>
        <v/>
      </c>
      <c r="CY3">
        <f ca="1">IFERROR(STDEV(INDIRECT("CONTROL[@["&amp;TEXT(CONTROL[[#This Row],[Inicio Per]],"dd/mm/yyyy")&amp;"]:["&amp;TEXT(CONTROL[[#This Row],[Fin Per]],"dd/mm/yyyy")&amp;"]]"))/AVERAGE(INDIRECT("CONTROL[@["&amp;TEXT(CONTROL[[#This Row],[Inicio Per]],"dd/mm/yyyy")&amp;"]:["&amp;TEXT(CONTROL[[#This Row],[Fin Per]],"dd/mm/yyyy")&amp;"]]")),100%)</f>
        <v>0</v>
      </c>
      <c r="CZ3">
        <f>SUM(CONTROL[[#This Row],[Negro]:[Lila]])</f>
        <v>0.97959183673469385</v>
      </c>
      <c r="DA3">
        <f ca="1">IF(OR(AND(CONTROL[[#This Row],[Cam]]&lt;&gt;"+",CONTROL[[#This Row],[Cam]]&lt;&gt;"+-"),CONTROL[[#This Row],[GDB]]&lt;&gt;1),0,IF(CONTROL[[#This Row],[Zona Roja]]&gt;1,SUMPRODUCT(--(INDIRECT("CONTROL[@["&amp;TEXT(CONTROL[[#This Row],[Inicio Per]],"dd/mm/yyyy")&amp;"]:["&amp;TEXT(CONTROL[[#This Row],[Fin Per]],"dd/mm/yyyy")&amp;"]]")&lt;=CONTROL[[#This Row],[Zona Roja]]),--ISNUMBER(INDIRECT("CONTROL[@["&amp;TEXT(CONTROL[[#This Row],[Inicio Per]],"dd/mm/yyyy")&amp;"]:["&amp;TEXT(CONTROL[[#This Row],[Fin Per]],"dd/mm/yyyy")&amp;"]]")),(CONTROL[[#This Row],[Zona Roja]]-INDIRECT("CONTROL[@["&amp;TEXT(CONTROL[[#This Row],[Inicio Per]],"dd/mm/yyyy")&amp;"]:["&amp;TEXT(CONTROL[[#This Row],[Fin Per]],"dd/mm/yyyy")&amp;"]]"))),IF(CONTROL[[#This Row],[Zona Roja]]=1,IF(OR(SUMPRODUCT(--(INDIRECT("CONTROL[@["&amp;TEXT(CONTROL[[#This Row],[Inicio Per]],"dd/mm/yyyy")&amp;"]:["&amp;TEXT(CONTROL[[#This Row],[Fin Per]],"dd/mm/yyyy")&amp;"]]")=1))&gt;=3,SUMPRODUCT(--(INDIRECT("CONTROL[@["&amp;TEXT(CONTROL[[#This Row],[Inicio Per]],"dd/mm/yyyy")&amp;"]:["&amp;TEXT(CONTROL[[#This Row],[Fin Per]],"dd/mm/yyyy")&amp;"]]")=0),--ISNUMBER(INDIRECT("CONTROL[@["&amp;TEXT(CONTROL[[#This Row],[Inicio Per]],"dd/mm/yyyy")&amp;"]:["&amp;TEXT(CONTROL[[#This Row],[Fin Per]],"dd/mm/yyyy")&amp;"]]")))&gt;=1),1,0),IF(CONTROL[[#This Row],[Buff Act]]=1,IF(SUMPRODUCT(--(INDIRECT("CONTROL[@["&amp;TEXT(CONTROL[[#This Row],[Inicio Per]],"dd/mm/yyyy")&amp;"]:["&amp;TEXT(CONTROL[[#This Row],[Fin Per]],"dd/mm/yyyy")&amp;"]]")=0),--ISNUMBER(INDIRECT("CONTROL[@["&amp;TEXT(CONTROL[[#This Row],[Inicio Per]],"dd/mm/yyyy")&amp;"]:["&amp;TEXT(CONTROL[[#This Row],[Fin Per]],"dd/mm/yyyy")&amp;"]]")))&gt;=1,1,0),0))))</f>
        <v>0</v>
      </c>
      <c r="DB3">
        <f ca="1">COUNTIF(INDIRECT("CONTROL[@["&amp;TEXT(CONTROL[[#This Row],[Inicio Per]],"dd/mm/yyyy")&amp;"]:["&amp;TEXT(CONTROL[[#This Row],[Fin Per]],"dd/mm/yyyy")&amp;"]]"),"=0")/CONTROL[[#This Row],[Columnas Horizonte]]</f>
        <v>0</v>
      </c>
      <c r="DC3">
        <f ca="1">COUNTIFS(INDIRECT("CONTROL[@["&amp;TEXT(CONTROL[[#This Row],[Inicio Per]],"dd/mm/yyyy")&amp;"]:["&amp;TEXT(CONTROL[[#This Row],[Fin Per]],"dd/mm/yyyy")&amp;"]]"),"&gt;0",INDIRECT("CONTROL[@["&amp;TEXT(CONTROL[[#This Row],[Inicio Per]],"dd/mm/yyyy")&amp;"]:["&amp;TEXT(CONTROL[[#This Row],[Fin Per]],"dd/mm/yyyy")&amp;"]]"),"&lt;="&amp;CONTROL[[#This Row],[Zona Roja]])/CONTROL[[#This Row],[Columnas Horizonte]]</f>
        <v>0</v>
      </c>
      <c r="DD3">
        <f ca="1">COUNTIFS(INDIRECT("CONTROL[@["&amp;TEXT(CONTROL[[#This Row],[Inicio Per]],"dd/mm/yyyy")&amp;"]:["&amp;TEXT(CONTROL[[#This Row],[Fin Per]],"dd/mm/yyyy")&amp;"]]"),"&gt;"&amp;CONTROL[[#This Row],[Zona Roja]],INDIRECT("CONTROL[@["&amp;TEXT(CONTROL[[#This Row],[Inicio Per]],"dd/mm/yyyy")&amp;"]:["&amp;TEXT(CONTROL[[#This Row],[Fin Per]],"dd/mm/yyyy")&amp;"]]"),"&lt;="&amp;CONTROL[[#This Row],[Zona Amar]])/CONTROL[[#This Row],[Columnas Horizonte]]</f>
        <v>0</v>
      </c>
      <c r="DE3">
        <f ca="1">COUNTIFS(INDIRECT("CONTROL[@["&amp;TEXT(CONTROL[[#This Row],[Inicio Per]],"dd/mm/yyyy")&amp;"]:["&amp;TEXT(CONTROL[[#This Row],[Fin Per]],"dd/mm/yyyy")&amp;"]]"),"&gt;"&amp;CONTROL[[#This Row],[Zona Amar]],INDIRECT("CONTROL[@["&amp;TEXT(CONTROL[[#This Row],[Inicio Per]],"dd/mm/yyyy")&amp;"]:["&amp;TEXT(CONTROL[[#This Row],[Fin Per]],"dd/mm/yyyy")&amp;"]]"),"&lt;="&amp;CONTROL[[#This Row],[Buff Act]])/CONTROL[[#This Row],[Columnas Horizonte]]</f>
        <v>0</v>
      </c>
      <c r="DF3">
        <f ca="1">COUNTIF(INDIRECT("CONTROL[@["&amp;TEXT(CONTROL[[#This Row],[Inicio Per]],"dd/mm/yyyy")&amp;"]:["&amp;TEXT(CONTROL[[#This Row],[Fin Per]],"dd/mm/yyyy")&amp;"]]"),"&gt;"&amp;CONTROL[[#This Row],[Buff Act]])/CONTROL[[#This Row],[Columnas Horizonte]]</f>
        <v>0.97959183673469385</v>
      </c>
      <c r="DG3" s="68" t="str">
        <f t="array" ref="DG3">IF(OR(CONTROL[[#This Row],[CODIGO GENERICO]]="",CONTROL[[#This Row],[CODIGO GENERICO]]=0),"",IFERROR(STDEV(IF((CONTROL[[#This Row],[CODIGO GENERICO]]=CONTROL[CODIGO GENERICO]),CONTROL[PEDID Min Grupo],"")),0))</f>
        <v/>
      </c>
      <c r="DH3" s="68">
        <f>ROW()-Fila_Cabecera_Control</f>
        <v>1</v>
      </c>
      <c r="DJ3" s="68" t="e">
        <f>MATCH(CONTROL[[#This Row],[CODIGO]],Tabla_Datos_Codigo[pro_codigo],0)</f>
        <v>#N/A</v>
      </c>
      <c r="DK3" s="68" t="str">
        <f>INDEX(Tabla_Bodegas_Permitidas[COD_BODEGA],MATCH(CONTROL[[#This Row],[BODEGA]],Tabla_Bodegas_Permitidas[BODEGA],0),1)&amp;CONTROL[[#This Row],[CODIGO]]</f>
        <v>ECUSV50A</v>
      </c>
      <c r="DL3" s="68" t="e">
        <f>MATCH(CONTROL[[#This Row],[Bodega-Codigo]],tblConsumos[BODEGA-CODIGO],0)</f>
        <v>#N/A</v>
      </c>
      <c r="DM3" s="68" t="e">
        <f>MATCH(CONTROL[[#This Row],[Bodega-Codigo]],Tabla_Inventario[BODEGASKU],0)</f>
        <v>#N/A</v>
      </c>
      <c r="DN3" s="68" t="e">
        <f>MATCH(CONTROL[[#This Row],[BODEGA]]&amp;CONTROL[[#This Row],[CODIGO]],Tabla_Nivel_Servicio[Bodega-Codigo],0)</f>
        <v>#N/A</v>
      </c>
      <c r="DO3" s="68" t="e">
        <f>MATCH(CONTROL[[#This Row],[Bodega-Codigo]],Tabla_Ultimo_Cambio_Buffer[Bodega-Codigo],0)</f>
        <v>#N/A</v>
      </c>
      <c r="DP3" s="68">
        <f>MATCH(CONTROL[[#This Row],[BODEGA]]&amp;CONTROL[[#This Row],[Perfil]],Tabla_ArchivosBodegas[BodegaPerfil],0)</f>
        <v>5</v>
      </c>
      <c r="DQ3" s="68">
        <f ca="1">COLUMNS(INDIRECT("CONTROL[@["&amp;TEXT(CONTROL[[#This Row],[Inicio Per]],"dd/mm/yyyy")&amp;"]:["&amp;TEXT(CONTROL[[#This Row],[Fin Per]],"dd/mm/yyyy")&amp;"]]"))</f>
        <v>49</v>
      </c>
      <c r="DR3" t="e">
        <f ca="1">IF(IDIOMA="Inglés",SUMPRODUCT((--(CONTROL[[#This Row],[BODEGA]]=tblRecupBuffHist[BODEGA]))*(--(CONTROL[[#This Row],[CODIGO]]=tblRecupBuffHist[CODIGO]))*(--((INDIRECT("CONTROL[[#Headers]"&amp;sep_lis&amp;"[10/07/2014]]")*1)=1*tblRecupBuffHist[FECHA]))*tblRecupBuffHist[InvFisAct]),SUMPRODUCT((--(CONTROL[[#This Row],[BODEGA]]=tblRecupBuffHist[BODEGA]))*(--(CONTROL[[#This Row],[CODIGO]]=tblRecupBuffHist[CODIGO]))*(--((INDIRECT("CONTROL[[#Encabezados]"&amp;sep_lis&amp;"[10/07/2014]]")*1)=1*tblRecupBuffHist[FECHA]))*tblRecupBuffHist[InvFisAct]))</f>
        <v>#REF!</v>
      </c>
      <c r="DS3" t="e">
        <f t="array" aca="1" ref="DS3" ca="1">IF(IDIOMA="Inglés",SUMPRODUCT((--(CONTROL[[#This Row],[BODEGA]]=tblRecupBuffHist[BODEGA]))*(--(CONTROL[[#This Row],[CODIGO]]=tblRecupBuffHist[CODIGO]))*(--((INDIRECT("CONTROL[[#Headers]"&amp;sep_lis&amp;"[01/03/2013]]")*1)=1*tblRecupBuffHist[FECHA]))*tblRecupBuffHist[InvFisAct]),SUMPRODUCT((--(CONTROL[[#This Row],[BODEGA]]=tblRecupBuffHist[BODEGA]))*(--(CONTROL[[#This Row],[CODIGO]]=tblRecupBuffHist[CODIGO]))*(--((INDIRECT("CONTROL[[#Encabezados]"&amp;sep_lis&amp;"[01/03/2013]]")*1)=1*tblRecupBuffHist[FECHA]))*tblRecupBuffHist[InvFisAct]))</f>
        <v>#REF!</v>
      </c>
    </row>
    <row r="4" spans="1:123" x14ac:dyDescent="0.2">
      <c r="C4" s="88"/>
      <c r="F4" s="67"/>
      <c r="H4" s="1"/>
      <c r="I4" s="1"/>
      <c r="J4" s="1"/>
      <c r="K4" s="1"/>
      <c r="L4" s="1"/>
    </row>
    <row r="11" spans="1:123" x14ac:dyDescent="0.2">
      <c r="C11" s="90"/>
      <c r="AO11"/>
      <c r="AP11"/>
      <c r="AV11"/>
      <c r="AX11"/>
      <c r="AY11"/>
      <c r="AZ11"/>
      <c r="BC11"/>
      <c r="BW11"/>
      <c r="BX11"/>
      <c r="BY11"/>
      <c r="CC11"/>
      <c r="CP11"/>
      <c r="CS11"/>
      <c r="DA11"/>
    </row>
    <row r="12" spans="1:123" x14ac:dyDescent="0.2">
      <c r="C12" s="90"/>
      <c r="AO12"/>
      <c r="AP12"/>
      <c r="AV12"/>
      <c r="AX12"/>
      <c r="AY12"/>
      <c r="AZ12"/>
      <c r="BC12"/>
      <c r="BW12"/>
      <c r="BX12"/>
      <c r="BY12"/>
      <c r="CC12"/>
      <c r="CP12"/>
      <c r="CS12"/>
      <c r="DA12"/>
    </row>
    <row r="13" spans="1:123" x14ac:dyDescent="0.2">
      <c r="C13" s="90"/>
      <c r="AO13"/>
      <c r="AP13"/>
      <c r="AV13"/>
      <c r="AX13"/>
      <c r="AY13"/>
      <c r="AZ13"/>
      <c r="BC13"/>
      <c r="BW13"/>
      <c r="BX13"/>
      <c r="BY13"/>
      <c r="CC13"/>
      <c r="CP13"/>
      <c r="CS13"/>
      <c r="DA13"/>
    </row>
    <row r="14" spans="1:123" x14ac:dyDescent="0.2">
      <c r="C14" s="90"/>
      <c r="AO14"/>
      <c r="AP14"/>
      <c r="AV14"/>
      <c r="AX14"/>
      <c r="AY14"/>
      <c r="AZ14"/>
      <c r="BC14"/>
      <c r="BW14"/>
      <c r="BX14"/>
      <c r="BY14"/>
      <c r="CC14"/>
      <c r="CP14"/>
      <c r="CS14"/>
      <c r="DA14"/>
    </row>
    <row r="15" spans="1:123" x14ac:dyDescent="0.2">
      <c r="C15" s="90"/>
      <c r="AO15"/>
      <c r="AP15"/>
      <c r="AV15"/>
      <c r="AX15"/>
      <c r="AY15"/>
      <c r="AZ15"/>
      <c r="BC15"/>
      <c r="BW15"/>
      <c r="BX15"/>
      <c r="BY15"/>
      <c r="CC15"/>
      <c r="CP15"/>
      <c r="CS15"/>
      <c r="DA15"/>
    </row>
  </sheetData>
  <dataValidations count="5">
    <dataValidation allowBlank="1" showErrorMessage="1" errorTitle="Validación" error="Esta celda sólo puede alojar números mayores a cero, vuelva a intentar" promptTitle="Validación" sqref="CO3:CP3"/>
    <dataValidation type="list" allowBlank="1" errorTitle="Validación" error="Esta celda sólo puede alojar números mayores a cero, vuelva a intentar" promptTitle="Validación" sqref="CJ3">
      <formula1>SeleccionCalendarios</formula1>
    </dataValidation>
    <dataValidation type="decimal" allowBlank="1" showErrorMessage="1" errorTitle="Validación" error="Esta celda sólo puede alojar números mayores a cero, vuelva a intentar" promptTitle="Validación" sqref="CI3">
      <formula1>0</formula1>
      <formula2>1.11111111111111E+21</formula2>
    </dataValidation>
    <dataValidation type="custom" allowBlank="1" showInputMessage="1" showErrorMessage="1" sqref="BP3:BR3">
      <formula1>""</formula1>
    </dataValidation>
    <dataValidation type="list" allowBlank="1" showErrorMessage="1" errorTitle="Validación" error="Esta celda sólo puede alojar números mayores a cero, vuelva a intentar" promptTitle="Validación" sqref="AW3">
      <formula1>RangoCausas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6600CC"/>
  </sheetPr>
  <dimension ref="A1:AD53"/>
  <sheetViews>
    <sheetView showGridLines="0" topLeftCell="M1" zoomScale="80" zoomScaleNormal="80" workbookViewId="0">
      <selection activeCell="AA13" sqref="AA13"/>
    </sheetView>
  </sheetViews>
  <sheetFormatPr baseColWidth="10" defaultColWidth="9.140625" defaultRowHeight="12.75" x14ac:dyDescent="0.2"/>
  <cols>
    <col min="1" max="1" width="14.85546875" customWidth="1"/>
    <col min="2" max="2" width="44.28515625" customWidth="1"/>
    <col min="3" max="3" width="12.28515625" bestFit="1" customWidth="1"/>
    <col min="5" max="5" width="16.28515625" customWidth="1"/>
    <col min="6" max="6" width="12.7109375" bestFit="1" customWidth="1"/>
    <col min="7" max="7" width="10.28515625" customWidth="1"/>
    <col min="8" max="8" width="19.5703125" customWidth="1"/>
    <col min="12" max="12" width="41" bestFit="1" customWidth="1"/>
    <col min="13" max="13" width="13" customWidth="1"/>
    <col min="14" max="14" width="11.140625" customWidth="1"/>
    <col min="15" max="15" width="36.5703125" customWidth="1"/>
    <col min="16" max="16" width="1.7109375" customWidth="1"/>
    <col min="17" max="17" width="1.42578125" customWidth="1"/>
    <col min="18" max="18" width="13.5703125" customWidth="1"/>
    <col min="19" max="19" width="16.28515625" bestFit="1" customWidth="1"/>
    <col min="20" max="20" width="13" customWidth="1"/>
    <col min="21" max="21" width="12.7109375" customWidth="1"/>
    <col min="22" max="22" width="22.42578125" customWidth="1"/>
    <col min="23" max="23" width="7.85546875" customWidth="1"/>
    <col min="25" max="25" width="11.28515625" customWidth="1"/>
    <col min="27" max="27" width="15.5703125" customWidth="1"/>
    <col min="30" max="30" width="26.28515625" customWidth="1"/>
  </cols>
  <sheetData>
    <row r="1" spans="1:30" ht="11.45" customHeight="1" x14ac:dyDescent="0.2">
      <c r="N1" s="55" t="s">
        <v>103</v>
      </c>
      <c r="O1" s="56" t="str">
        <f ca="1">IFERROR(NOMBREWORKBOOK&amp;"  "&amp;"# "&amp;NOMBREPESTANA1,MID($A$4,(FIND("[",$A$4,1))+1,(FIND("]",$A$4,1))-(FIND("[",$A$4,1))-1)
)</f>
        <v>HOSPICARE.xlsm  # 2</v>
      </c>
      <c r="P1" s="57"/>
      <c r="Q1" s="58"/>
      <c r="R1" s="55" t="s">
        <v>104</v>
      </c>
      <c r="S1" s="83">
        <f>Tabla_Empresa[COSTO BUFFER]</f>
        <v>43059.209999999992</v>
      </c>
      <c r="V1" s="89" t="str">
        <f t="array" ref="V1">INDEX(Observaciones_Notables[Observaciones],SMALL(IF((Observaciones_Notables[Observaciones])&lt;&gt;"",ROW(Observaciones_Notables[Observaciones]),10000),ROW(V1))-ROW(Observaciones_Notables[[#Headers],[Observaciones]]))</f>
        <v>Sugerencias GDB</v>
      </c>
      <c r="W1" s="82"/>
      <c r="AA1" t="s">
        <v>52</v>
      </c>
      <c r="AD1" s="68" t="s">
        <v>565</v>
      </c>
    </row>
    <row r="2" spans="1:30" ht="11.45" customHeight="1" x14ac:dyDescent="0.2">
      <c r="A2" t="s">
        <v>56</v>
      </c>
      <c r="N2" s="59" t="s">
        <v>224</v>
      </c>
      <c r="O2" s="59" t="str">
        <f ca="1">PRIMER_CAMPO&amp;" - "&amp;OFFSET(PRIMER_CAMPO,0,COUNTIF(CONTROL[#Headers],"*/*")-1,1,1)&amp;"   "&amp;Tabla_Empresa[DIAS PERIODO]&amp;" días"</f>
        <v>25/11/2016 - 03/08/2017   196 días</v>
      </c>
      <c r="P2" s="60"/>
      <c r="Q2" s="61"/>
      <c r="R2" s="55" t="s">
        <v>125</v>
      </c>
      <c r="S2" s="83">
        <f>Tabla_Empresa[COSTO FISICO]</f>
        <v>42109.789999999979</v>
      </c>
      <c r="V2" s="89" t="str">
        <f t="array" ref="V2">INDEX(Observaciones_Notables[Observaciones],SMALL(IF((Observaciones_Notables[Observaciones])&lt;&gt;"",ROW(Observaciones_Notables[Observaciones]),10000),ROW(V2))-ROW(Observaciones_Notables[[#Headers],[Observaciones]]))</f>
        <v>Ítems no existentes</v>
      </c>
      <c r="W2" s="82"/>
      <c r="AA2" s="81" t="str">
        <f>IF(SUMPRODUCT(--(ISNUMBER(CONTROL[Nuevo Buff Sug])))&gt;0,"Sugerencias GDB","")</f>
        <v>Sugerencias GDB</v>
      </c>
    </row>
    <row r="3" spans="1:30" ht="11.45" customHeight="1" x14ac:dyDescent="0.2">
      <c r="A3" t="s">
        <v>75</v>
      </c>
      <c r="N3" s="55" t="s">
        <v>225</v>
      </c>
      <c r="O3" s="62">
        <f>MIN(CONTROL[Inicio Per])</f>
        <v>42738</v>
      </c>
      <c r="P3" s="63"/>
      <c r="Q3" s="63"/>
      <c r="R3" s="55" t="s">
        <v>128</v>
      </c>
      <c r="S3" s="83">
        <f>Tabla_Empresa[COSTO TRANSITO]</f>
        <v>3788.7</v>
      </c>
      <c r="V3" s="89" t="e">
        <f t="array" ref="V3">INDEX(Observaciones_Notables[Observaciones],SMALL(IF((Observaciones_Notables[Observaciones])&lt;&gt;"",ROW(Observaciones_Notables[Observaciones]),10000),ROW(V3))-ROW(Observaciones_Notables[[#Headers],[Observaciones]]))</f>
        <v>#REF!</v>
      </c>
      <c r="W3" s="82"/>
      <c r="AA3" s="81" t="str">
        <f>IF(SUMPRODUCT(--(CONTROL[Acción Estacional]&lt;&gt;""))&gt;0,"Acciones Estacionales","")</f>
        <v/>
      </c>
    </row>
    <row r="4" spans="1:30" ht="11.45" customHeight="1" x14ac:dyDescent="0.2">
      <c r="A4" t="str">
        <f ca="1">CELL("filename",A1)</f>
        <v>O:\[HOSPICARE.xlsm]NoBorrar</v>
      </c>
      <c r="I4" t="s">
        <v>28</v>
      </c>
      <c r="N4" s="55" t="str">
        <f ca="1">IF(LEN(IF(Falta_Periodo&lt;&gt;"",Falta_Periodo,""))=0,Tabla_Empresa[ITEMS TOTALES]&amp;"-"&amp;SUBTOTAL(3,CONTROL[BODEGA])&amp;" SKUs",IF(Falta_Periodo&lt;&gt;"",Falta_Periodo,""))</f>
        <v>287-287 SKUs</v>
      </c>
      <c r="O4" s="55"/>
      <c r="P4" s="58"/>
      <c r="Q4" s="58"/>
      <c r="R4" s="55" t="s">
        <v>488</v>
      </c>
      <c r="S4" s="136">
        <f>Tabla_Empresa[FECHA REFRESCADO]</f>
        <v>42829.431793981479</v>
      </c>
      <c r="V4" s="89" t="e">
        <f t="array" ref="V4">INDEX(Observaciones_Notables[Observaciones],SMALL(IF((Observaciones_Notables[Observaciones])&lt;&gt;"",ROW(Observaciones_Notables[Observaciones]),10000),ROW(V4))-ROW(Observaciones_Notables[[#Headers],[Observaciones]]))</f>
        <v>#REF!</v>
      </c>
      <c r="W4" s="82"/>
      <c r="AA4" s="81" t="str">
        <f>IF(SUMPRODUCT(--(CONTROL[Nuevo Buff Real]&lt;&gt;""))&gt;0,"Buffers por efectivizar","")</f>
        <v/>
      </c>
    </row>
    <row r="5" spans="1:30" x14ac:dyDescent="0.2">
      <c r="A5" t="str">
        <f ca="1">LEFT(SUBSTITUTE(SUBSTITUTE(A4,"[",""),"]",""),FIND("xlsm",SUBSTITUTE(SUBSTITUTE(A4,"[",""),"]",""),1)+3)</f>
        <v>O:\HOSPICARE.xlsm</v>
      </c>
      <c r="I5" t="s">
        <v>39</v>
      </c>
      <c r="V5" s="89" t="e">
        <f t="array" ref="V5">INDEX(Observaciones_Notables[Observaciones],SMALL(IF((Observaciones_Notables[Observaciones])&lt;&gt;"",ROW(Observaciones_Notables[Observaciones]),10000),ROW(V5))-ROW(Observaciones_Notables[[#Headers],[Observaciones]]))</f>
        <v>#REF!</v>
      </c>
      <c r="W5" s="82"/>
      <c r="AA5" s="81" t="str">
        <f>IF(SUMPRODUCT(--(CONTROL[DESCRIPCION]="")),"Ítems no existentes","")</f>
        <v>Ítems no existentes</v>
      </c>
    </row>
    <row r="6" spans="1:30" x14ac:dyDescent="0.2">
      <c r="A6" t="str">
        <f ca="1">LEFT(CELL("filename",A1),FIND("[",CELL("filename",A1))-2)</f>
        <v>O:</v>
      </c>
      <c r="I6" t="s">
        <v>29</v>
      </c>
      <c r="V6" s="89" t="e">
        <f t="array" ref="V6">INDEX(Observaciones_Notables[Observaciones],SMALL(IF((Observaciones_Notables[Observaciones])&lt;&gt;"",ROW(Observaciones_Notables[Observaciones]),10000),ROW(V6))-ROW(Observaciones_Notables[[#Headers],[Observaciones]]))</f>
        <v>#REF!</v>
      </c>
      <c r="AA6" s="81" t="str">
        <f>IF(SUMPRODUCT(--(ISBLANK(CONTROL[Buff Act])))&gt;0,"Ítems con buffer vacío","")</f>
        <v/>
      </c>
    </row>
    <row r="7" spans="1:30" x14ac:dyDescent="0.2">
      <c r="V7" s="89" t="e">
        <f t="array" ref="V7">INDEX(Observaciones_Notables[Observaciones],SMALL(IF((Observaciones_Notables[Observaciones])&lt;&gt;"",ROW(Observaciones_Notables[Observaciones]),10000),ROW(V7))-ROW(Observaciones_Notables[[#Headers],[Observaciones]]))</f>
        <v>#REF!</v>
      </c>
      <c r="AA7" s="81" t="str">
        <f t="array" ref="AA7">IF((SUMPRODUCT(IF(1*ISNUMBER(CONTROL[Err Ped Grupo]),CONTROL[Err Ped Grupo],0))&lt;&gt;0),"MG "&amp;INDEX(CONTROL[CODIGO GENERICO],MATCH(MAX(IF(1*ISNUMBER(CONTROL[Err Ped Grupo]),CONTROL[Err Ped Grupo],0)),CONTROL[Err Ped Grupo],0)),"")</f>
        <v/>
      </c>
    </row>
    <row r="8" spans="1:30" x14ac:dyDescent="0.2">
      <c r="A8" t="e">
        <f ca="1">MID(LEFT(A4,FIND("[",A4)-2),1,FIND("CONTROL",LEFT(A4,FIND("[",A4)-2),1)-1)&amp;"CONTROL DE BUFFERS\"</f>
        <v>#VALUE!</v>
      </c>
      <c r="I8" s="1" t="s">
        <v>27</v>
      </c>
      <c r="AA8" s="81" t="str">
        <f>IFERROR(IF(SUMPRODUCT((CONTROL[Comportamiento]&lt;&gt;"")*1)&gt;0,"Comportamiento especial",""),"")</f>
        <v/>
      </c>
    </row>
    <row r="9" spans="1:30" x14ac:dyDescent="0.2">
      <c r="AA9" s="153" t="str">
        <f>IF(SUMPRODUCT(--(CONTROL[DESCRIPCION]&lt;&gt;""),--(CONTROL[Ult Cambio]=0))=0,"","Buffers nunca inicializados")</f>
        <v/>
      </c>
    </row>
    <row r="10" spans="1:30" x14ac:dyDescent="0.2">
      <c r="A10" t="e">
        <f ca="1">MID(A6,LEN(A8)+1,LEN(A6)-LEN(A8))</f>
        <v>#VALUE!</v>
      </c>
      <c r="I10" t="s">
        <v>30</v>
      </c>
      <c r="AA10" s="81" t="str">
        <f>IF(COUNTA(Tabla_Duplicados[])&lt;&gt;0,"Duplicados otra Hoja CB","")</f>
        <v/>
      </c>
    </row>
    <row r="11" spans="1:30" x14ac:dyDescent="0.2">
      <c r="AA11" s="171" t="str">
        <f>IF(COUNTA(tbl_transferencia_atrasada[CODIGO])&gt;0,"Mal atendido frecuencia","")</f>
        <v/>
      </c>
    </row>
    <row r="12" spans="1:30" x14ac:dyDescent="0.2">
      <c r="A12" t="e">
        <f ca="1">SUBSTITUTE(EMPRESABODEGA1,"\"," ")</f>
        <v>#VALUE!</v>
      </c>
      <c r="I12" t="s">
        <v>30</v>
      </c>
      <c r="AA12" s="177" t="str">
        <f>IF(COUNTA(tbl_transferencia_demorada[CODIGO])&gt;0,"Mal atendido t suministro","")</f>
        <v/>
      </c>
    </row>
    <row r="14" spans="1:30" x14ac:dyDescent="0.2">
      <c r="A14" t="str">
        <f>Tabla_Empresa_Activa[NOMBRE]</f>
        <v>HOSPICARE</v>
      </c>
      <c r="I14" t="s">
        <v>31</v>
      </c>
    </row>
    <row r="16" spans="1:30" x14ac:dyDescent="0.2">
      <c r="A16" t="e">
        <f ca="1">RIGHT(EMPRESABODEGA1,LEN(EMPRESABODEGA1)-FIND("\",EMPRESABODEGA1))</f>
        <v>#VALUE!</v>
      </c>
      <c r="I16" t="s">
        <v>32</v>
      </c>
      <c r="O16" s="1"/>
    </row>
    <row r="18" spans="1:18" x14ac:dyDescent="0.2">
      <c r="A18" t="e">
        <f ca="1">EMPRES&amp;BODEG</f>
        <v>#VALUE!</v>
      </c>
      <c r="I18" t="s">
        <v>34</v>
      </c>
    </row>
    <row r="19" spans="1:18" x14ac:dyDescent="0.2">
      <c r="A19" t="str">
        <f>INDEX(Tabla_ArchivosCB[COD_EMPRESA],MATCH(EMPRES,Tabla_ArchivosCB[EMPRESA],0))</f>
        <v>HOSPICARE</v>
      </c>
      <c r="R19" s="90"/>
    </row>
    <row r="20" spans="1:18" x14ac:dyDescent="0.2">
      <c r="A20" t="str">
        <f ca="1">LEFT(RIGHT(DIRPATHCOMPLETO,LEN(DIRPATHCOMPLETO)-(LEN(DIRCOMPLETO)+1)),LEN(RIGHT(DIRPATHCOMPLETO,LEN(DIRPATHCOMPLETO)-(LEN(DIRCOMPLETO)+1)))-5)</f>
        <v>HOSPICARE</v>
      </c>
      <c r="B20" s="2"/>
      <c r="F20" s="19"/>
      <c r="I20" s="1" t="s">
        <v>40</v>
      </c>
    </row>
    <row r="21" spans="1:18" x14ac:dyDescent="0.2">
      <c r="A21" t="str">
        <f ca="1">UPPER(SUBSTITUTE(A20," ",""))</f>
        <v>HOSPICARE</v>
      </c>
      <c r="I21" s="1" t="s">
        <v>42</v>
      </c>
    </row>
    <row r="22" spans="1:18" x14ac:dyDescent="0.2">
      <c r="A22" t="str">
        <f ca="1">A20&amp;".xlsm"</f>
        <v>HOSPICARE.xlsm</v>
      </c>
      <c r="I22" s="1" t="s">
        <v>41</v>
      </c>
    </row>
    <row r="23" spans="1:18" x14ac:dyDescent="0.2">
      <c r="A23" s="1" t="s">
        <v>45</v>
      </c>
      <c r="C23" s="1" t="s">
        <v>60</v>
      </c>
      <c r="D23" s="15" t="s">
        <v>72</v>
      </c>
      <c r="E23" s="1" t="s">
        <v>62</v>
      </c>
      <c r="F23" t="b">
        <f>AND(FINPERIODO&gt;=INIPERIODO,NOT(OR(ISBLANK(INIPERIODO),ISBLANK(FINPERIODO))))</f>
        <v>1</v>
      </c>
      <c r="I23" s="1" t="s">
        <v>46</v>
      </c>
    </row>
    <row r="24" spans="1:18" x14ac:dyDescent="0.2">
      <c r="A24" s="15" t="s">
        <v>668</v>
      </c>
      <c r="C24" s="1" t="s">
        <v>61</v>
      </c>
      <c r="D24" s="15" t="s">
        <v>72</v>
      </c>
    </row>
    <row r="25" spans="1:18" x14ac:dyDescent="0.2">
      <c r="A25" s="16">
        <f>IFERROR(MATCH(FECHAINVFISICO,CONTROL[#Headers],0),0)</f>
        <v>230</v>
      </c>
    </row>
    <row r="26" spans="1:18" x14ac:dyDescent="0.2">
      <c r="A26" s="4" t="s">
        <v>43</v>
      </c>
      <c r="B26" s="5"/>
      <c r="C26" s="6" t="s">
        <v>44</v>
      </c>
    </row>
    <row r="27" spans="1:18" x14ac:dyDescent="0.2">
      <c r="A27" s="7" t="str">
        <f ca="1">DIRCOMPLETO&amp;"\"&amp;NOMBREWORKBOOK</f>
        <v>O:\HOSPICARE.xlsm</v>
      </c>
      <c r="B27" s="8"/>
      <c r="C27" s="9">
        <f ca="1">INDEX(Tabla_ArchivosCB[TabARCHIVO],MATCH(NOMBREPESTANA,Tabla_ArchivosCB[PATH],0),1)</f>
        <v>2</v>
      </c>
    </row>
    <row r="28" spans="1:18" x14ac:dyDescent="0.2">
      <c r="A28" s="10" t="s">
        <v>47</v>
      </c>
      <c r="B28" s="11"/>
      <c r="C28" s="11"/>
      <c r="D28" s="11"/>
      <c r="E28" s="11"/>
      <c r="F28" s="11"/>
      <c r="G28" s="11"/>
    </row>
    <row r="29" spans="1:18" x14ac:dyDescent="0.2">
      <c r="A29" s="11" t="s">
        <v>76</v>
      </c>
      <c r="B29" s="11"/>
      <c r="C29" s="11"/>
      <c r="D29" s="11"/>
      <c r="E29" s="11"/>
      <c r="F29" s="11"/>
      <c r="G29" s="11"/>
    </row>
    <row r="32" spans="1:18" x14ac:dyDescent="0.2">
      <c r="C32" s="23" t="s">
        <v>102</v>
      </c>
    </row>
    <row r="33" spans="1:3" x14ac:dyDescent="0.2">
      <c r="C33" s="23">
        <v>3</v>
      </c>
    </row>
    <row r="34" spans="1:3" x14ac:dyDescent="0.2">
      <c r="A34" t="s">
        <v>548</v>
      </c>
      <c r="C34">
        <f>ROW(CONTROL[[#Headers],[BODEGA]])</f>
        <v>2</v>
      </c>
    </row>
    <row r="40" spans="1:3" x14ac:dyDescent="0.2">
      <c r="A40" s="1" t="s">
        <v>22</v>
      </c>
    </row>
    <row r="41" spans="1:3" x14ac:dyDescent="0.2">
      <c r="A41" s="1" t="s">
        <v>18</v>
      </c>
    </row>
    <row r="42" spans="1:3" x14ac:dyDescent="0.2">
      <c r="A42" s="1" t="s">
        <v>19</v>
      </c>
    </row>
    <row r="43" spans="1:3" x14ac:dyDescent="0.2">
      <c r="A43" s="1" t="s">
        <v>20</v>
      </c>
    </row>
    <row r="44" spans="1:3" x14ac:dyDescent="0.2">
      <c r="A44" s="1" t="s">
        <v>21</v>
      </c>
    </row>
    <row r="47" spans="1:3" x14ac:dyDescent="0.2">
      <c r="A47" t="s">
        <v>50</v>
      </c>
    </row>
    <row r="49" spans="1:3" x14ac:dyDescent="0.2">
      <c r="A49" t="s">
        <v>51</v>
      </c>
    </row>
    <row r="50" spans="1:3" x14ac:dyDescent="0.2">
      <c r="A50">
        <f ca="1">COLUMN(PRIMER_CAMPO)</f>
        <v>122</v>
      </c>
    </row>
    <row r="52" spans="1:3" x14ac:dyDescent="0.2">
      <c r="A52" t="s">
        <v>112</v>
      </c>
      <c r="B52" t="s">
        <v>113</v>
      </c>
      <c r="C52" s="1" t="s">
        <v>111</v>
      </c>
    </row>
    <row r="53" spans="1:3" x14ac:dyDescent="0.2">
      <c r="A53" s="24">
        <f ca="1">HOY</f>
        <v>42831</v>
      </c>
      <c r="B53" s="24">
        <f ca="1">Tabla_Parametros_Nivel_Servicio[FECHAFIN]-Tabla_Parametros_Nivel_Servicio[DÍAS NIVEL SERVICIO]</f>
        <v>42651</v>
      </c>
      <c r="C53" s="13">
        <f>AVERAGE(Tabla_ArchivosBodegas[T NIV SER (DIAS)])</f>
        <v>180</v>
      </c>
    </row>
  </sheetData>
  <conditionalFormatting sqref="O3">
    <cfRule type="expression" dxfId="157" priority="12">
      <formula>$O$3&lt;PRIMER_CAMPO*1</formula>
    </cfRule>
  </conditionalFormatting>
  <conditionalFormatting sqref="N4:Q4">
    <cfRule type="expression" dxfId="156" priority="10">
      <formula>AND($N$4&lt;&gt;"",RIGHT($N$4,4)&lt;&gt;"SKUs")</formula>
    </cfRule>
  </conditionalFormatting>
  <conditionalFormatting sqref="V1:V7">
    <cfRule type="expression" dxfId="155" priority="6">
      <formula>ISERROR(V1)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5186" r:id="rId4" name="Button 2">
              <controlPr defaultSize="0" print="0" autoFill="0" autoPict="0" macro="[0]!RangeTimer">
                <anchor moveWithCells="1" sizeWithCells="1">
                  <from>
                    <xdr:col>28</xdr:col>
                    <xdr:colOff>104775</xdr:colOff>
                    <xdr:row>5</xdr:row>
                    <xdr:rowOff>66675</xdr:rowOff>
                  </from>
                  <to>
                    <xdr:col>29</xdr:col>
                    <xdr:colOff>561975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7" r:id="rId5" name="Button 3">
              <controlPr defaultSize="0" print="0" autoFill="0" autoPict="0" macro="[0]!SheetTimer">
                <anchor moveWithCells="1" sizeWithCells="1">
                  <from>
                    <xdr:col>28</xdr:col>
                    <xdr:colOff>104775</xdr:colOff>
                    <xdr:row>10</xdr:row>
                    <xdr:rowOff>85725</xdr:rowOff>
                  </from>
                  <to>
                    <xdr:col>29</xdr:col>
                    <xdr:colOff>561975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8" r:id="rId6" name="Button 4">
              <controlPr defaultSize="0" print="0" autoFill="0" autoPict="0" macro="[0]!RecalcTimer">
                <anchor moveWithCells="1" sizeWithCells="1">
                  <from>
                    <xdr:col>28</xdr:col>
                    <xdr:colOff>104775</xdr:colOff>
                    <xdr:row>7</xdr:row>
                    <xdr:rowOff>152400</xdr:rowOff>
                  </from>
                  <to>
                    <xdr:col>29</xdr:col>
                    <xdr:colOff>561975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9" r:id="rId7" name="Button 5">
              <controlPr defaultSize="0" print="0" autoFill="0" autoPict="0" macro="[0]!FullcalcTimer">
                <anchor moveWithCells="1" sizeWithCells="1">
                  <from>
                    <xdr:col>28</xdr:col>
                    <xdr:colOff>104775</xdr:colOff>
                    <xdr:row>13</xdr:row>
                    <xdr:rowOff>0</xdr:rowOff>
                  </from>
                  <to>
                    <xdr:col>29</xdr:col>
                    <xdr:colOff>561975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1C4468C-D3E8-48C8-8CF5-59D0FEA8AABE}">
            <xm:f>OR(DATE(YEAR($S$4),MONTH($S$4),DAY($S$4))&lt;&gt;TODAY(),Empresa!$R$2=0)</xm:f>
            <x14:dxf>
              <fill>
                <patternFill>
                  <bgColor rgb="FFFF0000"/>
                </patternFill>
              </fill>
            </x14:dxf>
          </x14:cfRule>
          <xm:sqref>S4</xm:sqref>
        </x14:conditionalFormatting>
        <x14:conditionalFormatting xmlns:xm="http://schemas.microsoft.com/office/excel/2006/main">
          <x14:cfRule type="expression" priority="2" id="{11FD9175-32CB-4820-B332-85E1BDA85924}">
            <xm:f>Empresa!$W$2="incompleto"</xm:f>
            <x14:dxf>
              <fill>
                <patternFill>
                  <bgColor rgb="FFFFC000"/>
                </patternFill>
              </fill>
            </x14:dxf>
          </x14:cfRule>
          <xm:sqref>S4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6600CC"/>
  </sheetPr>
  <dimension ref="A1:W7"/>
  <sheetViews>
    <sheetView showGridLines="0" topLeftCell="H1" workbookViewId="0">
      <selection activeCell="I2" sqref="I2"/>
    </sheetView>
  </sheetViews>
  <sheetFormatPr baseColWidth="10" defaultColWidth="11.42578125" defaultRowHeight="12.75" x14ac:dyDescent="0.2"/>
  <cols>
    <col min="1" max="1" width="17.28515625" bestFit="1" customWidth="1"/>
    <col min="2" max="2" width="23.85546875" bestFit="1" customWidth="1"/>
    <col min="3" max="3" width="17.42578125" customWidth="1"/>
    <col min="4" max="4" width="14.140625" bestFit="1" customWidth="1"/>
    <col min="7" max="7" width="12.85546875" customWidth="1"/>
    <col min="9" max="9" width="18.140625" bestFit="1" customWidth="1"/>
    <col min="10" max="10" width="12.5703125" bestFit="1" customWidth="1"/>
    <col min="11" max="11" width="17.7109375" bestFit="1" customWidth="1"/>
    <col min="12" max="12" width="14.85546875" bestFit="1" customWidth="1"/>
    <col min="19" max="19" width="23.140625" bestFit="1" customWidth="1"/>
  </cols>
  <sheetData>
    <row r="1" spans="1:23" x14ac:dyDescent="0.2">
      <c r="A1" s="68" t="s">
        <v>63</v>
      </c>
      <c r="B1" t="s">
        <v>64</v>
      </c>
      <c r="C1" t="s">
        <v>208</v>
      </c>
      <c r="D1" s="1" t="s">
        <v>65</v>
      </c>
      <c r="E1" s="1" t="s">
        <v>66</v>
      </c>
      <c r="F1" s="1" t="s">
        <v>69</v>
      </c>
      <c r="G1" s="1" t="s">
        <v>67</v>
      </c>
      <c r="H1" s="1" t="s">
        <v>68</v>
      </c>
      <c r="I1" t="s">
        <v>70</v>
      </c>
      <c r="J1" t="s">
        <v>71</v>
      </c>
      <c r="K1" t="s">
        <v>73</v>
      </c>
      <c r="L1" s="1" t="s">
        <v>49</v>
      </c>
      <c r="M1" t="s">
        <v>90</v>
      </c>
      <c r="N1" t="s">
        <v>89</v>
      </c>
      <c r="O1" t="s">
        <v>126</v>
      </c>
      <c r="P1" t="s">
        <v>127</v>
      </c>
      <c r="Q1" s="1" t="s">
        <v>134</v>
      </c>
      <c r="R1" t="s">
        <v>168</v>
      </c>
      <c r="S1" t="s">
        <v>169</v>
      </c>
      <c r="T1" s="1" t="s">
        <v>255</v>
      </c>
      <c r="U1" t="s">
        <v>537</v>
      </c>
      <c r="V1" t="s">
        <v>538</v>
      </c>
      <c r="W1" t="s">
        <v>544</v>
      </c>
    </row>
    <row r="2" spans="1:23" x14ac:dyDescent="0.2">
      <c r="A2" s="68"/>
      <c r="B2" t="str">
        <f ca="1">NOMBREWORKBOOK</f>
        <v>HOSPICARE.xlsm</v>
      </c>
      <c r="C2" t="str">
        <f ca="1">DIRPATHCOMPLETO</f>
        <v>O:\HOSPICARE.xlsm</v>
      </c>
      <c r="D2" t="str">
        <f ca="1">PRIMER_CAMPO</f>
        <v>25/11/2016</v>
      </c>
      <c r="E2" t="str">
        <f ca="1">OFFSET(PRIMER_CAMPO,0,COUNTIF(CONTROL[#Headers],"*/*")-1,1,1)</f>
        <v>03/08/2017</v>
      </c>
      <c r="F2">
        <f ca="1">COLUMNS(HORIZONTE)</f>
        <v>196</v>
      </c>
      <c r="G2" s="75">
        <f ca="1">HOY</f>
        <v>42831</v>
      </c>
      <c r="H2">
        <f ca="1">Tabla_Empresa[ULTIMO DIA]-Tabla_Empresa[HOY]</f>
        <v>119</v>
      </c>
      <c r="I2">
        <f>ROWS(CONTROL[])</f>
        <v>287</v>
      </c>
      <c r="J2">
        <f>SUMPRODUCT(--(CONTROL[Buff Act]&gt;0))</f>
        <v>48</v>
      </c>
      <c r="K2" s="68" t="str">
        <f ca="1">INDEX(Tabla_ArchivosCB[EMPRESA],MATCH(DIRPATHCOMPLETO,Tabla_ArchivosCB[PATH],0),1)</f>
        <v>HOSPICARE</v>
      </c>
      <c r="L2" s="68"/>
      <c r="M2">
        <f>SUMPRODUCT(CONTROL[Buff Act],CONTROL[CTV])</f>
        <v>43059.209999999992</v>
      </c>
      <c r="N2">
        <f>SUMPRODUCT((CONTROL[Inv Fís Act]+CONTROL[Tráns Act]),CONTROL[CTV])</f>
        <v>45898.489999999983</v>
      </c>
      <c r="O2">
        <f>SUMPRODUCT((CONTROL[Inv Fís Act]),CONTROL[CTV])</f>
        <v>42109.789999999979</v>
      </c>
      <c r="P2">
        <f>SUMPRODUCT(CONTROL[Tráns Act],CONTROL[CTV])</f>
        <v>3788.7</v>
      </c>
      <c r="R2">
        <v>1</v>
      </c>
      <c r="S2" s="12">
        <v>42829.431793981479</v>
      </c>
      <c r="T2">
        <f>COUNTA(CONTROL[#Headers])</f>
        <v>317</v>
      </c>
      <c r="U2">
        <f>COUNTA(Tabla_Duplicados[EMPRESA])</f>
        <v>0</v>
      </c>
      <c r="V2" s="90">
        <v>42829.431400462963</v>
      </c>
      <c r="W2" t="s">
        <v>841</v>
      </c>
    </row>
    <row r="7" spans="1:23" x14ac:dyDescent="0.2">
      <c r="J7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6600CC"/>
  </sheetPr>
  <dimension ref="A1:F23"/>
  <sheetViews>
    <sheetView showGridLines="0" topLeftCell="B1" workbookViewId="0">
      <selection activeCell="E9" sqref="E9"/>
    </sheetView>
  </sheetViews>
  <sheetFormatPr baseColWidth="10" defaultColWidth="11.42578125" defaultRowHeight="12.75" x14ac:dyDescent="0.2"/>
  <cols>
    <col min="1" max="1" width="25.5703125" customWidth="1"/>
    <col min="2" max="2" width="13.85546875" customWidth="1"/>
    <col min="3" max="3" width="71.7109375" customWidth="1"/>
    <col min="4" max="4" width="12.28515625" bestFit="1" customWidth="1"/>
    <col min="5" max="5" width="50.5703125" bestFit="1" customWidth="1"/>
    <col min="6" max="6" width="55.42578125" customWidth="1"/>
  </cols>
  <sheetData>
    <row r="1" spans="1:6" ht="15" x14ac:dyDescent="0.25">
      <c r="A1" s="1"/>
      <c r="C1" s="22"/>
      <c r="E1" t="s">
        <v>241</v>
      </c>
      <c r="F1" t="s">
        <v>242</v>
      </c>
    </row>
    <row r="2" spans="1:6" x14ac:dyDescent="0.2">
      <c r="A2" s="1" t="s">
        <v>136</v>
      </c>
      <c r="B2" t="s">
        <v>251</v>
      </c>
      <c r="C2" s="79" t="str">
        <f t="array" aca="1" ref="C2" ca="1">IFERROR(INDEX(Tabla_Errores[Error],MIN(IF(--(Tabla_Errores[Error]&lt;&gt;"")*(ROW(Tabla_Errores[Error])-ROW(Tabla_Errores[[#Headers],[Error]]))=0,1000000000,--(Tabla_Errores[Error]&lt;&gt;"")*(ROW(Tabla_Errores[Error])-ROW(Tabla_Errores[[#Headers],[Error]])))),1),ErrRaros)</f>
        <v/>
      </c>
      <c r="E2" s="1" t="s">
        <v>240</v>
      </c>
      <c r="F2" t="str">
        <f t="array" aca="1" ref="F2" ca="1">IF(ISERROR(MATCH(HOY,HORIZONTE*1,0)),"La fecha de hoy no está presente en el período.","")</f>
        <v/>
      </c>
    </row>
    <row r="3" spans="1:6" x14ac:dyDescent="0.2">
      <c r="A3" s="1"/>
      <c r="B3" t="s">
        <v>252</v>
      </c>
      <c r="C3" s="79" t="str">
        <f>IF((SUMPRODUCT(--ISERROR(CONTROL[Horizonte]))+SUMPRODUCT(--ISTEXT(CONTROL[Horizonte]))+SUMPRODUCT(--ISERROR(CONTROL[T Suministro]))+SUMPRODUCT(--ISTEXT(CONTROL[T Suministro]))+SUMPRODUCT(--ISERROR(CONTROL[Frec Repos]))+SUMPRODUCT(--ISTEXT(CONTROL[Frec Repos]))+SUMPRODUCT(--ISERROR(CONTROL[Inv Proveed]))+SUMPRODUCT(--ISTEXT(CONTROL[Inv Proveed]))+SUMPRODUCT(--ISERROR(CONTROL[Inicio Per]))+SUMPRODUCT(--ISTEXT(CONTROL[Inicio Per]))+SUMPRODUCT(--ISERROR(CONTROL[Nuevo Inicio]))+SUMPRODUCT(--ISTEXT(CONTROL[Nuevo Inicio])))&lt;&gt;0,"ERROR DESCONOCIDO, REFRESCAR Y VERIFICAR SI EL ERROR DESAPARECE.","")</f>
        <v/>
      </c>
      <c r="E3" s="1" t="s">
        <v>236</v>
      </c>
      <c r="F3" t="str">
        <f t="array" aca="1" ref="F3" ca="1">IFERROR(IF(IDIOMA="Español",IF((MIN(CONTROL[Inicio Per]))&lt;(PRIMER_CAMPO*1),"Falta inicio horizonte desde  "&amp;TEXT(MININICIO,"dd/mm/aaaa"),""),IF((MIN(CONTROL[Inicio Per]))&lt;(PRIMER_CAMPO*1),"Falta inicio horizonte desde  "&amp;TEXT(MININICIO,"dd/mm/yyyy"),"")),"")</f>
        <v/>
      </c>
    </row>
    <row r="4" spans="1:6" x14ac:dyDescent="0.2">
      <c r="A4" s="1"/>
      <c r="C4" s="79"/>
      <c r="E4" s="1" t="s">
        <v>237</v>
      </c>
      <c r="F4" t="str">
        <f t="array" aca="1" ref="F4" ca="1">IFERROR(IF(IDIOMA="Español",IF(((MAX(CONTROL[Horizonte])*7)+HOY)&gt;MAX(HORIZONTE*1),"Aumentar horizonte hasta "&amp;(TEXT(((MAX(CONTROL[Horizonte])*7)+HOY),"dd/mm/aaaa")),""),IF(((MAX(CONTROL[Horizonte])*7)+HOY)&gt;MAX(HORIZONTE*1),"Aumentar horizonte hasta "&amp;(TEXT(((MAX(CONTROL[Horizonte])*7)+HOY),"dd/mm/yyyy")),"")),"")</f>
        <v/>
      </c>
    </row>
    <row r="5" spans="1:6" x14ac:dyDescent="0.2">
      <c r="A5" t="s">
        <v>135</v>
      </c>
      <c r="C5" s="79" t="str">
        <f ca="1">IF(ISERROR(INDIRECT("CONTROL[[#Encabezados]"&amp;sep_lis&amp;"[BODEGA]]")),"Inglés","Otro")</f>
        <v>Otro</v>
      </c>
      <c r="E5" s="1" t="s">
        <v>253</v>
      </c>
      <c r="F5" t="str">
        <f>IF(SUMPRODUCT(--ISBLANK(CONTROL[BODEGA]))&gt;0,"Hay vacíos en la columna BODEGA.","")</f>
        <v/>
      </c>
    </row>
    <row r="6" spans="1:6" x14ac:dyDescent="0.2">
      <c r="A6" t="s">
        <v>417</v>
      </c>
      <c r="C6" t="str">
        <f ca="1">IF(ISERROR(INDIRECT("CONTROL[[#Encabezados];[Negro]]")),",",";")</f>
        <v>,</v>
      </c>
      <c r="E6" s="1" t="s">
        <v>536</v>
      </c>
      <c r="F6" t="str">
        <f>IF(SUMPRODUCT(--ISBLANK(CONTROL[CODIGO]))&gt;0,"Hay vacíos en la columna CODIGO.","")</f>
        <v/>
      </c>
    </row>
    <row r="7" spans="1:6" x14ac:dyDescent="0.2">
      <c r="A7" s="1" t="s">
        <v>67</v>
      </c>
      <c r="C7" s="79">
        <f ca="1">TODAY()</f>
        <v>42831</v>
      </c>
      <c r="D7">
        <v>33</v>
      </c>
      <c r="E7" s="64" t="s">
        <v>247</v>
      </c>
      <c r="F7" s="3" t="str">
        <f>IF(SUMPRODUCT(--ISBLANK(CONTROL[Proveedor]))&gt;0,"Hay vacíos en la columna PROVEEDOR.","")</f>
        <v/>
      </c>
    </row>
    <row r="8" spans="1:6" x14ac:dyDescent="0.2">
      <c r="C8" s="79"/>
      <c r="D8">
        <f ca="1">WEEKNUM(HOY)</f>
        <v>14</v>
      </c>
      <c r="E8" s="64" t="s">
        <v>248</v>
      </c>
      <c r="F8" s="3" t="str">
        <f>IF(SUMPRODUCT(--ISBLANK(CONTROL[Perfil]))&gt;0,"Hay vacíos en la columna PERFIL.","")</f>
        <v/>
      </c>
    </row>
    <row r="9" spans="1:6" x14ac:dyDescent="0.2">
      <c r="C9" s="79"/>
      <c r="E9" s="1" t="s">
        <v>530</v>
      </c>
      <c r="F9" t="str">
        <f>IF(SUMPRODUCT(--ISBLANK(CONTROL[Redondeo Pedido Mínimo]))&gt;0,"Hay vacíos en la columna Redondeo Pedido Mínimo.","")</f>
        <v/>
      </c>
    </row>
    <row r="10" spans="1:6" x14ac:dyDescent="0.2">
      <c r="C10" s="79"/>
      <c r="E10" s="1" t="s">
        <v>531</v>
      </c>
      <c r="F10" t="str">
        <f>IF(SUMPRODUCT(--ISBLANK(CONTROL[Redondeo Unidad Empaque]))&gt;0,"Hay vacíos en la columna Redondeo Unidad Empaque.","")</f>
        <v/>
      </c>
    </row>
    <row r="11" spans="1:6" x14ac:dyDescent="0.2">
      <c r="A11" s="1" t="s">
        <v>119</v>
      </c>
      <c r="C11" s="80" t="s">
        <v>120</v>
      </c>
      <c r="E11" s="64" t="s">
        <v>249</v>
      </c>
      <c r="F11" s="3" t="str">
        <f>IF(SUMPRODUCT(--ISBLANK(CONTROL[Porc Aten]))&gt;0,"Hay vacíos en la columna PORC ATEN.","")</f>
        <v/>
      </c>
    </row>
    <row r="12" spans="1:6" x14ac:dyDescent="0.2">
      <c r="C12" s="79">
        <v>1</v>
      </c>
      <c r="E12" s="64" t="s">
        <v>250</v>
      </c>
      <c r="F12" s="3" t="str">
        <f>IF(SUMPRODUCT(--ISBLANK(CONTROL[Inicio Per]))&gt;0,"Hay vacíos en la columna INICIO PER.","")</f>
        <v/>
      </c>
    </row>
    <row r="13" spans="1:6" x14ac:dyDescent="0.2">
      <c r="C13" s="79">
        <v>0</v>
      </c>
      <c r="E13" s="1" t="s">
        <v>243</v>
      </c>
      <c r="F13" t="str">
        <f t="array" ref="F13">IF(MIN(IFERROR(MATCH(CONTROL[BODEGA],BodegasPermitidas,0),0))=0,"BODEGAS que no corresponden a esta Hoja CB.","")</f>
        <v/>
      </c>
    </row>
    <row r="14" spans="1:6" x14ac:dyDescent="0.2">
      <c r="C14" s="79"/>
      <c r="E14" s="1" t="s">
        <v>238</v>
      </c>
      <c r="F14" t="str">
        <f t="array" ref="F14">IF(MIN(IFERROR(MATCH(CONTROL[Proveedor],ProveedoresPermitidos,0),0))=0,"PROVEEDORES que no corresponden a esta Hoja CB.","")</f>
        <v/>
      </c>
    </row>
    <row r="15" spans="1:6" x14ac:dyDescent="0.2">
      <c r="C15" s="79"/>
      <c r="E15" s="1" t="s">
        <v>239</v>
      </c>
      <c r="F15" t="str">
        <f t="array" ref="F15">IF(MIN(IFERROR(MATCH(CONTROL[Perfil],PerfilesPermitidos,0),0))=0,"PERFILES de reposición que no corresponden a esta Hoja CB.","")</f>
        <v/>
      </c>
    </row>
    <row r="16" spans="1:6" x14ac:dyDescent="0.2">
      <c r="E16" s="64" t="s">
        <v>244</v>
      </c>
      <c r="F16" s="3" t="str">
        <f t="array" ref="F16">IF(MIN(IFERROR(MATCH(CONTROL[BODEGA]&amp;CONTROL[Proveedor],ListaBodegaProveedor,0),0))=0,"PROVEEDORES asignados a BODEGAS que no le corresponden.","")</f>
        <v/>
      </c>
    </row>
    <row r="17" spans="1:6" x14ac:dyDescent="0.2">
      <c r="C17" s="79"/>
      <c r="E17" s="3" t="s">
        <v>245</v>
      </c>
      <c r="F17" s="64" t="str">
        <f t="array" ref="F17">IF(MIN(IFERROR(MATCH(CONTROL[BODEGA]&amp;CONTROL[Perfil],ListaBodegaPerfil,0),0))=0,"PERFILES asignados a BODEGAS que no les corresponden.","")</f>
        <v/>
      </c>
    </row>
    <row r="18" spans="1:6" x14ac:dyDescent="0.2">
      <c r="A18" t="s">
        <v>223</v>
      </c>
      <c r="C18" s="79">
        <v>42827</v>
      </c>
      <c r="E18" s="64" t="s">
        <v>369</v>
      </c>
      <c r="F18" s="17" t="str">
        <f t="array" ref="F18">IF(MIN(IF(--(ISBLANK(CONTROL[Calendario Estacional]))=0,IFERROR(MATCH(CONTROL[Calendario Estacional],Tabla_Esta[CALENDARIO],0),0),1000000000))=0,"Calendarios Estacionales asignados no existentes.","")</f>
        <v/>
      </c>
    </row>
    <row r="19" spans="1:6" x14ac:dyDescent="0.2">
      <c r="A19" s="68" t="s">
        <v>377</v>
      </c>
      <c r="C19" s="79"/>
      <c r="E19" s="1" t="s">
        <v>533</v>
      </c>
      <c r="F19" s="1" t="str">
        <f>IF(1,"",SUMPRODUCT(--(CONTROL[Ult Cambio]=HORIZONTE*1)))</f>
        <v/>
      </c>
    </row>
    <row r="20" spans="1:6" x14ac:dyDescent="0.2">
      <c r="A20" t="s">
        <v>254</v>
      </c>
      <c r="C20" s="66">
        <f t="array" aca="1" ref="C20" ca="1">IF(ISERROR(MATCH(((MAX(CONTROL[Horizonte])*7)+HOY),HORIZONTE*1,0)),INDEX(HORIZONTE,1,1+MATCH(((MAX(CONTROL[Horizonte])*7)+HOY),HORIZONTE*1,1)),((MAX(CONTROL[Horizonte])*7)+HOY))</f>
        <v>42922</v>
      </c>
    </row>
    <row r="21" spans="1:6" x14ac:dyDescent="0.2">
      <c r="A21" t="s">
        <v>454</v>
      </c>
      <c r="C21" s="13" t="s">
        <v>455</v>
      </c>
    </row>
    <row r="23" spans="1:6" x14ac:dyDescent="0.2">
      <c r="C23" t="s">
        <v>560</v>
      </c>
    </row>
  </sheetData>
  <conditionalFormatting sqref="C1">
    <cfRule type="expression" dxfId="140" priority="1">
      <formula>C1&lt;&gt;""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233" r:id="rId4" name="Button 1">
              <controlPr defaultSize="0" print="0" autoFill="0" autoPict="0" macro="[0]!RangeTimer">
                <anchor moveWithCells="1" sizeWithCells="1">
                  <from>
                    <xdr:col>2</xdr:col>
                    <xdr:colOff>2990850</xdr:colOff>
                    <xdr:row>16</xdr:row>
                    <xdr:rowOff>38100</xdr:rowOff>
                  </from>
                  <to>
                    <xdr:col>2</xdr:col>
                    <xdr:colOff>4057650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4" r:id="rId5" name="Button 2">
              <controlPr defaultSize="0" print="0" autoFill="0" autoPict="0" macro="[0]!SheetTimer">
                <anchor moveWithCells="1" sizeWithCells="1">
                  <from>
                    <xdr:col>2</xdr:col>
                    <xdr:colOff>2990850</xdr:colOff>
                    <xdr:row>21</xdr:row>
                    <xdr:rowOff>85725</xdr:rowOff>
                  </from>
                  <to>
                    <xdr:col>2</xdr:col>
                    <xdr:colOff>4057650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5" r:id="rId6" name="Button 3">
              <controlPr defaultSize="0" print="0" autoFill="0" autoPict="0" macro="[0]!RecalcTimer">
                <anchor moveWithCells="1" sizeWithCells="1">
                  <from>
                    <xdr:col>2</xdr:col>
                    <xdr:colOff>2990850</xdr:colOff>
                    <xdr:row>18</xdr:row>
                    <xdr:rowOff>133350</xdr:rowOff>
                  </from>
                  <to>
                    <xdr:col>2</xdr:col>
                    <xdr:colOff>4057650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6" r:id="rId7" name="Button 4">
              <controlPr defaultSize="0" print="0" autoFill="0" autoPict="0" macro="[0]!FullcalcTimer">
                <anchor moveWithCells="1" sizeWithCells="1">
                  <from>
                    <xdr:col>2</xdr:col>
                    <xdr:colOff>2990850</xdr:colOff>
                    <xdr:row>24</xdr:row>
                    <xdr:rowOff>9525</xdr:rowOff>
                  </from>
                  <to>
                    <xdr:col>2</xdr:col>
                    <xdr:colOff>4057650</xdr:colOff>
                    <xdr:row>26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/>
  <dimension ref="A1:C2"/>
  <sheetViews>
    <sheetView showGridLines="0" workbookViewId="0">
      <selection activeCell="A2" sqref="A2:C2"/>
    </sheetView>
  </sheetViews>
  <sheetFormatPr baseColWidth="10" defaultColWidth="11.42578125" defaultRowHeight="12.75" x14ac:dyDescent="0.2"/>
  <cols>
    <col min="3" max="3" width="22.5703125" customWidth="1"/>
  </cols>
  <sheetData>
    <row r="1" spans="1:3" x14ac:dyDescent="0.2">
      <c r="A1" s="1" t="s">
        <v>3</v>
      </c>
      <c r="B1" s="1" t="s">
        <v>275</v>
      </c>
      <c r="C1" s="1" t="s">
        <v>276</v>
      </c>
    </row>
    <row r="2" spans="1:3" x14ac:dyDescent="0.2">
      <c r="A2" s="68" t="s">
        <v>843</v>
      </c>
      <c r="B2" s="68" t="s">
        <v>843</v>
      </c>
      <c r="C2" s="68" t="s">
        <v>843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004600"/>
  </sheetPr>
  <dimension ref="A1:E3"/>
  <sheetViews>
    <sheetView showGridLines="0" topLeftCell="D1" workbookViewId="0">
      <selection activeCell="A2" sqref="A2:E2"/>
    </sheetView>
  </sheetViews>
  <sheetFormatPr baseColWidth="10" defaultColWidth="11.42578125" defaultRowHeight="12.75" x14ac:dyDescent="0.2"/>
  <cols>
    <col min="1" max="1" width="15" bestFit="1" customWidth="1"/>
    <col min="2" max="2" width="29.85546875" customWidth="1"/>
    <col min="3" max="3" width="114.140625" bestFit="1" customWidth="1"/>
    <col min="4" max="4" width="18.5703125" customWidth="1"/>
    <col min="5" max="6" width="15.140625" bestFit="1" customWidth="1"/>
    <col min="7" max="7" width="17.42578125" customWidth="1"/>
    <col min="8" max="8" width="18.7109375" bestFit="1" customWidth="1"/>
    <col min="9" max="9" width="13.85546875" customWidth="1"/>
    <col min="10" max="10" width="15.140625" bestFit="1" customWidth="1"/>
  </cols>
  <sheetData>
    <row r="1" spans="1:5" x14ac:dyDescent="0.2">
      <c r="A1" t="s">
        <v>73</v>
      </c>
      <c r="B1" t="s">
        <v>64</v>
      </c>
      <c r="C1" t="s">
        <v>208</v>
      </c>
      <c r="D1" t="s">
        <v>207</v>
      </c>
      <c r="E1" s="68" t="s">
        <v>274</v>
      </c>
    </row>
    <row r="2" spans="1:5" x14ac:dyDescent="0.2">
      <c r="A2" s="68" t="s">
        <v>843</v>
      </c>
      <c r="B2" s="68" t="s">
        <v>844</v>
      </c>
      <c r="C2" s="51" t="s">
        <v>845</v>
      </c>
      <c r="D2">
        <v>2</v>
      </c>
      <c r="E2" s="1" t="s">
        <v>843</v>
      </c>
    </row>
    <row r="3" spans="1:5" x14ac:dyDescent="0.2">
      <c r="A3" t="s">
        <v>846</v>
      </c>
      <c r="B3" t="s">
        <v>847</v>
      </c>
      <c r="C3" t="s">
        <v>848</v>
      </c>
      <c r="D3">
        <v>1</v>
      </c>
      <c r="E3" s="1" t="s">
        <v>846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rgb="FF004600"/>
  </sheetPr>
  <dimension ref="A1:W12"/>
  <sheetViews>
    <sheetView showGridLines="0" topLeftCell="J1" workbookViewId="0">
      <selection activeCell="A2" sqref="A2:W2"/>
    </sheetView>
  </sheetViews>
  <sheetFormatPr baseColWidth="10" defaultColWidth="11.42578125" defaultRowHeight="12.75" x14ac:dyDescent="0.2"/>
  <cols>
    <col min="1" max="1" width="26.85546875" customWidth="1"/>
    <col min="2" max="2" width="27.140625" bestFit="1" customWidth="1"/>
    <col min="3" max="3" width="100.85546875" customWidth="1"/>
    <col min="4" max="4" width="15.140625" customWidth="1"/>
    <col min="5" max="5" width="12.42578125" bestFit="1" customWidth="1"/>
    <col min="6" max="6" width="17.42578125" bestFit="1" customWidth="1"/>
    <col min="7" max="7" width="18.7109375" bestFit="1" customWidth="1"/>
    <col min="8" max="8" width="27.85546875" bestFit="1" customWidth="1"/>
    <col min="9" max="10" width="44.42578125" bestFit="1" customWidth="1"/>
  </cols>
  <sheetData>
    <row r="1" spans="1:23" x14ac:dyDescent="0.2">
      <c r="A1" t="s">
        <v>63</v>
      </c>
      <c r="B1" t="s">
        <v>64</v>
      </c>
      <c r="C1" t="s">
        <v>208</v>
      </c>
      <c r="D1" t="s">
        <v>101</v>
      </c>
      <c r="E1" t="s">
        <v>102</v>
      </c>
      <c r="F1" t="s">
        <v>114</v>
      </c>
      <c r="G1" t="s">
        <v>110</v>
      </c>
      <c r="H1" t="s">
        <v>234</v>
      </c>
      <c r="I1" s="68" t="s">
        <v>267</v>
      </c>
      <c r="J1" t="s">
        <v>246</v>
      </c>
      <c r="K1" s="68" t="s">
        <v>273</v>
      </c>
      <c r="L1" s="68" t="s">
        <v>278</v>
      </c>
      <c r="M1" s="68" t="s">
        <v>279</v>
      </c>
      <c r="N1" s="68" t="s">
        <v>362</v>
      </c>
      <c r="O1" s="1" t="s">
        <v>476</v>
      </c>
      <c r="P1" s="1" t="s">
        <v>477</v>
      </c>
      <c r="Q1" s="1" t="s">
        <v>478</v>
      </c>
      <c r="R1" s="1" t="s">
        <v>479</v>
      </c>
      <c r="S1" t="s">
        <v>480</v>
      </c>
      <c r="T1" s="1" t="s">
        <v>491</v>
      </c>
      <c r="U1" t="s">
        <v>521</v>
      </c>
      <c r="V1" t="s">
        <v>522</v>
      </c>
      <c r="W1" s="1" t="s">
        <v>556</v>
      </c>
    </row>
    <row r="2" spans="1:23" ht="12.75" customHeight="1" x14ac:dyDescent="0.2">
      <c r="A2" s="68" t="s">
        <v>849</v>
      </c>
      <c r="B2" s="51" t="s">
        <v>844</v>
      </c>
      <c r="C2" s="68" t="s">
        <v>845</v>
      </c>
      <c r="D2">
        <v>2</v>
      </c>
      <c r="E2">
        <v>0.3</v>
      </c>
      <c r="F2">
        <v>3</v>
      </c>
      <c r="G2">
        <v>180</v>
      </c>
      <c r="H2" s="68" t="s">
        <v>563</v>
      </c>
      <c r="I2" s="68">
        <v>0.33</v>
      </c>
      <c r="J2" s="68" t="s">
        <v>850</v>
      </c>
      <c r="K2" s="68" t="s">
        <v>851</v>
      </c>
      <c r="L2">
        <v>0.4</v>
      </c>
      <c r="M2" s="68" t="s">
        <v>453</v>
      </c>
      <c r="N2">
        <v>0</v>
      </c>
      <c r="O2">
        <v>1</v>
      </c>
      <c r="P2">
        <v>1</v>
      </c>
      <c r="Q2">
        <v>1</v>
      </c>
      <c r="R2">
        <v>1</v>
      </c>
      <c r="S2" t="s">
        <v>561</v>
      </c>
      <c r="T2" t="s">
        <v>562</v>
      </c>
      <c r="U2" t="s">
        <v>562</v>
      </c>
      <c r="W2" s="13" t="str">
        <f t="array" aca="1" ref="W2" ca="1">IFERROR(INDEX(HORIZONTE,MATCH((HOY-Tabla_ArchivosBodegas[[#This Row],[HORIZONTE]]*7),HORIZONTE*1,0)),INDEX(HORIZONTE,MATCH((HOY-Tabla_ArchivosBodegas[[#This Row],[HORIZONTE]]*7),HORIZONTE*1,1)))</f>
        <v>16/03/2017</v>
      </c>
    </row>
    <row r="3" spans="1:23" x14ac:dyDescent="0.2">
      <c r="A3" t="s">
        <v>849</v>
      </c>
      <c r="B3" t="s">
        <v>844</v>
      </c>
      <c r="C3" t="s">
        <v>845</v>
      </c>
      <c r="D3">
        <v>4</v>
      </c>
      <c r="E3">
        <v>3</v>
      </c>
      <c r="F3">
        <v>7</v>
      </c>
      <c r="G3">
        <v>180</v>
      </c>
      <c r="H3" t="s">
        <v>852</v>
      </c>
      <c r="I3">
        <v>0.33</v>
      </c>
      <c r="J3" t="s">
        <v>853</v>
      </c>
      <c r="K3" t="s">
        <v>851</v>
      </c>
      <c r="L3">
        <v>0.4</v>
      </c>
      <c r="M3" t="s">
        <v>453</v>
      </c>
      <c r="N3">
        <v>0</v>
      </c>
      <c r="O3">
        <v>1</v>
      </c>
      <c r="P3">
        <v>1</v>
      </c>
      <c r="Q3">
        <v>1</v>
      </c>
      <c r="R3">
        <v>1</v>
      </c>
      <c r="S3" t="s">
        <v>561</v>
      </c>
      <c r="T3" t="s">
        <v>562</v>
      </c>
      <c r="U3" t="s">
        <v>562</v>
      </c>
      <c r="W3" s="13" t="str">
        <f t="array" aca="1" ref="W3" ca="1">IFERROR(INDEX(HORIZONTE,MATCH((HOY-Tabla_ArchivosBodegas[[#This Row],[HORIZONTE]]*7),HORIZONTE*1,0)),INDEX(HORIZONTE,MATCH((HOY-Tabla_ArchivosBodegas[[#This Row],[HORIZONTE]]*7),HORIZONTE*1,1)))</f>
        <v>16/02/2017</v>
      </c>
    </row>
    <row r="4" spans="1:23" x14ac:dyDescent="0.2">
      <c r="A4" t="s">
        <v>849</v>
      </c>
      <c r="B4" t="s">
        <v>844</v>
      </c>
      <c r="C4" t="s">
        <v>845</v>
      </c>
      <c r="D4">
        <v>4</v>
      </c>
      <c r="E4">
        <v>7</v>
      </c>
      <c r="F4">
        <v>11</v>
      </c>
      <c r="G4">
        <v>180</v>
      </c>
      <c r="H4" t="s">
        <v>854</v>
      </c>
      <c r="I4">
        <v>0.33</v>
      </c>
      <c r="J4" t="s">
        <v>855</v>
      </c>
      <c r="K4" t="s">
        <v>851</v>
      </c>
      <c r="L4">
        <v>0.4</v>
      </c>
      <c r="M4" t="s">
        <v>453</v>
      </c>
      <c r="N4">
        <v>0</v>
      </c>
      <c r="O4">
        <v>1</v>
      </c>
      <c r="P4">
        <v>1</v>
      </c>
      <c r="Q4">
        <v>1</v>
      </c>
      <c r="R4">
        <v>1</v>
      </c>
      <c r="S4" t="s">
        <v>561</v>
      </c>
      <c r="T4" t="s">
        <v>562</v>
      </c>
      <c r="U4" t="s">
        <v>562</v>
      </c>
      <c r="W4" s="13" t="str">
        <f t="array" aca="1" ref="W4" ca="1">IFERROR(INDEX(HORIZONTE,MATCH((HOY-Tabla_ArchivosBodegas[[#This Row],[HORIZONTE]]*7),HORIZONTE*1,0)),INDEX(HORIZONTE,MATCH((HOY-Tabla_ArchivosBodegas[[#This Row],[HORIZONTE]]*7),HORIZONTE*1,1)))</f>
        <v>19/01/2017</v>
      </c>
    </row>
    <row r="5" spans="1:23" x14ac:dyDescent="0.2">
      <c r="A5" t="s">
        <v>849</v>
      </c>
      <c r="B5" t="s">
        <v>844</v>
      </c>
      <c r="C5" t="s">
        <v>845</v>
      </c>
      <c r="D5">
        <v>4</v>
      </c>
      <c r="E5">
        <v>5</v>
      </c>
      <c r="F5">
        <v>9</v>
      </c>
      <c r="G5">
        <v>180</v>
      </c>
      <c r="H5" t="s">
        <v>856</v>
      </c>
      <c r="I5">
        <v>0.33</v>
      </c>
      <c r="J5" t="s">
        <v>857</v>
      </c>
      <c r="K5" t="s">
        <v>851</v>
      </c>
      <c r="L5">
        <v>0.4</v>
      </c>
      <c r="M5" t="s">
        <v>453</v>
      </c>
      <c r="N5">
        <v>0</v>
      </c>
      <c r="O5">
        <v>1</v>
      </c>
      <c r="P5">
        <v>1</v>
      </c>
      <c r="Q5">
        <v>1</v>
      </c>
      <c r="R5">
        <v>1</v>
      </c>
      <c r="S5" t="s">
        <v>561</v>
      </c>
      <c r="T5" t="s">
        <v>562</v>
      </c>
      <c r="U5" t="s">
        <v>562</v>
      </c>
      <c r="W5" s="13" t="str">
        <f t="array" aca="1" ref="W5" ca="1">IFERROR(INDEX(HORIZONTE,MATCH((HOY-Tabla_ArchivosBodegas[[#This Row],[HORIZONTE]]*7),HORIZONTE*1,0)),INDEX(HORIZONTE,MATCH((HOY-Tabla_ArchivosBodegas[[#This Row],[HORIZONTE]]*7),HORIZONTE*1,1)))</f>
        <v>02/02/2017</v>
      </c>
    </row>
    <row r="6" spans="1:23" x14ac:dyDescent="0.2">
      <c r="A6" t="s">
        <v>849</v>
      </c>
      <c r="B6" t="s">
        <v>844</v>
      </c>
      <c r="C6" t="s">
        <v>845</v>
      </c>
      <c r="D6">
        <v>4</v>
      </c>
      <c r="E6">
        <v>3</v>
      </c>
      <c r="F6">
        <v>7</v>
      </c>
      <c r="G6">
        <v>180</v>
      </c>
      <c r="H6" t="s">
        <v>858</v>
      </c>
      <c r="I6">
        <v>0.33</v>
      </c>
      <c r="J6" t="s">
        <v>859</v>
      </c>
      <c r="K6" t="s">
        <v>851</v>
      </c>
      <c r="L6">
        <v>0.4</v>
      </c>
      <c r="M6" t="s">
        <v>453</v>
      </c>
      <c r="N6">
        <v>0</v>
      </c>
      <c r="O6">
        <v>1</v>
      </c>
      <c r="P6">
        <v>1</v>
      </c>
      <c r="Q6">
        <v>1</v>
      </c>
      <c r="R6">
        <v>1</v>
      </c>
      <c r="S6" t="s">
        <v>561</v>
      </c>
      <c r="T6" t="s">
        <v>562</v>
      </c>
      <c r="U6" t="s">
        <v>562</v>
      </c>
      <c r="W6" s="13" t="str">
        <f t="array" aca="1" ref="W6" ca="1">IFERROR(INDEX(HORIZONTE,MATCH((HOY-Tabla_ArchivosBodegas[[#This Row],[HORIZONTE]]*7),HORIZONTE*1,0)),INDEX(HORIZONTE,MATCH((HOY-Tabla_ArchivosBodegas[[#This Row],[HORIZONTE]]*7),HORIZONTE*1,1)))</f>
        <v>16/02/2017</v>
      </c>
    </row>
    <row r="7" spans="1:23" x14ac:dyDescent="0.2">
      <c r="A7" t="s">
        <v>849</v>
      </c>
      <c r="B7" t="s">
        <v>844</v>
      </c>
      <c r="C7" t="s">
        <v>845</v>
      </c>
      <c r="D7">
        <v>8</v>
      </c>
      <c r="E7">
        <v>8</v>
      </c>
      <c r="F7">
        <v>16</v>
      </c>
      <c r="G7">
        <v>180</v>
      </c>
      <c r="H7" t="s">
        <v>860</v>
      </c>
      <c r="I7">
        <v>0.33</v>
      </c>
      <c r="J7" t="s">
        <v>861</v>
      </c>
      <c r="K7" t="s">
        <v>851</v>
      </c>
      <c r="L7">
        <v>0.4</v>
      </c>
      <c r="M7" t="s">
        <v>453</v>
      </c>
      <c r="N7">
        <v>0</v>
      </c>
      <c r="O7">
        <v>1</v>
      </c>
      <c r="P7">
        <v>1</v>
      </c>
      <c r="Q7">
        <v>1</v>
      </c>
      <c r="R7">
        <v>1</v>
      </c>
      <c r="S7" t="s">
        <v>561</v>
      </c>
      <c r="T7" t="s">
        <v>562</v>
      </c>
      <c r="U7" t="s">
        <v>562</v>
      </c>
      <c r="W7" s="13" t="str">
        <f t="array" aca="1" ref="W7" ca="1">IFERROR(INDEX(HORIZONTE,MATCH((HOY-Tabla_ArchivosBodegas[[#This Row],[HORIZONTE]]*7),HORIZONTE*1,0)),INDEX(HORIZONTE,MATCH((HOY-Tabla_ArchivosBodegas[[#This Row],[HORIZONTE]]*7),HORIZONTE*1,1)))</f>
        <v>15/12/2016</v>
      </c>
    </row>
    <row r="8" spans="1:23" x14ac:dyDescent="0.2">
      <c r="A8" t="s">
        <v>849</v>
      </c>
      <c r="B8" t="s">
        <v>844</v>
      </c>
      <c r="C8" t="s">
        <v>845</v>
      </c>
      <c r="D8">
        <v>8</v>
      </c>
      <c r="E8">
        <v>5</v>
      </c>
      <c r="F8">
        <v>13</v>
      </c>
      <c r="G8">
        <v>180</v>
      </c>
      <c r="H8" t="s">
        <v>862</v>
      </c>
      <c r="I8">
        <v>0.33</v>
      </c>
      <c r="J8" t="s">
        <v>863</v>
      </c>
      <c r="K8" t="s">
        <v>851</v>
      </c>
      <c r="L8">
        <v>0.4</v>
      </c>
      <c r="M8" t="s">
        <v>453</v>
      </c>
      <c r="N8">
        <v>0</v>
      </c>
      <c r="O8">
        <v>1</v>
      </c>
      <c r="P8">
        <v>1</v>
      </c>
      <c r="Q8">
        <v>1</v>
      </c>
      <c r="R8">
        <v>1</v>
      </c>
      <c r="S8" t="s">
        <v>561</v>
      </c>
      <c r="T8" t="s">
        <v>562</v>
      </c>
      <c r="U8" t="s">
        <v>562</v>
      </c>
      <c r="W8" s="13" t="str">
        <f t="array" aca="1" ref="W8" ca="1">IFERROR(INDEX(HORIZONTE,MATCH((HOY-Tabla_ArchivosBodegas[[#This Row],[HORIZONTE]]*7),HORIZONTE*1,0)),INDEX(HORIZONTE,MATCH((HOY-Tabla_ArchivosBodegas[[#This Row],[HORIZONTE]]*7),HORIZONTE*1,1)))</f>
        <v>05/01/2017</v>
      </c>
    </row>
    <row r="9" spans="1:23" x14ac:dyDescent="0.2">
      <c r="A9" t="s">
        <v>849</v>
      </c>
      <c r="B9" t="s">
        <v>844</v>
      </c>
      <c r="C9" t="s">
        <v>845</v>
      </c>
      <c r="D9">
        <v>6</v>
      </c>
      <c r="E9">
        <v>3</v>
      </c>
      <c r="F9">
        <v>9</v>
      </c>
      <c r="G9">
        <v>180</v>
      </c>
      <c r="H9" t="s">
        <v>864</v>
      </c>
      <c r="I9">
        <v>0.33</v>
      </c>
      <c r="J9" t="s">
        <v>865</v>
      </c>
      <c r="K9" t="s">
        <v>851</v>
      </c>
      <c r="L9">
        <v>0.4</v>
      </c>
      <c r="M9" t="s">
        <v>453</v>
      </c>
      <c r="N9">
        <v>0</v>
      </c>
      <c r="O9">
        <v>1</v>
      </c>
      <c r="P9">
        <v>1</v>
      </c>
      <c r="Q9">
        <v>1</v>
      </c>
      <c r="R9">
        <v>1</v>
      </c>
      <c r="S9" t="s">
        <v>561</v>
      </c>
      <c r="T9" t="s">
        <v>562</v>
      </c>
      <c r="U9" t="s">
        <v>562</v>
      </c>
      <c r="W9" s="13" t="str">
        <f t="array" aca="1" ref="W9" ca="1">IFERROR(INDEX(HORIZONTE,MATCH((HOY-Tabla_ArchivosBodegas[[#This Row],[HORIZONTE]]*7),HORIZONTE*1,0)),INDEX(HORIZONTE,MATCH((HOY-Tabla_ArchivosBodegas[[#This Row],[HORIZONTE]]*7),HORIZONTE*1,1)))</f>
        <v>02/02/2017</v>
      </c>
    </row>
    <row r="10" spans="1:23" x14ac:dyDescent="0.2">
      <c r="A10" t="s">
        <v>849</v>
      </c>
      <c r="B10" t="s">
        <v>844</v>
      </c>
      <c r="C10" t="s">
        <v>845</v>
      </c>
      <c r="D10">
        <v>6</v>
      </c>
      <c r="E10">
        <v>5</v>
      </c>
      <c r="F10">
        <v>11</v>
      </c>
      <c r="G10">
        <v>180</v>
      </c>
      <c r="H10" t="s">
        <v>866</v>
      </c>
      <c r="I10">
        <v>0.33</v>
      </c>
      <c r="J10" t="s">
        <v>867</v>
      </c>
      <c r="K10" t="s">
        <v>851</v>
      </c>
      <c r="L10">
        <v>0.4</v>
      </c>
      <c r="M10" t="s">
        <v>453</v>
      </c>
      <c r="N10">
        <v>0</v>
      </c>
      <c r="O10">
        <v>1</v>
      </c>
      <c r="P10">
        <v>1</v>
      </c>
      <c r="Q10">
        <v>1</v>
      </c>
      <c r="R10">
        <v>1</v>
      </c>
      <c r="S10" t="s">
        <v>561</v>
      </c>
      <c r="T10" t="s">
        <v>562</v>
      </c>
      <c r="U10" t="s">
        <v>562</v>
      </c>
      <c r="W10" s="13" t="str">
        <f t="array" aca="1" ref="W10" ca="1">IFERROR(INDEX(HORIZONTE,MATCH((HOY-Tabla_ArchivosBodegas[[#This Row],[HORIZONTE]]*7),HORIZONTE*1,0)),INDEX(HORIZONTE,MATCH((HOY-Tabla_ArchivosBodegas[[#This Row],[HORIZONTE]]*7),HORIZONTE*1,1)))</f>
        <v>19/01/2017</v>
      </c>
    </row>
    <row r="11" spans="1:23" x14ac:dyDescent="0.2">
      <c r="A11" t="s">
        <v>849</v>
      </c>
      <c r="B11" t="s">
        <v>844</v>
      </c>
      <c r="C11" t="s">
        <v>845</v>
      </c>
      <c r="D11">
        <v>6</v>
      </c>
      <c r="E11">
        <v>3</v>
      </c>
      <c r="F11">
        <v>9</v>
      </c>
      <c r="G11">
        <v>180</v>
      </c>
      <c r="H11" t="s">
        <v>868</v>
      </c>
      <c r="I11">
        <v>0.33</v>
      </c>
      <c r="J11" t="s">
        <v>869</v>
      </c>
      <c r="K11" t="s">
        <v>851</v>
      </c>
      <c r="L11">
        <v>0.4</v>
      </c>
      <c r="M11" t="s">
        <v>453</v>
      </c>
      <c r="N11">
        <v>0</v>
      </c>
      <c r="O11">
        <v>1</v>
      </c>
      <c r="P11">
        <v>1</v>
      </c>
      <c r="Q11">
        <v>1</v>
      </c>
      <c r="R11">
        <v>1</v>
      </c>
      <c r="S11" t="s">
        <v>561</v>
      </c>
      <c r="T11" t="s">
        <v>562</v>
      </c>
      <c r="U11" t="s">
        <v>562</v>
      </c>
      <c r="W11" s="13" t="str">
        <f t="array" aca="1" ref="W11" ca="1">IFERROR(INDEX(HORIZONTE,MATCH((HOY-Tabla_ArchivosBodegas[[#This Row],[HORIZONTE]]*7),HORIZONTE*1,0)),INDEX(HORIZONTE,MATCH((HOY-Tabla_ArchivosBodegas[[#This Row],[HORIZONTE]]*7),HORIZONTE*1,1)))</f>
        <v>02/02/2017</v>
      </c>
    </row>
    <row r="12" spans="1:23" x14ac:dyDescent="0.2">
      <c r="A12" t="s">
        <v>849</v>
      </c>
      <c r="B12" t="s">
        <v>844</v>
      </c>
      <c r="C12" t="s">
        <v>845</v>
      </c>
      <c r="D12">
        <v>6</v>
      </c>
      <c r="E12">
        <v>5</v>
      </c>
      <c r="F12">
        <v>11</v>
      </c>
      <c r="G12">
        <v>180</v>
      </c>
      <c r="H12" t="s">
        <v>870</v>
      </c>
      <c r="I12">
        <v>0.33</v>
      </c>
      <c r="J12" t="s">
        <v>871</v>
      </c>
      <c r="K12" t="s">
        <v>851</v>
      </c>
      <c r="L12">
        <v>0.4</v>
      </c>
      <c r="M12" t="s">
        <v>453</v>
      </c>
      <c r="N12">
        <v>0</v>
      </c>
      <c r="O12">
        <v>1</v>
      </c>
      <c r="P12">
        <v>1</v>
      </c>
      <c r="Q12">
        <v>1</v>
      </c>
      <c r="R12">
        <v>1</v>
      </c>
      <c r="S12" t="s">
        <v>561</v>
      </c>
      <c r="T12" t="s">
        <v>562</v>
      </c>
      <c r="U12" t="s">
        <v>562</v>
      </c>
      <c r="W12" s="13" t="str">
        <f t="array" aca="1" ref="W12" ca="1">IFERROR(INDEX(HORIZONTE,MATCH((HOY-Tabla_ArchivosBodegas[[#This Row],[HORIZONTE]]*7),HORIZONTE*1,0)),INDEX(HORIZONTE,MATCH((HOY-Tabla_ArchivosBodegas[[#This Row],[HORIZONTE]]*7),HORIZONTE*1,1)))</f>
        <v>19/01/2017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rgb="FF004600"/>
  </sheetPr>
  <dimension ref="A1:G11"/>
  <sheetViews>
    <sheetView showGridLines="0" workbookViewId="0">
      <selection activeCell="A2" sqref="A2:G11"/>
    </sheetView>
  </sheetViews>
  <sheetFormatPr baseColWidth="10" defaultColWidth="11.42578125" defaultRowHeight="12.75" x14ac:dyDescent="0.2"/>
  <cols>
    <col min="1" max="1" width="36.85546875" bestFit="1" customWidth="1"/>
    <col min="2" max="2" width="29.42578125" bestFit="1" customWidth="1"/>
    <col min="3" max="3" width="11.7109375" bestFit="1" customWidth="1"/>
    <col min="4" max="4" width="40.140625" bestFit="1" customWidth="1"/>
    <col min="7" max="7" width="34.7109375" bestFit="1" customWidth="1"/>
  </cols>
  <sheetData>
    <row r="1" spans="1:7" x14ac:dyDescent="0.2">
      <c r="A1" t="s">
        <v>32</v>
      </c>
      <c r="B1" t="s">
        <v>48</v>
      </c>
      <c r="C1" t="s">
        <v>209</v>
      </c>
      <c r="D1" s="1" t="s">
        <v>231</v>
      </c>
      <c r="E1" s="1" t="s">
        <v>273</v>
      </c>
      <c r="F1" s="68" t="s">
        <v>361</v>
      </c>
      <c r="G1" s="1" t="s">
        <v>559</v>
      </c>
    </row>
    <row r="2" spans="1:7" x14ac:dyDescent="0.2">
      <c r="A2" s="68" t="s">
        <v>849</v>
      </c>
      <c r="B2" s="68" t="s">
        <v>872</v>
      </c>
      <c r="C2">
        <v>1</v>
      </c>
      <c r="D2" s="13" t="s">
        <v>873</v>
      </c>
      <c r="E2" s="68" t="s">
        <v>851</v>
      </c>
      <c r="F2" s="1" t="s">
        <v>874</v>
      </c>
      <c r="G2" s="13" t="str">
        <f>Tabla_Proveedores[[#This Row],[BodegaProveedor]]&amp;Tabla_Proveedores[[#This Row],[Prioridad]]</f>
        <v>Bodega ECUREDAX1</v>
      </c>
    </row>
    <row r="3" spans="1:7" x14ac:dyDescent="0.2">
      <c r="A3" t="s">
        <v>849</v>
      </c>
      <c r="B3" t="s">
        <v>875</v>
      </c>
      <c r="C3">
        <v>2</v>
      </c>
      <c r="D3" s="13" t="s">
        <v>876</v>
      </c>
      <c r="E3" t="s">
        <v>851</v>
      </c>
      <c r="F3" t="s">
        <v>877</v>
      </c>
      <c r="G3" s="13" t="str">
        <f>Tabla_Proveedores[[#This Row],[BodegaProveedor]]&amp;Tabla_Proveedores[[#This Row],[Prioridad]]</f>
        <v>Bodega ECUKIMBERLY CLARK PROFESSIONAL2</v>
      </c>
    </row>
    <row r="4" spans="1:7" x14ac:dyDescent="0.2">
      <c r="A4" t="s">
        <v>849</v>
      </c>
      <c r="B4" t="s">
        <v>878</v>
      </c>
      <c r="C4">
        <v>3</v>
      </c>
      <c r="D4" s="13" t="s">
        <v>879</v>
      </c>
      <c r="E4" t="s">
        <v>851</v>
      </c>
      <c r="F4" t="s">
        <v>880</v>
      </c>
      <c r="G4" s="13" t="str">
        <f>Tabla_Proveedores[[#This Row],[BodegaProveedor]]&amp;Tabla_Proveedores[[#This Row],[Prioridad]]</f>
        <v>Bodega ECUMETREX3</v>
      </c>
    </row>
    <row r="5" spans="1:7" x14ac:dyDescent="0.2">
      <c r="A5" t="s">
        <v>849</v>
      </c>
      <c r="B5" t="s">
        <v>881</v>
      </c>
      <c r="C5">
        <v>4</v>
      </c>
      <c r="D5" s="13" t="s">
        <v>882</v>
      </c>
      <c r="E5" t="s">
        <v>851</v>
      </c>
      <c r="F5" t="s">
        <v>883</v>
      </c>
      <c r="G5" s="13" t="str">
        <f>Tabla_Proveedores[[#This Row],[BodegaProveedor]]&amp;Tabla_Proveedores[[#This Row],[Prioridad]]</f>
        <v>Bodega ECUHALYARD4</v>
      </c>
    </row>
    <row r="6" spans="1:7" x14ac:dyDescent="0.2">
      <c r="A6" t="s">
        <v>849</v>
      </c>
      <c r="B6" t="s">
        <v>884</v>
      </c>
      <c r="C6">
        <v>5</v>
      </c>
      <c r="D6" s="13" t="s">
        <v>885</v>
      </c>
      <c r="E6" t="s">
        <v>851</v>
      </c>
      <c r="F6" t="s">
        <v>886</v>
      </c>
      <c r="G6" s="13" t="str">
        <f>Tabla_Proveedores[[#This Row],[BodegaProveedor]]&amp;Tabla_Proveedores[[#This Row],[Prioridad]]</f>
        <v>Bodega ECUJERILEX5</v>
      </c>
    </row>
    <row r="7" spans="1:7" x14ac:dyDescent="0.2">
      <c r="A7" t="s">
        <v>849</v>
      </c>
      <c r="B7" t="s">
        <v>887</v>
      </c>
      <c r="C7">
        <v>6</v>
      </c>
      <c r="D7" s="13" t="s">
        <v>888</v>
      </c>
      <c r="E7" t="s">
        <v>851</v>
      </c>
      <c r="F7" t="s">
        <v>889</v>
      </c>
      <c r="G7" s="13" t="str">
        <f>Tabla_Proveedores[[#This Row],[BodegaProveedor]]&amp;Tabla_Proveedores[[#This Row],[Prioridad]]</f>
        <v>Bodega ECUPRODIMEDA6</v>
      </c>
    </row>
    <row r="8" spans="1:7" x14ac:dyDescent="0.2">
      <c r="A8" t="s">
        <v>849</v>
      </c>
      <c r="B8" t="s">
        <v>890</v>
      </c>
      <c r="C8">
        <v>7</v>
      </c>
      <c r="D8" s="13" t="s">
        <v>891</v>
      </c>
      <c r="E8" t="s">
        <v>851</v>
      </c>
      <c r="F8" t="s">
        <v>892</v>
      </c>
      <c r="G8" s="13" t="str">
        <f>Tabla_Proveedores[[#This Row],[BodegaProveedor]]&amp;Tabla_Proveedores[[#This Row],[Prioridad]]</f>
        <v>Bodega ECUVIRUMEC7</v>
      </c>
    </row>
    <row r="9" spans="1:7" x14ac:dyDescent="0.2">
      <c r="A9" t="s">
        <v>849</v>
      </c>
      <c r="B9" t="s">
        <v>893</v>
      </c>
      <c r="C9">
        <v>8</v>
      </c>
      <c r="D9" s="13" t="s">
        <v>894</v>
      </c>
      <c r="E9" t="s">
        <v>851</v>
      </c>
      <c r="F9" t="s">
        <v>895</v>
      </c>
      <c r="G9" s="13" t="str">
        <f>Tabla_Proveedores[[#This Row],[BodegaProveedor]]&amp;Tabla_Proveedores[[#This Row],[Prioridad]]</f>
        <v>Bodega ECUSAGE8</v>
      </c>
    </row>
    <row r="10" spans="1:7" x14ac:dyDescent="0.2">
      <c r="A10" t="s">
        <v>849</v>
      </c>
      <c r="B10" t="s">
        <v>896</v>
      </c>
      <c r="C10">
        <v>9</v>
      </c>
      <c r="D10" s="13" t="s">
        <v>897</v>
      </c>
      <c r="E10" t="s">
        <v>851</v>
      </c>
      <c r="F10" t="s">
        <v>898</v>
      </c>
      <c r="G10" s="13" t="str">
        <f>Tabla_Proveedores[[#This Row],[BodegaProveedor]]&amp;Tabla_Proveedores[[#This Row],[Prioridad]]</f>
        <v>Bodega ECUSTERICLIN9</v>
      </c>
    </row>
    <row r="11" spans="1:7" x14ac:dyDescent="0.2">
      <c r="A11" t="s">
        <v>849</v>
      </c>
      <c r="B11" t="s">
        <v>899</v>
      </c>
      <c r="C11">
        <v>10</v>
      </c>
      <c r="D11" s="13" t="s">
        <v>900</v>
      </c>
      <c r="E11" t="s">
        <v>851</v>
      </c>
      <c r="F11" t="s">
        <v>901</v>
      </c>
      <c r="G11" s="13" t="str">
        <f>Tabla_Proveedores[[#This Row],[BodegaProveedor]]&amp;Tabla_Proveedores[[#This Row],[Prioridad]]</f>
        <v>Bodega ECUSTERYLAB10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>
    <tabColor rgb="FF004600"/>
  </sheetPr>
  <dimension ref="A1"/>
  <sheetViews>
    <sheetView workbookViewId="0"/>
  </sheetViews>
  <sheetFormatPr baseColWidth="10" defaultColWidth="11.42578125" defaultRowHeight="12.75" x14ac:dyDescent="0.2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5" tint="-0.249977111117893"/>
  </sheetPr>
  <dimension ref="A1:F2"/>
  <sheetViews>
    <sheetView showGridLines="0" workbookViewId="0">
      <selection activeCell="A2" sqref="A2:C2"/>
    </sheetView>
  </sheetViews>
  <sheetFormatPr baseColWidth="10" defaultColWidth="11.42578125" defaultRowHeight="12.75" x14ac:dyDescent="0.2"/>
  <cols>
    <col min="1" max="1" width="23.5703125" bestFit="1" customWidth="1"/>
    <col min="3" max="3" width="17" customWidth="1"/>
    <col min="7" max="7" width="12.7109375" bestFit="1" customWidth="1"/>
  </cols>
  <sheetData>
    <row r="1" spans="1:6" x14ac:dyDescent="0.2">
      <c r="A1" s="1" t="s">
        <v>273</v>
      </c>
      <c r="B1" s="1" t="s">
        <v>63</v>
      </c>
      <c r="C1" s="68" t="s">
        <v>361</v>
      </c>
    </row>
    <row r="2" spans="1:6" x14ac:dyDescent="0.2">
      <c r="A2" s="68" t="s">
        <v>851</v>
      </c>
      <c r="B2" s="68" t="s">
        <v>849</v>
      </c>
      <c r="C2" s="13" t="str">
        <f>IFERROR(INDEX(Tabla_Proveedores[COD_PROVEEDOR],MATCH(Tabla_Bodegas_Permitidas[[#This Row],[COD_BODEGA]],Tabla_Proveedores[COD_BODEGA],0)),0)</f>
        <v>P00329</v>
      </c>
      <c r="F2">
        <f>IF(ROWS(Tabla_Proveedores[COD_BODEGA])=1,1,0)</f>
        <v>0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5" tint="-0.249977111117893"/>
  </sheetPr>
  <dimension ref="A1:A11"/>
  <sheetViews>
    <sheetView showGridLines="0" workbookViewId="0">
      <selection activeCell="A2" sqref="A2"/>
    </sheetView>
  </sheetViews>
  <sheetFormatPr baseColWidth="10" defaultColWidth="11.42578125" defaultRowHeight="12.75" x14ac:dyDescent="0.2"/>
  <cols>
    <col min="1" max="1" width="23.5703125" bestFit="1" customWidth="1"/>
  </cols>
  <sheetData>
    <row r="1" spans="1:1" x14ac:dyDescent="0.2">
      <c r="A1" s="1" t="s">
        <v>49</v>
      </c>
    </row>
    <row r="2" spans="1:1" x14ac:dyDescent="0.2">
      <c r="A2" s="68" t="s">
        <v>881</v>
      </c>
    </row>
    <row r="3" spans="1:1" x14ac:dyDescent="0.2">
      <c r="A3" t="s">
        <v>884</v>
      </c>
    </row>
    <row r="4" spans="1:1" x14ac:dyDescent="0.2">
      <c r="A4" t="s">
        <v>875</v>
      </c>
    </row>
    <row r="5" spans="1:1" x14ac:dyDescent="0.2">
      <c r="A5" t="s">
        <v>878</v>
      </c>
    </row>
    <row r="6" spans="1:1" x14ac:dyDescent="0.2">
      <c r="A6" t="s">
        <v>887</v>
      </c>
    </row>
    <row r="7" spans="1:1" x14ac:dyDescent="0.2">
      <c r="A7" t="s">
        <v>872</v>
      </c>
    </row>
    <row r="8" spans="1:1" x14ac:dyDescent="0.2">
      <c r="A8" t="s">
        <v>893</v>
      </c>
    </row>
    <row r="9" spans="1:1" x14ac:dyDescent="0.2">
      <c r="A9" t="s">
        <v>896</v>
      </c>
    </row>
    <row r="10" spans="1:1" x14ac:dyDescent="0.2">
      <c r="A10" t="s">
        <v>899</v>
      </c>
    </row>
    <row r="11" spans="1:1" x14ac:dyDescent="0.2">
      <c r="A11" t="s">
        <v>890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>
    <tabColor theme="5" tint="-0.249977111117893"/>
  </sheetPr>
  <dimension ref="A1:A12"/>
  <sheetViews>
    <sheetView showGridLines="0" workbookViewId="0">
      <selection activeCell="A2" sqref="A2"/>
    </sheetView>
  </sheetViews>
  <sheetFormatPr baseColWidth="10" defaultColWidth="11.42578125" defaultRowHeight="12.75" x14ac:dyDescent="0.2"/>
  <cols>
    <col min="1" max="1" width="35" customWidth="1"/>
  </cols>
  <sheetData>
    <row r="1" spans="1:1" x14ac:dyDescent="0.2">
      <c r="A1" t="s">
        <v>235</v>
      </c>
    </row>
    <row r="2" spans="1:1" x14ac:dyDescent="0.2">
      <c r="A2" s="68" t="s">
        <v>563</v>
      </c>
    </row>
    <row r="3" spans="1:1" x14ac:dyDescent="0.2">
      <c r="A3" t="s">
        <v>858</v>
      </c>
    </row>
    <row r="4" spans="1:1" x14ac:dyDescent="0.2">
      <c r="A4" t="s">
        <v>856</v>
      </c>
    </row>
    <row r="5" spans="1:1" x14ac:dyDescent="0.2">
      <c r="A5" t="s">
        <v>864</v>
      </c>
    </row>
    <row r="6" spans="1:1" x14ac:dyDescent="0.2">
      <c r="A6" t="s">
        <v>866</v>
      </c>
    </row>
    <row r="7" spans="1:1" x14ac:dyDescent="0.2">
      <c r="A7" t="s">
        <v>852</v>
      </c>
    </row>
    <row r="8" spans="1:1" x14ac:dyDescent="0.2">
      <c r="A8" t="s">
        <v>854</v>
      </c>
    </row>
    <row r="9" spans="1:1" x14ac:dyDescent="0.2">
      <c r="A9" t="s">
        <v>868</v>
      </c>
    </row>
    <row r="10" spans="1:1" x14ac:dyDescent="0.2">
      <c r="A10" t="s">
        <v>870</v>
      </c>
    </row>
    <row r="11" spans="1:1" x14ac:dyDescent="0.2">
      <c r="A11" t="s">
        <v>862</v>
      </c>
    </row>
    <row r="12" spans="1:1" x14ac:dyDescent="0.2">
      <c r="A12" t="s">
        <v>860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9900"/>
  </sheetPr>
  <dimension ref="A1:BN38"/>
  <sheetViews>
    <sheetView showGridLines="0" workbookViewId="0">
      <selection activeCell="A2" sqref="A2:BD279"/>
    </sheetView>
  </sheetViews>
  <sheetFormatPr baseColWidth="10" defaultColWidth="11.42578125" defaultRowHeight="12.75" x14ac:dyDescent="0.2"/>
  <cols>
    <col min="1" max="57" width="11.42578125" style="68"/>
    <col min="58" max="58" width="16.42578125" customWidth="1"/>
    <col min="59" max="59" width="81.140625" customWidth="1"/>
    <col min="60" max="60" width="26.140625" customWidth="1"/>
    <col min="61" max="61" width="25" customWidth="1"/>
    <col min="62" max="62" width="10.28515625" style="68" customWidth="1"/>
    <col min="63" max="63" width="8" style="68" customWidth="1"/>
    <col min="64" max="64" width="8.42578125" style="68" customWidth="1"/>
    <col min="65" max="65" width="12.42578125" style="68" customWidth="1"/>
    <col min="66" max="66" width="10.28515625" style="68" customWidth="1"/>
    <col min="67" max="67" width="21.42578125" bestFit="1" customWidth="1"/>
    <col min="68" max="68" width="81.140625" bestFit="1" customWidth="1"/>
    <col min="69" max="69" width="63.140625" bestFit="1" customWidth="1"/>
    <col min="70" max="70" width="16.140625" bestFit="1" customWidth="1"/>
    <col min="71" max="71" width="16.7109375" bestFit="1" customWidth="1"/>
    <col min="72" max="72" width="14.7109375" bestFit="1" customWidth="1"/>
    <col min="73" max="73" width="26" customWidth="1"/>
    <col min="74" max="74" width="10.140625" customWidth="1"/>
    <col min="75" max="75" width="7.140625" customWidth="1"/>
  </cols>
  <sheetData>
    <row r="1" spans="1:66" x14ac:dyDescent="0.2">
      <c r="A1" s="68" t="s">
        <v>292</v>
      </c>
      <c r="B1" s="68" t="s">
        <v>293</v>
      </c>
      <c r="C1" s="68" t="s">
        <v>294</v>
      </c>
      <c r="D1" s="68" t="s">
        <v>295</v>
      </c>
      <c r="E1" s="68" t="s">
        <v>296</v>
      </c>
      <c r="F1" s="68" t="s">
        <v>297</v>
      </c>
      <c r="G1" s="68" t="s">
        <v>298</v>
      </c>
      <c r="H1" s="68" t="s">
        <v>299</v>
      </c>
      <c r="I1" s="68" t="s">
        <v>300</v>
      </c>
      <c r="J1" s="68" t="s">
        <v>301</v>
      </c>
      <c r="K1" s="68" t="s">
        <v>302</v>
      </c>
      <c r="L1" s="68" t="s">
        <v>303</v>
      </c>
      <c r="M1" s="68" t="s">
        <v>304</v>
      </c>
      <c r="N1" s="68" t="s">
        <v>305</v>
      </c>
      <c r="O1" s="68" t="s">
        <v>490</v>
      </c>
      <c r="P1" s="68" t="s">
        <v>306</v>
      </c>
      <c r="Q1" s="68" t="s">
        <v>307</v>
      </c>
      <c r="R1" s="68" t="s">
        <v>308</v>
      </c>
      <c r="S1" s="68" t="s">
        <v>309</v>
      </c>
      <c r="T1" s="68" t="s">
        <v>310</v>
      </c>
      <c r="U1" s="68" t="s">
        <v>311</v>
      </c>
      <c r="V1" s="68" t="s">
        <v>312</v>
      </c>
      <c r="W1" s="68" t="s">
        <v>313</v>
      </c>
      <c r="X1" s="68" t="s">
        <v>314</v>
      </c>
      <c r="Y1" s="68" t="s">
        <v>315</v>
      </c>
      <c r="Z1" s="68" t="s">
        <v>316</v>
      </c>
      <c r="AA1" s="68" t="s">
        <v>317</v>
      </c>
      <c r="AB1" s="68" t="s">
        <v>318</v>
      </c>
      <c r="AC1" s="68" t="s">
        <v>319</v>
      </c>
      <c r="AD1" s="68" t="s">
        <v>320</v>
      </c>
      <c r="AE1" s="68" t="s">
        <v>321</v>
      </c>
      <c r="AF1" s="68" t="s">
        <v>322</v>
      </c>
      <c r="AG1" s="68" t="s">
        <v>323</v>
      </c>
      <c r="AH1" s="68" t="s">
        <v>324</v>
      </c>
      <c r="AI1" s="68" t="s">
        <v>325</v>
      </c>
      <c r="AJ1" s="68" t="s">
        <v>326</v>
      </c>
      <c r="AK1" s="68" t="s">
        <v>327</v>
      </c>
      <c r="AL1" s="68" t="s">
        <v>328</v>
      </c>
      <c r="AM1" s="68" t="s">
        <v>329</v>
      </c>
      <c r="AN1" s="68" t="s">
        <v>330</v>
      </c>
      <c r="AO1" s="68" t="s">
        <v>331</v>
      </c>
      <c r="AP1" s="68" t="s">
        <v>332</v>
      </c>
      <c r="AQ1" s="68" t="s">
        <v>333</v>
      </c>
      <c r="AR1" s="68" t="s">
        <v>334</v>
      </c>
      <c r="AS1" s="68" t="s">
        <v>335</v>
      </c>
      <c r="AT1" s="68" t="s">
        <v>336</v>
      </c>
      <c r="AU1" s="68" t="s">
        <v>337</v>
      </c>
      <c r="AV1" s="68" t="s">
        <v>338</v>
      </c>
      <c r="AW1" s="68" t="s">
        <v>409</v>
      </c>
      <c r="AX1" s="1" t="s">
        <v>498</v>
      </c>
      <c r="AY1" s="1" t="s">
        <v>499</v>
      </c>
      <c r="AZ1" s="1" t="s">
        <v>500</v>
      </c>
      <c r="BA1" s="1" t="s">
        <v>501</v>
      </c>
      <c r="BB1" s="1" t="s">
        <v>502</v>
      </c>
      <c r="BC1" s="68" t="s">
        <v>339</v>
      </c>
      <c r="BD1" s="68" t="s">
        <v>340</v>
      </c>
      <c r="BE1"/>
      <c r="BJ1"/>
      <c r="BK1"/>
      <c r="BL1"/>
      <c r="BM1"/>
      <c r="BN1"/>
    </row>
    <row r="2" spans="1:66" x14ac:dyDescent="0.2">
      <c r="AU2" s="135"/>
      <c r="BA2" s="90"/>
      <c r="BB2" s="90"/>
      <c r="BC2" s="90"/>
      <c r="BE2"/>
      <c r="BJ2"/>
      <c r="BK2"/>
      <c r="BL2"/>
      <c r="BM2"/>
      <c r="BN2"/>
    </row>
    <row r="18" spans="60:60" x14ac:dyDescent="0.2">
      <c r="BH18" s="1"/>
    </row>
    <row r="38" spans="60:60" x14ac:dyDescent="0.2">
      <c r="BH38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>
    <tabColor rgb="FF009900"/>
  </sheetPr>
  <dimension ref="A1:U2034"/>
  <sheetViews>
    <sheetView zoomScaleNormal="100" workbookViewId="0"/>
  </sheetViews>
  <sheetFormatPr baseColWidth="10" defaultColWidth="11.42578125" defaultRowHeight="12.75" x14ac:dyDescent="0.2"/>
  <cols>
    <col min="2" max="2" width="23" customWidth="1"/>
  </cols>
  <sheetData>
    <row r="1" spans="1:21" x14ac:dyDescent="0.2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</row>
    <row r="2" spans="1:21" x14ac:dyDescent="0.2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</row>
    <row r="3" spans="1:21" x14ac:dyDescent="0.2">
      <c r="A3" s="68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</row>
    <row r="4" spans="1:21" x14ac:dyDescent="0.2">
      <c r="A4" s="68"/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</row>
    <row r="5" spans="1:21" x14ac:dyDescent="0.2">
      <c r="A5" s="68"/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</row>
    <row r="6" spans="1:21" x14ac:dyDescent="0.2">
      <c r="A6" s="68"/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</row>
    <row r="7" spans="1:21" x14ac:dyDescent="0.2">
      <c r="A7" s="68"/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</row>
    <row r="8" spans="1:21" x14ac:dyDescent="0.2">
      <c r="A8" s="68"/>
      <c r="B8" s="68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</row>
    <row r="9" spans="1:21" x14ac:dyDescent="0.2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</row>
    <row r="10" spans="1:21" x14ac:dyDescent="0.2">
      <c r="A10" s="68"/>
      <c r="B10" s="68"/>
      <c r="C10" s="68"/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</row>
    <row r="11" spans="1:21" x14ac:dyDescent="0.2">
      <c r="A11" s="68"/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</row>
    <row r="12" spans="1:21" x14ac:dyDescent="0.2">
      <c r="A12" s="68"/>
      <c r="B12" s="6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</row>
    <row r="13" spans="1:21" x14ac:dyDescent="0.2">
      <c r="A13" s="68"/>
      <c r="B13" s="68"/>
      <c r="C13" s="68"/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</row>
    <row r="14" spans="1:21" x14ac:dyDescent="0.2">
      <c r="A14" s="68"/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</row>
    <row r="15" spans="1:21" x14ac:dyDescent="0.2">
      <c r="A15" s="68"/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</row>
    <row r="16" spans="1:21" x14ac:dyDescent="0.2">
      <c r="A16" s="68"/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</row>
    <row r="17" spans="1:18" x14ac:dyDescent="0.2">
      <c r="A17" s="68"/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</row>
    <row r="18" spans="1:18" x14ac:dyDescent="0.2">
      <c r="A18" s="68"/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</row>
    <row r="19" spans="1:18" x14ac:dyDescent="0.2">
      <c r="A19" s="68"/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</row>
    <row r="20" spans="1:18" x14ac:dyDescent="0.2">
      <c r="A20" s="68"/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</row>
    <row r="21" spans="1:18" x14ac:dyDescent="0.2">
      <c r="A21" s="68"/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</row>
    <row r="22" spans="1:18" x14ac:dyDescent="0.2">
      <c r="A22" s="68"/>
      <c r="B22" s="68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</row>
    <row r="23" spans="1:18" x14ac:dyDescent="0.2">
      <c r="A23" s="68"/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</row>
    <row r="24" spans="1:18" x14ac:dyDescent="0.2">
      <c r="A24" s="68"/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</row>
    <row r="25" spans="1:18" x14ac:dyDescent="0.2">
      <c r="A25" s="68"/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</row>
    <row r="26" spans="1:18" x14ac:dyDescent="0.2">
      <c r="A26" s="68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</row>
    <row r="27" spans="1:18" x14ac:dyDescent="0.2">
      <c r="A27" s="68"/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</row>
    <row r="28" spans="1:18" x14ac:dyDescent="0.2">
      <c r="A28" s="68"/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</row>
    <row r="29" spans="1:18" x14ac:dyDescent="0.2">
      <c r="A29" s="68"/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</row>
    <row r="30" spans="1:18" x14ac:dyDescent="0.2">
      <c r="A30" s="68"/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</row>
    <row r="31" spans="1:18" x14ac:dyDescent="0.2">
      <c r="A31" s="68"/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8"/>
      <c r="Q31" s="68"/>
      <c r="R31" s="68"/>
    </row>
    <row r="32" spans="1:18" x14ac:dyDescent="0.2">
      <c r="A32" s="68"/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</row>
    <row r="33" spans="1:18" x14ac:dyDescent="0.2">
      <c r="A33" s="68"/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68"/>
    </row>
    <row r="34" spans="1:18" x14ac:dyDescent="0.2">
      <c r="A34" s="68"/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</row>
    <row r="35" spans="1:18" x14ac:dyDescent="0.2">
      <c r="A35" s="68"/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</row>
    <row r="36" spans="1:18" x14ac:dyDescent="0.2">
      <c r="A36" s="68"/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</row>
    <row r="37" spans="1:18" x14ac:dyDescent="0.2">
      <c r="A37" s="68"/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</row>
    <row r="38" spans="1:18" x14ac:dyDescent="0.2">
      <c r="A38" s="68"/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68"/>
      <c r="R38" s="68"/>
    </row>
    <row r="39" spans="1:18" x14ac:dyDescent="0.2">
      <c r="A39" s="68"/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</row>
    <row r="40" spans="1:18" x14ac:dyDescent="0.2">
      <c r="A40" s="68"/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</row>
    <row r="41" spans="1:18" x14ac:dyDescent="0.2">
      <c r="A41" s="68"/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</row>
    <row r="42" spans="1:18" x14ac:dyDescent="0.2">
      <c r="A42" s="68"/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68"/>
      <c r="R42" s="68"/>
    </row>
    <row r="43" spans="1:18" x14ac:dyDescent="0.2">
      <c r="A43" s="68"/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68"/>
      <c r="R43" s="68"/>
    </row>
    <row r="44" spans="1:18" x14ac:dyDescent="0.2">
      <c r="A44" s="68"/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68"/>
      <c r="R44" s="68"/>
    </row>
    <row r="45" spans="1:18" x14ac:dyDescent="0.2">
      <c r="A45" s="68"/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68"/>
      <c r="R45" s="68"/>
    </row>
    <row r="46" spans="1:18" x14ac:dyDescent="0.2">
      <c r="A46" s="68"/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8"/>
      <c r="R46" s="68"/>
    </row>
    <row r="47" spans="1:18" x14ac:dyDescent="0.2">
      <c r="A47" s="68"/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</row>
    <row r="48" spans="1:18" x14ac:dyDescent="0.2">
      <c r="A48" s="68"/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</row>
    <row r="49" spans="1:15" x14ac:dyDescent="0.2">
      <c r="A49" s="68"/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</row>
    <row r="50" spans="1:15" x14ac:dyDescent="0.2">
      <c r="A50" s="68"/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</row>
    <row r="51" spans="1:15" x14ac:dyDescent="0.2">
      <c r="A51" s="68"/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</row>
    <row r="52" spans="1:15" x14ac:dyDescent="0.2">
      <c r="A52" s="68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</row>
    <row r="53" spans="1:15" x14ac:dyDescent="0.2">
      <c r="A53" s="68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</row>
    <row r="54" spans="1:15" x14ac:dyDescent="0.2">
      <c r="A54" s="68"/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</row>
    <row r="55" spans="1:15" x14ac:dyDescent="0.2">
      <c r="A55" s="68"/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</row>
    <row r="56" spans="1:15" x14ac:dyDescent="0.2">
      <c r="A56" s="68"/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15" x14ac:dyDescent="0.2">
      <c r="A57" s="68"/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</row>
    <row r="58" spans="1:15" x14ac:dyDescent="0.2">
      <c r="A58" s="68"/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</row>
    <row r="59" spans="1:15" x14ac:dyDescent="0.2">
      <c r="A59" s="68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</row>
    <row r="60" spans="1:15" x14ac:dyDescent="0.2">
      <c r="A60" s="68"/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</row>
    <row r="61" spans="1:15" x14ac:dyDescent="0.2">
      <c r="A61" s="68"/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</row>
    <row r="62" spans="1:15" x14ac:dyDescent="0.2">
      <c r="A62" s="68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</row>
    <row r="63" spans="1:15" x14ac:dyDescent="0.2">
      <c r="A63" s="68"/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</row>
    <row r="64" spans="1:15" x14ac:dyDescent="0.2">
      <c r="A64" s="68"/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</row>
    <row r="65" spans="1:15" x14ac:dyDescent="0.2">
      <c r="A65" s="68"/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</row>
    <row r="66" spans="1:15" x14ac:dyDescent="0.2">
      <c r="A66" s="68"/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</row>
    <row r="67" spans="1:15" x14ac:dyDescent="0.2">
      <c r="A67" s="68"/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</row>
    <row r="68" spans="1:15" x14ac:dyDescent="0.2">
      <c r="A68" s="68"/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</row>
    <row r="69" spans="1:15" x14ac:dyDescent="0.2">
      <c r="A69" s="68"/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</row>
    <row r="70" spans="1:15" x14ac:dyDescent="0.2">
      <c r="A70" s="68"/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</row>
    <row r="71" spans="1:15" x14ac:dyDescent="0.2">
      <c r="A71" s="68"/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</row>
    <row r="72" spans="1:15" x14ac:dyDescent="0.2">
      <c r="A72" s="68"/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</row>
    <row r="73" spans="1:15" x14ac:dyDescent="0.2">
      <c r="A73" s="68"/>
      <c r="B73" s="68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</row>
    <row r="74" spans="1:15" x14ac:dyDescent="0.2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</row>
    <row r="75" spans="1:15" x14ac:dyDescent="0.2">
      <c r="A75" s="68"/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</row>
    <row r="76" spans="1:15" x14ac:dyDescent="0.2">
      <c r="A76" s="68"/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</row>
    <row r="77" spans="1:15" x14ac:dyDescent="0.2">
      <c r="A77" s="68"/>
      <c r="B77" s="68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</row>
    <row r="78" spans="1:15" x14ac:dyDescent="0.2">
      <c r="A78" s="68"/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15" x14ac:dyDescent="0.2">
      <c r="A79" s="68"/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</row>
    <row r="80" spans="1:15" x14ac:dyDescent="0.2">
      <c r="A80" s="68"/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</row>
    <row r="81" spans="1:12" x14ac:dyDescent="0.2">
      <c r="A81" s="68"/>
      <c r="B81" s="68"/>
      <c r="C81" s="68"/>
      <c r="D81" s="68"/>
      <c r="E81" s="68"/>
      <c r="F81" s="68"/>
      <c r="G81" s="68"/>
      <c r="H81" s="68"/>
      <c r="I81" s="68"/>
      <c r="L81" s="68"/>
    </row>
    <row r="82" spans="1:12" x14ac:dyDescent="0.2">
      <c r="A82" s="68"/>
      <c r="B82" s="68"/>
      <c r="C82" s="68"/>
      <c r="D82" s="68"/>
      <c r="E82" s="68"/>
      <c r="F82" s="68"/>
      <c r="G82" s="68"/>
      <c r="H82" s="68"/>
      <c r="I82" s="68"/>
      <c r="L82" s="68"/>
    </row>
    <row r="83" spans="1:12" x14ac:dyDescent="0.2">
      <c r="A83" s="68"/>
      <c r="B83" s="68"/>
      <c r="C83" s="68"/>
      <c r="D83" s="68"/>
      <c r="E83" s="68"/>
      <c r="F83" s="68"/>
      <c r="G83" s="68"/>
      <c r="H83" s="68"/>
      <c r="I83" s="68"/>
      <c r="L83" s="68"/>
    </row>
    <row r="84" spans="1:12" x14ac:dyDescent="0.2">
      <c r="A84" s="68"/>
      <c r="B84" s="68"/>
      <c r="C84" s="68"/>
      <c r="D84" s="68"/>
      <c r="E84" s="68"/>
      <c r="F84" s="68"/>
      <c r="G84" s="68"/>
      <c r="H84" s="68"/>
      <c r="I84" s="68"/>
      <c r="L84" s="68"/>
    </row>
    <row r="85" spans="1:12" x14ac:dyDescent="0.2">
      <c r="A85" s="68"/>
      <c r="B85" s="68"/>
      <c r="C85" s="68"/>
      <c r="D85" s="68"/>
      <c r="E85" s="68"/>
      <c r="F85" s="68"/>
      <c r="G85" s="68"/>
      <c r="H85" s="68"/>
      <c r="I85" s="68"/>
      <c r="L85" s="68"/>
    </row>
    <row r="86" spans="1:12" x14ac:dyDescent="0.2">
      <c r="A86" s="68"/>
      <c r="B86" s="68"/>
      <c r="C86" s="68"/>
      <c r="D86" s="68"/>
      <c r="E86" s="68"/>
      <c r="F86" s="68"/>
      <c r="G86" s="68"/>
      <c r="H86" s="68"/>
      <c r="I86" s="68"/>
      <c r="L86" s="68"/>
    </row>
    <row r="87" spans="1:12" x14ac:dyDescent="0.2">
      <c r="A87" s="68"/>
      <c r="B87" s="68"/>
      <c r="C87" s="68"/>
      <c r="D87" s="68"/>
      <c r="E87" s="68"/>
      <c r="F87" s="68"/>
      <c r="G87" s="68"/>
      <c r="H87" s="68"/>
      <c r="I87" s="68"/>
      <c r="L87" s="68"/>
    </row>
    <row r="88" spans="1:12" x14ac:dyDescent="0.2">
      <c r="A88" s="68"/>
      <c r="B88" s="68"/>
      <c r="C88" s="68"/>
      <c r="D88" s="68"/>
      <c r="E88" s="68"/>
      <c r="F88" s="68"/>
      <c r="G88" s="68"/>
      <c r="H88" s="68"/>
      <c r="I88" s="68"/>
      <c r="L88" s="68"/>
    </row>
    <row r="89" spans="1:12" x14ac:dyDescent="0.2">
      <c r="A89" s="68"/>
      <c r="B89" s="68"/>
      <c r="C89" s="68"/>
      <c r="D89" s="68"/>
      <c r="E89" s="68"/>
      <c r="F89" s="68"/>
      <c r="G89" s="68"/>
      <c r="H89" s="68"/>
      <c r="I89" s="68"/>
      <c r="L89" s="68"/>
    </row>
    <row r="90" spans="1:12" x14ac:dyDescent="0.2">
      <c r="A90" s="68"/>
      <c r="B90" s="68"/>
      <c r="C90" s="68"/>
      <c r="D90" s="68"/>
      <c r="E90" s="68"/>
      <c r="F90" s="68"/>
      <c r="G90" s="68"/>
      <c r="H90" s="68"/>
      <c r="I90" s="68"/>
      <c r="L90" s="68"/>
    </row>
    <row r="91" spans="1:12" x14ac:dyDescent="0.2">
      <c r="A91" s="68"/>
      <c r="B91" s="68"/>
      <c r="C91" s="68"/>
      <c r="D91" s="68"/>
      <c r="E91" s="68"/>
      <c r="F91" s="68"/>
      <c r="G91" s="68"/>
      <c r="H91" s="68"/>
      <c r="I91" s="68"/>
      <c r="L91" s="68"/>
    </row>
    <row r="92" spans="1:12" x14ac:dyDescent="0.2">
      <c r="A92" s="68"/>
      <c r="B92" s="68"/>
      <c r="C92" s="68"/>
      <c r="D92" s="68"/>
      <c r="E92" s="68"/>
      <c r="F92" s="68"/>
      <c r="G92" s="68"/>
      <c r="H92" s="68"/>
      <c r="I92" s="68"/>
      <c r="L92" s="68"/>
    </row>
    <row r="93" spans="1:12" x14ac:dyDescent="0.2">
      <c r="A93" s="68"/>
      <c r="B93" s="68"/>
      <c r="C93" s="68"/>
      <c r="D93" s="68"/>
      <c r="E93" s="68"/>
      <c r="F93" s="68"/>
      <c r="G93" s="68"/>
      <c r="H93" s="68"/>
      <c r="I93" s="68"/>
      <c r="L93" s="68"/>
    </row>
    <row r="94" spans="1:12" x14ac:dyDescent="0.2">
      <c r="A94" s="68"/>
      <c r="B94" s="68"/>
      <c r="C94" s="68"/>
      <c r="D94" s="68"/>
      <c r="E94" s="68"/>
      <c r="F94" s="68"/>
      <c r="G94" s="68"/>
      <c r="H94" s="68"/>
      <c r="I94" s="68"/>
      <c r="L94" s="68"/>
    </row>
    <row r="95" spans="1:12" x14ac:dyDescent="0.2">
      <c r="A95" s="68"/>
      <c r="B95" s="68"/>
      <c r="C95" s="68"/>
      <c r="D95" s="68"/>
      <c r="E95" s="68"/>
      <c r="F95" s="68"/>
      <c r="G95" s="68"/>
      <c r="H95" s="68"/>
      <c r="I95" s="68"/>
      <c r="L95" s="68"/>
    </row>
    <row r="96" spans="1:12" x14ac:dyDescent="0.2">
      <c r="A96" s="68"/>
      <c r="B96" s="68"/>
      <c r="C96" s="68"/>
      <c r="D96" s="68"/>
      <c r="E96" s="68"/>
      <c r="F96" s="68"/>
      <c r="G96" s="68"/>
      <c r="H96" s="68"/>
      <c r="I96" s="68"/>
      <c r="L96" s="68"/>
    </row>
    <row r="97" spans="1:12" x14ac:dyDescent="0.2">
      <c r="A97" s="68"/>
      <c r="B97" s="68"/>
      <c r="C97" s="68"/>
      <c r="D97" s="68"/>
      <c r="E97" s="68"/>
      <c r="F97" s="68"/>
      <c r="G97" s="68"/>
      <c r="H97" s="68"/>
      <c r="I97" s="68"/>
      <c r="L97" s="68"/>
    </row>
    <row r="98" spans="1:12" x14ac:dyDescent="0.2">
      <c r="A98" s="68"/>
      <c r="B98" s="68"/>
      <c r="C98" s="68"/>
      <c r="D98" s="68"/>
      <c r="E98" s="68"/>
      <c r="F98" s="68"/>
      <c r="G98" s="68"/>
      <c r="H98" s="68"/>
      <c r="I98" s="68"/>
      <c r="L98" s="68"/>
    </row>
    <row r="99" spans="1:12" x14ac:dyDescent="0.2">
      <c r="A99" s="68"/>
      <c r="B99" s="68"/>
      <c r="C99" s="68"/>
      <c r="D99" s="68"/>
      <c r="E99" s="68"/>
      <c r="F99" s="68"/>
      <c r="G99" s="68"/>
      <c r="H99" s="68"/>
      <c r="I99" s="68"/>
      <c r="L99" s="68"/>
    </row>
    <row r="100" spans="1:12" x14ac:dyDescent="0.2">
      <c r="A100" s="68"/>
      <c r="B100" s="68"/>
      <c r="C100" s="68"/>
      <c r="D100" s="68"/>
      <c r="E100" s="68"/>
      <c r="F100" s="68"/>
      <c r="G100" s="68"/>
      <c r="H100" s="68"/>
      <c r="I100" s="68"/>
      <c r="L100" s="68"/>
    </row>
    <row r="101" spans="1:12" x14ac:dyDescent="0.2">
      <c r="A101" s="68"/>
      <c r="B101" s="68"/>
      <c r="C101" s="68"/>
      <c r="D101" s="68"/>
      <c r="E101" s="68"/>
      <c r="F101" s="68"/>
      <c r="G101" s="68"/>
      <c r="H101" s="68"/>
      <c r="I101" s="68"/>
      <c r="L101" s="68"/>
    </row>
    <row r="102" spans="1:12" x14ac:dyDescent="0.2">
      <c r="A102" s="68"/>
      <c r="B102" s="68"/>
      <c r="C102" s="68"/>
      <c r="D102" s="68"/>
      <c r="E102" s="68"/>
      <c r="F102" s="68"/>
      <c r="G102" s="68"/>
      <c r="H102" s="68"/>
      <c r="I102" s="68"/>
      <c r="L102" s="68"/>
    </row>
    <row r="103" spans="1:12" x14ac:dyDescent="0.2">
      <c r="A103" s="68"/>
      <c r="B103" s="68"/>
      <c r="C103" s="68"/>
      <c r="D103" s="68"/>
      <c r="E103" s="68"/>
      <c r="F103" s="68"/>
      <c r="G103" s="68"/>
      <c r="H103" s="68"/>
      <c r="I103" s="68"/>
      <c r="L103" s="68"/>
    </row>
    <row r="104" spans="1:12" x14ac:dyDescent="0.2">
      <c r="A104" s="68"/>
      <c r="B104" s="68"/>
      <c r="C104" s="68"/>
      <c r="D104" s="68"/>
      <c r="E104" s="68"/>
      <c r="F104" s="68"/>
      <c r="G104" s="68"/>
      <c r="H104" s="68"/>
      <c r="I104" s="68"/>
      <c r="L104" s="68"/>
    </row>
    <row r="105" spans="1:12" x14ac:dyDescent="0.2">
      <c r="A105" s="68"/>
      <c r="B105" s="68"/>
      <c r="C105" s="68"/>
      <c r="D105" s="68"/>
      <c r="E105" s="68"/>
      <c r="F105" s="68"/>
      <c r="G105" s="68"/>
      <c r="H105" s="68"/>
      <c r="I105" s="68"/>
      <c r="L105" s="68"/>
    </row>
    <row r="106" spans="1:12" x14ac:dyDescent="0.2">
      <c r="A106" s="68"/>
      <c r="B106" s="68"/>
      <c r="C106" s="68"/>
      <c r="D106" s="68"/>
      <c r="E106" s="68"/>
      <c r="F106" s="68"/>
      <c r="G106" s="68"/>
      <c r="H106" s="68"/>
      <c r="I106" s="68"/>
      <c r="L106" s="68"/>
    </row>
    <row r="107" spans="1:12" x14ac:dyDescent="0.2">
      <c r="A107" s="68"/>
      <c r="B107" s="68"/>
      <c r="C107" s="68"/>
      <c r="D107" s="68"/>
      <c r="E107" s="68"/>
      <c r="F107" s="68"/>
      <c r="G107" s="68"/>
      <c r="H107" s="68"/>
      <c r="I107" s="68"/>
      <c r="L107" s="68"/>
    </row>
    <row r="108" spans="1:12" x14ac:dyDescent="0.2">
      <c r="A108" s="68"/>
      <c r="B108" s="68"/>
      <c r="C108" s="68"/>
      <c r="D108" s="68"/>
      <c r="E108" s="68"/>
      <c r="F108" s="68"/>
      <c r="G108" s="68"/>
      <c r="H108" s="68"/>
      <c r="I108" s="68"/>
      <c r="L108" s="68"/>
    </row>
    <row r="109" spans="1:12" x14ac:dyDescent="0.2">
      <c r="A109" s="68"/>
      <c r="B109" s="68"/>
      <c r="C109" s="68"/>
      <c r="D109" s="68"/>
      <c r="E109" s="68"/>
      <c r="F109" s="68"/>
      <c r="G109" s="68"/>
      <c r="H109" s="68"/>
      <c r="I109" s="68"/>
      <c r="L109" s="68"/>
    </row>
    <row r="110" spans="1:12" x14ac:dyDescent="0.2">
      <c r="A110" s="68"/>
      <c r="B110" s="68"/>
      <c r="C110" s="68"/>
      <c r="D110" s="68"/>
      <c r="E110" s="68"/>
      <c r="F110" s="68"/>
      <c r="G110" s="68"/>
      <c r="H110" s="68"/>
      <c r="I110" s="68"/>
    </row>
    <row r="111" spans="1:12" x14ac:dyDescent="0.2">
      <c r="A111" s="68"/>
      <c r="B111" s="68"/>
      <c r="C111" s="68"/>
      <c r="D111" s="68"/>
      <c r="E111" s="68"/>
      <c r="F111" s="68"/>
      <c r="G111" s="68"/>
      <c r="H111" s="68"/>
      <c r="I111" s="68"/>
    </row>
    <row r="112" spans="1:12" x14ac:dyDescent="0.2">
      <c r="A112" s="68"/>
      <c r="B112" s="68"/>
      <c r="C112" s="68"/>
      <c r="D112" s="68"/>
      <c r="E112" s="68"/>
      <c r="F112" s="68"/>
      <c r="G112" s="68"/>
      <c r="H112" s="68"/>
      <c r="I112" s="68"/>
    </row>
    <row r="113" spans="1:9" x14ac:dyDescent="0.2">
      <c r="A113" s="68"/>
      <c r="B113" s="68"/>
      <c r="C113" s="68"/>
      <c r="D113" s="68"/>
      <c r="E113" s="68"/>
      <c r="F113" s="68"/>
      <c r="G113" s="68"/>
      <c r="H113" s="68"/>
      <c r="I113" s="68"/>
    </row>
    <row r="114" spans="1:9" x14ac:dyDescent="0.2">
      <c r="A114" s="68"/>
      <c r="B114" s="68"/>
      <c r="C114" s="68"/>
      <c r="D114" s="68"/>
      <c r="E114" s="68"/>
      <c r="F114" s="68"/>
      <c r="G114" s="68"/>
      <c r="H114" s="68"/>
      <c r="I114" s="68"/>
    </row>
    <row r="115" spans="1:9" x14ac:dyDescent="0.2">
      <c r="A115" s="68"/>
      <c r="B115" s="68"/>
      <c r="C115" s="68"/>
      <c r="D115" s="68"/>
      <c r="E115" s="68"/>
      <c r="F115" s="68"/>
      <c r="G115" s="68"/>
      <c r="H115" s="68"/>
      <c r="I115" s="68"/>
    </row>
    <row r="116" spans="1:9" x14ac:dyDescent="0.2">
      <c r="A116" s="68"/>
      <c r="B116" s="68"/>
      <c r="C116" s="68"/>
      <c r="D116" s="68"/>
      <c r="E116" s="68"/>
      <c r="F116" s="68"/>
      <c r="G116" s="68"/>
      <c r="H116" s="68"/>
      <c r="I116" s="68"/>
    </row>
    <row r="117" spans="1:9" x14ac:dyDescent="0.2">
      <c r="A117" s="68"/>
      <c r="B117" s="68"/>
      <c r="C117" s="68"/>
      <c r="D117" s="68"/>
      <c r="E117" s="68"/>
      <c r="F117" s="68"/>
      <c r="G117" s="68"/>
      <c r="H117" s="68"/>
      <c r="I117" s="68"/>
    </row>
    <row r="118" spans="1:9" x14ac:dyDescent="0.2">
      <c r="A118" s="68"/>
      <c r="B118" s="68"/>
      <c r="C118" s="68"/>
      <c r="D118" s="68"/>
      <c r="E118" s="68"/>
      <c r="F118" s="68"/>
      <c r="G118" s="68"/>
      <c r="H118" s="68"/>
      <c r="I118" s="68"/>
    </row>
    <row r="119" spans="1:9" x14ac:dyDescent="0.2">
      <c r="A119" s="68"/>
      <c r="B119" s="68"/>
      <c r="C119" s="68"/>
      <c r="D119" s="68"/>
      <c r="E119" s="68"/>
      <c r="F119" s="68"/>
      <c r="G119" s="68"/>
      <c r="H119" s="68"/>
      <c r="I119" s="68"/>
    </row>
    <row r="120" spans="1:9" x14ac:dyDescent="0.2">
      <c r="A120" s="68"/>
      <c r="B120" s="68"/>
      <c r="C120" s="68"/>
      <c r="D120" s="68"/>
      <c r="E120" s="68"/>
      <c r="F120" s="68"/>
      <c r="G120" s="68"/>
      <c r="H120" s="68"/>
      <c r="I120" s="68"/>
    </row>
    <row r="121" spans="1:9" x14ac:dyDescent="0.2">
      <c r="A121" s="68"/>
      <c r="B121" s="68"/>
      <c r="C121" s="68"/>
      <c r="D121" s="68"/>
      <c r="E121" s="68"/>
      <c r="F121" s="68"/>
      <c r="G121" s="68"/>
      <c r="H121" s="68"/>
      <c r="I121" s="68"/>
    </row>
    <row r="122" spans="1:9" x14ac:dyDescent="0.2">
      <c r="A122" s="68"/>
      <c r="B122" s="68"/>
      <c r="C122" s="68"/>
      <c r="D122" s="68"/>
      <c r="E122" s="68"/>
      <c r="F122" s="68"/>
      <c r="G122" s="68"/>
      <c r="H122" s="68"/>
      <c r="I122" s="68"/>
    </row>
    <row r="123" spans="1:9" x14ac:dyDescent="0.2">
      <c r="A123" s="68"/>
      <c r="B123" s="68"/>
      <c r="C123" s="68"/>
      <c r="D123" s="68"/>
      <c r="E123" s="68"/>
      <c r="F123" s="68"/>
      <c r="G123" s="68"/>
      <c r="H123" s="68"/>
      <c r="I123" s="68"/>
    </row>
    <row r="124" spans="1:9" x14ac:dyDescent="0.2">
      <c r="A124" s="68"/>
      <c r="B124" s="68"/>
      <c r="C124" s="68"/>
      <c r="D124" s="68"/>
      <c r="E124" s="68"/>
      <c r="F124" s="68"/>
      <c r="G124" s="68"/>
      <c r="H124" s="68"/>
      <c r="I124" s="68"/>
    </row>
    <row r="125" spans="1:9" x14ac:dyDescent="0.2">
      <c r="A125" s="68"/>
      <c r="B125" s="68"/>
      <c r="C125" s="68"/>
      <c r="D125" s="68"/>
      <c r="E125" s="68"/>
      <c r="F125" s="68"/>
      <c r="G125" s="68"/>
      <c r="H125" s="68"/>
      <c r="I125" s="68"/>
    </row>
    <row r="126" spans="1:9" x14ac:dyDescent="0.2">
      <c r="A126" s="68"/>
      <c r="B126" s="68"/>
      <c r="C126" s="68"/>
      <c r="D126" s="68"/>
      <c r="E126" s="68"/>
      <c r="F126" s="68"/>
      <c r="G126" s="68"/>
      <c r="H126" s="68"/>
      <c r="I126" s="68"/>
    </row>
    <row r="127" spans="1:9" x14ac:dyDescent="0.2">
      <c r="A127" s="68"/>
      <c r="B127" s="68"/>
      <c r="C127" s="68"/>
      <c r="D127" s="68"/>
      <c r="E127" s="68"/>
      <c r="F127" s="68"/>
      <c r="G127" s="68"/>
      <c r="H127" s="68"/>
      <c r="I127" s="68"/>
    </row>
    <row r="128" spans="1:9" x14ac:dyDescent="0.2">
      <c r="A128" s="68"/>
      <c r="B128" s="68"/>
      <c r="C128" s="68"/>
      <c r="D128" s="68"/>
      <c r="E128" s="68"/>
      <c r="F128" s="68"/>
      <c r="G128" s="68"/>
      <c r="H128" s="68"/>
      <c r="I128" s="68"/>
    </row>
    <row r="129" spans="1:9" x14ac:dyDescent="0.2">
      <c r="A129" s="68"/>
      <c r="B129" s="68"/>
      <c r="C129" s="68"/>
      <c r="D129" s="68"/>
      <c r="E129" s="68"/>
      <c r="F129" s="68"/>
      <c r="G129" s="68"/>
      <c r="H129" s="68"/>
      <c r="I129" s="68"/>
    </row>
    <row r="130" spans="1:9" x14ac:dyDescent="0.2">
      <c r="A130" s="68"/>
      <c r="B130" s="68"/>
      <c r="C130" s="68"/>
      <c r="D130" s="68"/>
      <c r="E130" s="68"/>
      <c r="F130" s="68"/>
      <c r="G130" s="68"/>
      <c r="H130" s="68"/>
      <c r="I130" s="68"/>
    </row>
    <row r="131" spans="1:9" x14ac:dyDescent="0.2">
      <c r="A131" s="68"/>
      <c r="B131" s="68"/>
      <c r="C131" s="68"/>
      <c r="D131" s="68"/>
      <c r="E131" s="68"/>
      <c r="F131" s="68"/>
      <c r="G131" s="68"/>
      <c r="H131" s="68"/>
      <c r="I131" s="68"/>
    </row>
    <row r="132" spans="1:9" x14ac:dyDescent="0.2">
      <c r="A132" s="68"/>
      <c r="B132" s="68"/>
      <c r="C132" s="68"/>
      <c r="D132" s="68"/>
      <c r="E132" s="68"/>
      <c r="F132" s="68"/>
      <c r="G132" s="68"/>
      <c r="H132" s="68"/>
      <c r="I132" s="68"/>
    </row>
    <row r="133" spans="1:9" x14ac:dyDescent="0.2">
      <c r="A133" s="68"/>
      <c r="B133" s="68"/>
      <c r="C133" s="68"/>
      <c r="D133" s="68"/>
      <c r="E133" s="68"/>
      <c r="F133" s="68"/>
      <c r="G133" s="68"/>
      <c r="H133" s="68"/>
      <c r="I133" s="68"/>
    </row>
    <row r="134" spans="1:9" x14ac:dyDescent="0.2">
      <c r="A134" s="68"/>
      <c r="B134" s="68"/>
      <c r="C134" s="68"/>
      <c r="D134" s="68"/>
      <c r="E134" s="68"/>
      <c r="F134" s="68"/>
      <c r="G134" s="68"/>
      <c r="H134" s="68"/>
      <c r="I134" s="68"/>
    </row>
    <row r="135" spans="1:9" x14ac:dyDescent="0.2">
      <c r="A135" s="68"/>
      <c r="B135" s="68"/>
      <c r="C135" s="68"/>
      <c r="D135" s="68"/>
      <c r="E135" s="68"/>
      <c r="F135" s="68"/>
      <c r="G135" s="68"/>
      <c r="H135" s="68"/>
      <c r="I135" s="68"/>
    </row>
    <row r="136" spans="1:9" x14ac:dyDescent="0.2">
      <c r="A136" s="68"/>
      <c r="B136" s="68"/>
      <c r="C136" s="68"/>
      <c r="D136" s="68"/>
      <c r="E136" s="68"/>
      <c r="F136" s="68"/>
      <c r="G136" s="68"/>
      <c r="H136" s="68"/>
      <c r="I136" s="68"/>
    </row>
    <row r="137" spans="1:9" x14ac:dyDescent="0.2">
      <c r="A137" s="68"/>
      <c r="B137" s="68"/>
      <c r="C137" s="68"/>
      <c r="D137" s="68"/>
      <c r="E137" s="68"/>
      <c r="F137" s="68"/>
      <c r="G137" s="68"/>
      <c r="H137" s="68"/>
      <c r="I137" s="68"/>
    </row>
    <row r="138" spans="1:9" x14ac:dyDescent="0.2">
      <c r="A138" s="68"/>
      <c r="B138" s="68"/>
      <c r="C138" s="68"/>
      <c r="D138" s="68"/>
      <c r="E138" s="68"/>
      <c r="F138" s="68"/>
      <c r="G138" s="68"/>
      <c r="H138" s="68"/>
      <c r="I138" s="68"/>
    </row>
    <row r="139" spans="1:9" x14ac:dyDescent="0.2">
      <c r="A139" s="68"/>
      <c r="B139" s="68"/>
      <c r="C139" s="68"/>
      <c r="D139" s="68"/>
      <c r="E139" s="68"/>
      <c r="F139" s="68"/>
      <c r="G139" s="68"/>
      <c r="H139" s="68"/>
      <c r="I139" s="68"/>
    </row>
    <row r="140" spans="1:9" x14ac:dyDescent="0.2">
      <c r="A140" s="68"/>
      <c r="B140" s="68"/>
      <c r="C140" s="68"/>
      <c r="D140" s="68"/>
      <c r="E140" s="68"/>
      <c r="F140" s="68"/>
      <c r="G140" s="68"/>
      <c r="H140" s="68"/>
      <c r="I140" s="68"/>
    </row>
    <row r="141" spans="1:9" x14ac:dyDescent="0.2">
      <c r="A141" s="68"/>
      <c r="B141" s="68"/>
      <c r="C141" s="68"/>
      <c r="D141" s="68"/>
      <c r="E141" s="68"/>
      <c r="F141" s="68"/>
      <c r="G141" s="68"/>
      <c r="H141" s="68"/>
      <c r="I141" s="68"/>
    </row>
    <row r="142" spans="1:9" x14ac:dyDescent="0.2">
      <c r="A142" s="68"/>
      <c r="B142" s="68"/>
      <c r="C142" s="68"/>
      <c r="D142" s="68"/>
      <c r="E142" s="68"/>
      <c r="F142" s="68"/>
      <c r="G142" s="68"/>
      <c r="H142" s="68"/>
      <c r="I142" s="68"/>
    </row>
    <row r="143" spans="1:9" x14ac:dyDescent="0.2">
      <c r="A143" s="68"/>
      <c r="B143" s="68"/>
      <c r="C143" s="68"/>
      <c r="D143" s="68"/>
      <c r="E143" s="68"/>
      <c r="F143" s="68"/>
      <c r="G143" s="68"/>
      <c r="H143" s="68"/>
      <c r="I143" s="68"/>
    </row>
    <row r="144" spans="1:9" x14ac:dyDescent="0.2">
      <c r="A144" s="68"/>
      <c r="B144" s="68"/>
      <c r="C144" s="68"/>
      <c r="D144" s="68"/>
      <c r="E144" s="68"/>
      <c r="F144" s="68"/>
      <c r="G144" s="68"/>
      <c r="H144" s="68"/>
      <c r="I144" s="68"/>
    </row>
    <row r="145" spans="1:6" x14ac:dyDescent="0.2">
      <c r="A145" s="68"/>
      <c r="B145" s="68"/>
      <c r="C145" s="68"/>
      <c r="D145" s="68"/>
      <c r="F145" s="68"/>
    </row>
    <row r="146" spans="1:6" x14ac:dyDescent="0.2">
      <c r="A146" s="68"/>
      <c r="B146" s="68"/>
      <c r="C146" s="68"/>
      <c r="D146" s="68"/>
      <c r="F146" s="68"/>
    </row>
    <row r="147" spans="1:6" x14ac:dyDescent="0.2">
      <c r="A147" s="68"/>
      <c r="B147" s="68"/>
      <c r="C147" s="68"/>
      <c r="D147" s="68"/>
      <c r="F147" s="68"/>
    </row>
    <row r="148" spans="1:6" x14ac:dyDescent="0.2">
      <c r="A148" s="68"/>
      <c r="B148" s="68"/>
      <c r="C148" s="68"/>
      <c r="D148" s="68"/>
      <c r="F148" s="68"/>
    </row>
    <row r="149" spans="1:6" x14ac:dyDescent="0.2">
      <c r="A149" s="68"/>
      <c r="B149" s="68"/>
      <c r="C149" s="68"/>
      <c r="D149" s="68"/>
      <c r="F149" s="68"/>
    </row>
    <row r="150" spans="1:6" x14ac:dyDescent="0.2">
      <c r="A150" s="68"/>
      <c r="B150" s="68"/>
      <c r="C150" s="68"/>
      <c r="D150" s="68"/>
      <c r="F150" s="68"/>
    </row>
    <row r="151" spans="1:6" x14ac:dyDescent="0.2">
      <c r="A151" s="68"/>
      <c r="B151" s="68"/>
      <c r="C151" s="68"/>
      <c r="D151" s="68"/>
      <c r="F151" s="68"/>
    </row>
    <row r="152" spans="1:6" x14ac:dyDescent="0.2">
      <c r="A152" s="68"/>
      <c r="B152" s="68"/>
      <c r="C152" s="68"/>
      <c r="D152" s="68"/>
      <c r="F152" s="68"/>
    </row>
    <row r="153" spans="1:6" x14ac:dyDescent="0.2">
      <c r="A153" s="68"/>
      <c r="B153" s="68"/>
      <c r="C153" s="68"/>
      <c r="D153" s="68"/>
      <c r="F153" s="68"/>
    </row>
    <row r="154" spans="1:6" x14ac:dyDescent="0.2">
      <c r="A154" s="68"/>
      <c r="B154" s="68"/>
      <c r="C154" s="68"/>
      <c r="D154" s="68"/>
      <c r="F154" s="68"/>
    </row>
    <row r="155" spans="1:6" x14ac:dyDescent="0.2">
      <c r="A155" s="68"/>
      <c r="B155" s="68"/>
      <c r="C155" s="68"/>
      <c r="D155" s="68"/>
      <c r="F155" s="68"/>
    </row>
    <row r="156" spans="1:6" x14ac:dyDescent="0.2">
      <c r="A156" s="68"/>
      <c r="B156" s="68"/>
      <c r="C156" s="68"/>
      <c r="D156" s="68"/>
      <c r="F156" s="68"/>
    </row>
    <row r="157" spans="1:6" x14ac:dyDescent="0.2">
      <c r="A157" s="68"/>
      <c r="B157" s="68"/>
      <c r="C157" s="68"/>
      <c r="D157" s="68"/>
      <c r="F157" s="68"/>
    </row>
    <row r="158" spans="1:6" x14ac:dyDescent="0.2">
      <c r="A158" s="68"/>
      <c r="B158" s="68"/>
      <c r="C158" s="68"/>
      <c r="D158" s="68"/>
      <c r="F158" s="68"/>
    </row>
    <row r="159" spans="1:6" x14ac:dyDescent="0.2">
      <c r="A159" s="68"/>
      <c r="B159" s="68"/>
      <c r="C159" s="68"/>
      <c r="D159" s="68"/>
      <c r="F159" s="68"/>
    </row>
    <row r="160" spans="1:6" x14ac:dyDescent="0.2">
      <c r="A160" s="68"/>
      <c r="B160" s="68"/>
      <c r="C160" s="68"/>
      <c r="D160" s="68"/>
      <c r="F160" s="68"/>
    </row>
    <row r="161" spans="1:6" x14ac:dyDescent="0.2">
      <c r="A161" s="68"/>
      <c r="B161" s="68"/>
      <c r="C161" s="68"/>
      <c r="D161" s="68"/>
      <c r="F161" s="68"/>
    </row>
    <row r="162" spans="1:6" x14ac:dyDescent="0.2">
      <c r="A162" s="68"/>
      <c r="B162" s="68"/>
      <c r="C162" s="68"/>
      <c r="D162" s="68"/>
      <c r="F162" s="68"/>
    </row>
    <row r="163" spans="1:6" x14ac:dyDescent="0.2">
      <c r="A163" s="68"/>
      <c r="B163" s="68"/>
      <c r="C163" s="68"/>
      <c r="D163" s="68"/>
      <c r="F163" s="68"/>
    </row>
    <row r="164" spans="1:6" x14ac:dyDescent="0.2">
      <c r="A164" s="68"/>
      <c r="B164" s="68"/>
      <c r="C164" s="68"/>
      <c r="D164" s="68"/>
      <c r="F164" s="68"/>
    </row>
    <row r="165" spans="1:6" x14ac:dyDescent="0.2">
      <c r="A165" s="68"/>
      <c r="B165" s="68"/>
      <c r="C165" s="68"/>
      <c r="D165" s="68"/>
      <c r="F165" s="68"/>
    </row>
    <row r="166" spans="1:6" x14ac:dyDescent="0.2">
      <c r="A166" s="68"/>
      <c r="B166" s="68"/>
      <c r="C166" s="68"/>
      <c r="D166" s="68"/>
      <c r="F166" s="68"/>
    </row>
    <row r="167" spans="1:6" x14ac:dyDescent="0.2">
      <c r="A167" s="68"/>
      <c r="B167" s="68"/>
      <c r="C167" s="68"/>
      <c r="D167" s="68"/>
      <c r="F167" s="68"/>
    </row>
    <row r="168" spans="1:6" x14ac:dyDescent="0.2">
      <c r="A168" s="68"/>
      <c r="B168" s="68"/>
      <c r="C168" s="68"/>
      <c r="D168" s="68"/>
      <c r="F168" s="68"/>
    </row>
    <row r="169" spans="1:6" x14ac:dyDescent="0.2">
      <c r="A169" s="68"/>
      <c r="B169" s="68"/>
      <c r="C169" s="68"/>
      <c r="D169" s="68"/>
      <c r="F169" s="68"/>
    </row>
    <row r="170" spans="1:6" x14ac:dyDescent="0.2">
      <c r="A170" s="68"/>
      <c r="B170" s="68"/>
      <c r="C170" s="68"/>
      <c r="D170" s="68"/>
      <c r="F170" s="68"/>
    </row>
    <row r="171" spans="1:6" x14ac:dyDescent="0.2">
      <c r="A171" s="68"/>
      <c r="B171" s="68"/>
      <c r="C171" s="68"/>
      <c r="D171" s="68"/>
      <c r="F171" s="68"/>
    </row>
    <row r="172" spans="1:6" x14ac:dyDescent="0.2">
      <c r="A172" s="68"/>
      <c r="B172" s="68"/>
      <c r="C172" s="68"/>
      <c r="D172" s="68"/>
      <c r="F172" s="68"/>
    </row>
    <row r="173" spans="1:6" x14ac:dyDescent="0.2">
      <c r="A173" s="68"/>
      <c r="B173" s="68"/>
      <c r="C173" s="68"/>
      <c r="D173" s="68"/>
      <c r="F173" s="68"/>
    </row>
    <row r="174" spans="1:6" x14ac:dyDescent="0.2">
      <c r="A174" s="68"/>
      <c r="B174" s="68"/>
      <c r="C174" s="68"/>
      <c r="D174" s="68"/>
      <c r="F174" s="68"/>
    </row>
    <row r="175" spans="1:6" x14ac:dyDescent="0.2">
      <c r="A175" s="68"/>
      <c r="B175" s="68"/>
      <c r="C175" s="68"/>
      <c r="D175" s="68"/>
      <c r="F175" s="68"/>
    </row>
    <row r="176" spans="1:6" x14ac:dyDescent="0.2">
      <c r="A176" s="68"/>
      <c r="B176" s="68"/>
      <c r="C176" s="68"/>
      <c r="D176" s="68"/>
      <c r="F176" s="68"/>
    </row>
    <row r="177" spans="1:6" x14ac:dyDescent="0.2">
      <c r="A177" s="68"/>
      <c r="B177" s="68"/>
      <c r="C177" s="68"/>
      <c r="D177" s="68"/>
      <c r="F177" s="68"/>
    </row>
    <row r="178" spans="1:6" x14ac:dyDescent="0.2">
      <c r="A178" s="68"/>
      <c r="B178" s="68"/>
      <c r="C178" s="68"/>
      <c r="D178" s="68"/>
      <c r="F178" s="68"/>
    </row>
    <row r="179" spans="1:6" x14ac:dyDescent="0.2">
      <c r="A179" s="68"/>
      <c r="B179" s="68"/>
      <c r="C179" s="68"/>
      <c r="D179" s="68"/>
      <c r="F179" s="68"/>
    </row>
    <row r="180" spans="1:6" x14ac:dyDescent="0.2">
      <c r="A180" s="68"/>
      <c r="B180" s="68"/>
      <c r="C180" s="68"/>
      <c r="D180" s="68"/>
      <c r="F180" s="68"/>
    </row>
    <row r="181" spans="1:6" x14ac:dyDescent="0.2">
      <c r="A181" s="68"/>
      <c r="B181" s="68"/>
      <c r="C181" s="68"/>
      <c r="D181" s="68"/>
      <c r="F181" s="68"/>
    </row>
    <row r="182" spans="1:6" x14ac:dyDescent="0.2">
      <c r="A182" s="68"/>
      <c r="B182" s="68"/>
      <c r="C182" s="68"/>
      <c r="D182" s="68"/>
      <c r="F182" s="68"/>
    </row>
    <row r="183" spans="1:6" x14ac:dyDescent="0.2">
      <c r="A183" s="68"/>
      <c r="B183" s="68"/>
      <c r="C183" s="68"/>
      <c r="D183" s="68"/>
      <c r="F183" s="68"/>
    </row>
    <row r="184" spans="1:6" x14ac:dyDescent="0.2">
      <c r="A184" s="68"/>
      <c r="B184" s="68"/>
      <c r="C184" s="68"/>
      <c r="D184" s="68"/>
      <c r="F184" s="68"/>
    </row>
    <row r="185" spans="1:6" x14ac:dyDescent="0.2">
      <c r="A185" s="68"/>
      <c r="B185" s="68"/>
      <c r="C185" s="68"/>
      <c r="D185" s="68"/>
      <c r="F185" s="68"/>
    </row>
    <row r="186" spans="1:6" x14ac:dyDescent="0.2">
      <c r="A186" s="68"/>
      <c r="B186" s="68"/>
      <c r="C186" s="68"/>
      <c r="D186" s="68"/>
      <c r="F186" s="68"/>
    </row>
    <row r="187" spans="1:6" x14ac:dyDescent="0.2">
      <c r="A187" s="68"/>
      <c r="B187" s="68"/>
      <c r="C187" s="68"/>
      <c r="D187" s="68"/>
      <c r="F187" s="68"/>
    </row>
    <row r="188" spans="1:6" x14ac:dyDescent="0.2">
      <c r="A188" s="68"/>
      <c r="B188" s="68"/>
      <c r="C188" s="68"/>
      <c r="D188" s="68"/>
      <c r="F188" s="68"/>
    </row>
    <row r="189" spans="1:6" x14ac:dyDescent="0.2">
      <c r="A189" s="68"/>
      <c r="B189" s="68"/>
      <c r="C189" s="68"/>
      <c r="D189" s="68"/>
      <c r="F189" s="68"/>
    </row>
    <row r="190" spans="1:6" x14ac:dyDescent="0.2">
      <c r="A190" s="68"/>
      <c r="B190" s="68"/>
      <c r="C190" s="68"/>
      <c r="D190" s="68"/>
      <c r="F190" s="68"/>
    </row>
    <row r="191" spans="1:6" x14ac:dyDescent="0.2">
      <c r="A191" s="68"/>
      <c r="B191" s="68"/>
      <c r="C191" s="68"/>
      <c r="D191" s="68"/>
      <c r="F191" s="68"/>
    </row>
    <row r="192" spans="1:6" x14ac:dyDescent="0.2">
      <c r="A192" s="68"/>
      <c r="B192" s="68"/>
      <c r="C192" s="68"/>
      <c r="D192" s="68"/>
      <c r="F192" s="68"/>
    </row>
    <row r="193" spans="1:4" x14ac:dyDescent="0.2">
      <c r="A193" s="68"/>
      <c r="B193" s="68"/>
      <c r="C193" s="68"/>
      <c r="D193" s="68"/>
    </row>
    <row r="194" spans="1:4" x14ac:dyDescent="0.2">
      <c r="A194" s="68"/>
      <c r="B194" s="68"/>
      <c r="C194" s="68"/>
      <c r="D194" s="68"/>
    </row>
    <row r="195" spans="1:4" x14ac:dyDescent="0.2">
      <c r="A195" s="68"/>
      <c r="B195" s="68"/>
      <c r="C195" s="68"/>
      <c r="D195" s="68"/>
    </row>
    <row r="196" spans="1:4" x14ac:dyDescent="0.2">
      <c r="A196" s="68"/>
      <c r="B196" s="68"/>
      <c r="C196" s="68"/>
      <c r="D196" s="68"/>
    </row>
    <row r="197" spans="1:4" x14ac:dyDescent="0.2">
      <c r="A197" s="68"/>
      <c r="B197" s="68"/>
      <c r="C197" s="68"/>
      <c r="D197" s="68"/>
    </row>
    <row r="198" spans="1:4" x14ac:dyDescent="0.2">
      <c r="A198" s="68"/>
      <c r="B198" s="68"/>
      <c r="C198" s="68"/>
      <c r="D198" s="68"/>
    </row>
    <row r="199" spans="1:4" x14ac:dyDescent="0.2">
      <c r="A199" s="68"/>
      <c r="B199" s="68"/>
      <c r="C199" s="68"/>
      <c r="D199" s="68"/>
    </row>
    <row r="200" spans="1:4" x14ac:dyDescent="0.2">
      <c r="A200" s="68"/>
      <c r="B200" s="68"/>
      <c r="C200" s="68"/>
      <c r="D200" s="68"/>
    </row>
    <row r="201" spans="1:4" x14ac:dyDescent="0.2">
      <c r="A201" s="68"/>
      <c r="B201" s="68"/>
      <c r="C201" s="68"/>
      <c r="D201" s="68"/>
    </row>
    <row r="202" spans="1:4" x14ac:dyDescent="0.2">
      <c r="A202" s="68"/>
      <c r="B202" s="68"/>
      <c r="C202" s="68"/>
      <c r="D202" s="68"/>
    </row>
    <row r="203" spans="1:4" x14ac:dyDescent="0.2">
      <c r="A203" s="68"/>
      <c r="B203" s="68"/>
      <c r="C203" s="68"/>
      <c r="D203" s="68"/>
    </row>
    <row r="204" spans="1:4" x14ac:dyDescent="0.2">
      <c r="A204" s="68"/>
      <c r="B204" s="68"/>
      <c r="C204" s="68"/>
      <c r="D204" s="68"/>
    </row>
    <row r="205" spans="1:4" x14ac:dyDescent="0.2">
      <c r="A205" s="68"/>
      <c r="B205" s="68"/>
      <c r="C205" s="68"/>
      <c r="D205" s="68"/>
    </row>
    <row r="206" spans="1:4" x14ac:dyDescent="0.2">
      <c r="A206" s="68"/>
      <c r="B206" s="68"/>
      <c r="C206" s="68"/>
      <c r="D206" s="68"/>
    </row>
    <row r="207" spans="1:4" x14ac:dyDescent="0.2">
      <c r="A207" s="68"/>
      <c r="B207" s="68"/>
      <c r="C207" s="68"/>
      <c r="D207" s="68"/>
    </row>
    <row r="208" spans="1:4" x14ac:dyDescent="0.2">
      <c r="A208" s="68"/>
      <c r="B208" s="68"/>
      <c r="C208" s="68"/>
      <c r="D208" s="68"/>
    </row>
    <row r="209" spans="1:4" x14ac:dyDescent="0.2">
      <c r="A209" s="68"/>
      <c r="B209" s="68"/>
      <c r="C209" s="68"/>
      <c r="D209" s="68"/>
    </row>
    <row r="210" spans="1:4" x14ac:dyDescent="0.2">
      <c r="A210" s="68"/>
      <c r="B210" s="68"/>
      <c r="C210" s="68"/>
      <c r="D210" s="68"/>
    </row>
    <row r="211" spans="1:4" x14ac:dyDescent="0.2">
      <c r="A211" s="68"/>
      <c r="B211" s="68"/>
      <c r="C211" s="68"/>
      <c r="D211" s="68"/>
    </row>
    <row r="212" spans="1:4" x14ac:dyDescent="0.2">
      <c r="A212" s="68"/>
      <c r="B212" s="68"/>
      <c r="C212" s="68"/>
      <c r="D212" s="68"/>
    </row>
    <row r="213" spans="1:4" x14ac:dyDescent="0.2">
      <c r="A213" s="68"/>
      <c r="B213" s="68"/>
      <c r="C213" s="68"/>
      <c r="D213" s="68"/>
    </row>
    <row r="214" spans="1:4" x14ac:dyDescent="0.2">
      <c r="A214" s="68"/>
      <c r="B214" s="68"/>
      <c r="C214" s="68"/>
      <c r="D214" s="68"/>
    </row>
    <row r="215" spans="1:4" x14ac:dyDescent="0.2">
      <c r="A215" s="68"/>
      <c r="B215" s="68"/>
      <c r="C215" s="68"/>
      <c r="D215" s="68"/>
    </row>
    <row r="216" spans="1:4" x14ac:dyDescent="0.2">
      <c r="A216" s="68"/>
      <c r="B216" s="68"/>
      <c r="C216" s="68"/>
      <c r="D216" s="68"/>
    </row>
    <row r="217" spans="1:4" x14ac:dyDescent="0.2">
      <c r="A217" s="68"/>
      <c r="B217" s="68"/>
      <c r="C217" s="68"/>
      <c r="D217" s="68"/>
    </row>
    <row r="218" spans="1:4" x14ac:dyDescent="0.2">
      <c r="A218" s="68"/>
      <c r="B218" s="68"/>
      <c r="C218" s="68"/>
      <c r="D218" s="68"/>
    </row>
    <row r="219" spans="1:4" x14ac:dyDescent="0.2">
      <c r="A219" s="68"/>
      <c r="B219" s="68"/>
      <c r="C219" s="68"/>
      <c r="D219" s="68"/>
    </row>
    <row r="220" spans="1:4" x14ac:dyDescent="0.2">
      <c r="A220" s="68"/>
      <c r="B220" s="68"/>
      <c r="C220" s="68"/>
      <c r="D220" s="68"/>
    </row>
    <row r="221" spans="1:4" x14ac:dyDescent="0.2">
      <c r="A221" s="68"/>
      <c r="B221" s="68"/>
      <c r="C221" s="68"/>
      <c r="D221" s="68"/>
    </row>
    <row r="222" spans="1:4" x14ac:dyDescent="0.2">
      <c r="A222" s="68"/>
      <c r="B222" s="68"/>
      <c r="C222" s="68"/>
      <c r="D222" s="68"/>
    </row>
    <row r="223" spans="1:4" x14ac:dyDescent="0.2">
      <c r="A223" s="68"/>
      <c r="B223" s="68"/>
      <c r="C223" s="68"/>
      <c r="D223" s="68"/>
    </row>
    <row r="224" spans="1:4" x14ac:dyDescent="0.2">
      <c r="A224" s="68"/>
      <c r="B224" s="68"/>
      <c r="C224" s="68"/>
      <c r="D224" s="68"/>
    </row>
    <row r="225" spans="1:4" x14ac:dyDescent="0.2">
      <c r="A225" s="68"/>
      <c r="B225" s="68"/>
      <c r="C225" s="68"/>
      <c r="D225" s="68"/>
    </row>
    <row r="226" spans="1:4" x14ac:dyDescent="0.2">
      <c r="A226" s="68"/>
      <c r="B226" s="68"/>
      <c r="C226" s="68"/>
      <c r="D226" s="68"/>
    </row>
    <row r="227" spans="1:4" x14ac:dyDescent="0.2">
      <c r="A227" s="68"/>
      <c r="B227" s="68"/>
      <c r="C227" s="68"/>
      <c r="D227" s="68"/>
    </row>
    <row r="228" spans="1:4" x14ac:dyDescent="0.2">
      <c r="A228" s="68"/>
      <c r="B228" s="68"/>
      <c r="C228" s="68"/>
      <c r="D228" s="68"/>
    </row>
    <row r="229" spans="1:4" x14ac:dyDescent="0.2">
      <c r="A229" s="68"/>
      <c r="B229" s="68"/>
      <c r="C229" s="68"/>
      <c r="D229" s="68"/>
    </row>
    <row r="230" spans="1:4" x14ac:dyDescent="0.2">
      <c r="A230" s="68"/>
      <c r="B230" s="68"/>
      <c r="C230" s="68"/>
      <c r="D230" s="68"/>
    </row>
    <row r="231" spans="1:4" x14ac:dyDescent="0.2">
      <c r="A231" s="68"/>
      <c r="B231" s="68"/>
      <c r="C231" s="68"/>
      <c r="D231" s="68"/>
    </row>
    <row r="232" spans="1:4" x14ac:dyDescent="0.2">
      <c r="A232" s="68"/>
      <c r="B232" s="68"/>
      <c r="C232" s="68"/>
      <c r="D232" s="68"/>
    </row>
    <row r="233" spans="1:4" x14ac:dyDescent="0.2">
      <c r="A233" s="68"/>
      <c r="B233" s="68"/>
      <c r="C233" s="68"/>
      <c r="D233" s="68"/>
    </row>
    <row r="234" spans="1:4" x14ac:dyDescent="0.2">
      <c r="A234" s="68"/>
      <c r="B234" s="68"/>
      <c r="C234" s="68"/>
      <c r="D234" s="68"/>
    </row>
    <row r="235" spans="1:4" x14ac:dyDescent="0.2">
      <c r="A235" s="68"/>
      <c r="B235" s="68"/>
      <c r="C235" s="68"/>
      <c r="D235" s="68"/>
    </row>
    <row r="236" spans="1:4" x14ac:dyDescent="0.2">
      <c r="A236" s="68"/>
      <c r="B236" s="68"/>
      <c r="C236" s="68"/>
      <c r="D236" s="68"/>
    </row>
    <row r="237" spans="1:4" x14ac:dyDescent="0.2">
      <c r="A237" s="68"/>
      <c r="B237" s="68"/>
      <c r="C237" s="68"/>
      <c r="D237" s="68"/>
    </row>
    <row r="238" spans="1:4" x14ac:dyDescent="0.2">
      <c r="A238" s="68"/>
      <c r="B238" s="68"/>
      <c r="C238" s="68"/>
      <c r="D238" s="68"/>
    </row>
    <row r="239" spans="1:4" x14ac:dyDescent="0.2">
      <c r="A239" s="68"/>
      <c r="B239" s="68"/>
      <c r="C239" s="68"/>
      <c r="D239" s="68"/>
    </row>
    <row r="240" spans="1:4" x14ac:dyDescent="0.2">
      <c r="A240" s="68"/>
      <c r="B240" s="68"/>
      <c r="C240" s="68"/>
      <c r="D240" s="68"/>
    </row>
    <row r="241" spans="1:4" x14ac:dyDescent="0.2">
      <c r="A241" s="68"/>
      <c r="B241" s="68"/>
      <c r="C241" s="68"/>
      <c r="D241" s="68"/>
    </row>
    <row r="242" spans="1:4" x14ac:dyDescent="0.2">
      <c r="A242" s="68"/>
      <c r="B242" s="68"/>
      <c r="C242" s="68"/>
      <c r="D242" s="68"/>
    </row>
    <row r="243" spans="1:4" x14ac:dyDescent="0.2">
      <c r="A243" s="68"/>
      <c r="B243" s="68"/>
      <c r="C243" s="68"/>
      <c r="D243" s="68"/>
    </row>
    <row r="244" spans="1:4" x14ac:dyDescent="0.2">
      <c r="A244" s="68"/>
      <c r="B244" s="68"/>
      <c r="C244" s="68"/>
      <c r="D244" s="68"/>
    </row>
    <row r="245" spans="1:4" x14ac:dyDescent="0.2">
      <c r="A245" s="68"/>
      <c r="B245" s="68"/>
      <c r="C245" s="68"/>
      <c r="D245" s="68"/>
    </row>
    <row r="246" spans="1:4" x14ac:dyDescent="0.2">
      <c r="A246" s="68"/>
      <c r="B246" s="68"/>
      <c r="C246" s="68"/>
      <c r="D246" s="68"/>
    </row>
    <row r="247" spans="1:4" x14ac:dyDescent="0.2">
      <c r="A247" s="68"/>
      <c r="B247" s="68"/>
      <c r="C247" s="68"/>
      <c r="D247" s="68"/>
    </row>
    <row r="248" spans="1:4" x14ac:dyDescent="0.2">
      <c r="A248" s="68"/>
      <c r="B248" s="68"/>
      <c r="C248" s="68"/>
      <c r="D248" s="68"/>
    </row>
    <row r="249" spans="1:4" x14ac:dyDescent="0.2">
      <c r="A249" s="68"/>
      <c r="B249" s="68"/>
      <c r="C249" s="68"/>
      <c r="D249" s="68"/>
    </row>
    <row r="250" spans="1:4" x14ac:dyDescent="0.2">
      <c r="A250" s="68"/>
      <c r="B250" s="68"/>
      <c r="C250" s="68"/>
      <c r="D250" s="68"/>
    </row>
    <row r="251" spans="1:4" x14ac:dyDescent="0.2">
      <c r="A251" s="68"/>
      <c r="B251" s="68"/>
      <c r="C251" s="68"/>
      <c r="D251" s="68"/>
    </row>
    <row r="252" spans="1:4" x14ac:dyDescent="0.2">
      <c r="A252" s="68"/>
      <c r="B252" s="68"/>
      <c r="C252" s="68"/>
      <c r="D252" s="68"/>
    </row>
    <row r="253" spans="1:4" x14ac:dyDescent="0.2">
      <c r="A253" s="68"/>
      <c r="B253" s="68"/>
      <c r="C253" s="68"/>
      <c r="D253" s="68"/>
    </row>
    <row r="254" spans="1:4" x14ac:dyDescent="0.2">
      <c r="A254" s="68"/>
      <c r="B254" s="68"/>
      <c r="C254" s="68"/>
      <c r="D254" s="68"/>
    </row>
    <row r="255" spans="1:4" x14ac:dyDescent="0.2">
      <c r="A255" s="68"/>
      <c r="B255" s="68"/>
      <c r="C255" s="68"/>
      <c r="D255" s="68"/>
    </row>
    <row r="256" spans="1:4" x14ac:dyDescent="0.2">
      <c r="A256" s="68"/>
      <c r="B256" s="68"/>
      <c r="C256" s="68"/>
      <c r="D256" s="68"/>
    </row>
    <row r="257" spans="1:4" x14ac:dyDescent="0.2">
      <c r="A257" s="68"/>
      <c r="B257" s="68"/>
      <c r="C257" s="68"/>
      <c r="D257" s="68"/>
    </row>
    <row r="258" spans="1:4" x14ac:dyDescent="0.2">
      <c r="A258" s="68"/>
      <c r="B258" s="68"/>
      <c r="C258" s="68"/>
      <c r="D258" s="68"/>
    </row>
    <row r="259" spans="1:4" x14ac:dyDescent="0.2">
      <c r="A259" s="68"/>
      <c r="B259" s="68"/>
      <c r="C259" s="68"/>
      <c r="D259" s="68"/>
    </row>
    <row r="260" spans="1:4" x14ac:dyDescent="0.2">
      <c r="A260" s="68"/>
      <c r="B260" s="68"/>
      <c r="C260" s="68"/>
      <c r="D260" s="68"/>
    </row>
    <row r="261" spans="1:4" x14ac:dyDescent="0.2">
      <c r="A261" s="68"/>
    </row>
    <row r="262" spans="1:4" x14ac:dyDescent="0.2">
      <c r="A262" s="68"/>
    </row>
    <row r="263" spans="1:4" x14ac:dyDescent="0.2">
      <c r="A263" s="68"/>
    </row>
    <row r="264" spans="1:4" x14ac:dyDescent="0.2">
      <c r="A264" s="68"/>
    </row>
    <row r="265" spans="1:4" x14ac:dyDescent="0.2">
      <c r="A265" s="68"/>
    </row>
    <row r="266" spans="1:4" x14ac:dyDescent="0.2">
      <c r="A266" s="68"/>
    </row>
    <row r="267" spans="1:4" x14ac:dyDescent="0.2">
      <c r="A267" s="68"/>
    </row>
    <row r="268" spans="1:4" x14ac:dyDescent="0.2">
      <c r="A268" s="68"/>
    </row>
    <row r="269" spans="1:4" x14ac:dyDescent="0.2">
      <c r="A269" s="68"/>
    </row>
    <row r="270" spans="1:4" x14ac:dyDescent="0.2">
      <c r="A270" s="68"/>
    </row>
    <row r="271" spans="1:4" x14ac:dyDescent="0.2">
      <c r="A271" s="68"/>
    </row>
    <row r="272" spans="1:4" x14ac:dyDescent="0.2">
      <c r="A272" s="68"/>
    </row>
    <row r="273" spans="1:1" x14ac:dyDescent="0.2">
      <c r="A273" s="68"/>
    </row>
    <row r="274" spans="1:1" x14ac:dyDescent="0.2">
      <c r="A274" s="68"/>
    </row>
    <row r="275" spans="1:1" x14ac:dyDescent="0.2">
      <c r="A275" s="68"/>
    </row>
    <row r="276" spans="1:1" x14ac:dyDescent="0.2">
      <c r="A276" s="68"/>
    </row>
    <row r="277" spans="1:1" x14ac:dyDescent="0.2">
      <c r="A277" s="68"/>
    </row>
    <row r="278" spans="1:1" x14ac:dyDescent="0.2">
      <c r="A278" s="68"/>
    </row>
    <row r="279" spans="1:1" x14ac:dyDescent="0.2">
      <c r="A279" s="68"/>
    </row>
    <row r="280" spans="1:1" x14ac:dyDescent="0.2">
      <c r="A280" s="68"/>
    </row>
    <row r="281" spans="1:1" x14ac:dyDescent="0.2">
      <c r="A281" s="68"/>
    </row>
    <row r="282" spans="1:1" x14ac:dyDescent="0.2">
      <c r="A282" s="68"/>
    </row>
    <row r="283" spans="1:1" x14ac:dyDescent="0.2">
      <c r="A283" s="68"/>
    </row>
    <row r="284" spans="1:1" x14ac:dyDescent="0.2">
      <c r="A284" s="68"/>
    </row>
    <row r="285" spans="1:1" x14ac:dyDescent="0.2">
      <c r="A285" s="68"/>
    </row>
    <row r="286" spans="1:1" x14ac:dyDescent="0.2">
      <c r="A286" s="68"/>
    </row>
    <row r="287" spans="1:1" x14ac:dyDescent="0.2">
      <c r="A287" s="68"/>
    </row>
    <row r="288" spans="1:1" x14ac:dyDescent="0.2">
      <c r="A288" s="68"/>
    </row>
    <row r="289" spans="1:1" x14ac:dyDescent="0.2">
      <c r="A289" s="68"/>
    </row>
    <row r="290" spans="1:1" x14ac:dyDescent="0.2">
      <c r="A290" s="68"/>
    </row>
    <row r="291" spans="1:1" x14ac:dyDescent="0.2">
      <c r="A291" s="68"/>
    </row>
    <row r="292" spans="1:1" x14ac:dyDescent="0.2">
      <c r="A292" s="68"/>
    </row>
    <row r="293" spans="1:1" x14ac:dyDescent="0.2">
      <c r="A293" s="68"/>
    </row>
    <row r="294" spans="1:1" x14ac:dyDescent="0.2">
      <c r="A294" s="68"/>
    </row>
    <row r="295" spans="1:1" x14ac:dyDescent="0.2">
      <c r="A295" s="68"/>
    </row>
    <row r="296" spans="1:1" x14ac:dyDescent="0.2">
      <c r="A296" s="68"/>
    </row>
    <row r="297" spans="1:1" x14ac:dyDescent="0.2">
      <c r="A297" s="68"/>
    </row>
    <row r="298" spans="1:1" x14ac:dyDescent="0.2">
      <c r="A298" s="68"/>
    </row>
    <row r="299" spans="1:1" x14ac:dyDescent="0.2">
      <c r="A299" s="68"/>
    </row>
    <row r="300" spans="1:1" x14ac:dyDescent="0.2">
      <c r="A300" s="68"/>
    </row>
    <row r="301" spans="1:1" x14ac:dyDescent="0.2">
      <c r="A301" s="68"/>
    </row>
    <row r="302" spans="1:1" x14ac:dyDescent="0.2">
      <c r="A302" s="68"/>
    </row>
    <row r="303" spans="1:1" x14ac:dyDescent="0.2">
      <c r="A303" s="68"/>
    </row>
    <row r="304" spans="1:1" x14ac:dyDescent="0.2">
      <c r="A304" s="68"/>
    </row>
    <row r="305" spans="1:1" x14ac:dyDescent="0.2">
      <c r="A305" s="68"/>
    </row>
    <row r="306" spans="1:1" x14ac:dyDescent="0.2">
      <c r="A306" s="68"/>
    </row>
    <row r="307" spans="1:1" x14ac:dyDescent="0.2">
      <c r="A307" s="68"/>
    </row>
    <row r="308" spans="1:1" x14ac:dyDescent="0.2">
      <c r="A308" s="68"/>
    </row>
    <row r="309" spans="1:1" x14ac:dyDescent="0.2">
      <c r="A309" s="68"/>
    </row>
    <row r="310" spans="1:1" x14ac:dyDescent="0.2">
      <c r="A310" s="68"/>
    </row>
    <row r="311" spans="1:1" x14ac:dyDescent="0.2">
      <c r="A311" s="68"/>
    </row>
    <row r="312" spans="1:1" x14ac:dyDescent="0.2">
      <c r="A312" s="68"/>
    </row>
    <row r="313" spans="1:1" x14ac:dyDescent="0.2">
      <c r="A313" s="68"/>
    </row>
    <row r="314" spans="1:1" x14ac:dyDescent="0.2">
      <c r="A314" s="68"/>
    </row>
    <row r="315" spans="1:1" x14ac:dyDescent="0.2">
      <c r="A315" s="68"/>
    </row>
    <row r="316" spans="1:1" x14ac:dyDescent="0.2">
      <c r="A316" s="68"/>
    </row>
    <row r="317" spans="1:1" x14ac:dyDescent="0.2">
      <c r="A317" s="68"/>
    </row>
    <row r="318" spans="1:1" x14ac:dyDescent="0.2">
      <c r="A318" s="68"/>
    </row>
    <row r="319" spans="1:1" x14ac:dyDescent="0.2">
      <c r="A319" s="68"/>
    </row>
    <row r="320" spans="1:1" x14ac:dyDescent="0.2">
      <c r="A320" s="68"/>
    </row>
    <row r="321" spans="1:1" x14ac:dyDescent="0.2">
      <c r="A321" s="68"/>
    </row>
    <row r="322" spans="1:1" x14ac:dyDescent="0.2">
      <c r="A322" s="68"/>
    </row>
    <row r="323" spans="1:1" x14ac:dyDescent="0.2">
      <c r="A323" s="68"/>
    </row>
    <row r="324" spans="1:1" x14ac:dyDescent="0.2">
      <c r="A324" s="68"/>
    </row>
    <row r="325" spans="1:1" x14ac:dyDescent="0.2">
      <c r="A325" s="68"/>
    </row>
    <row r="326" spans="1:1" x14ac:dyDescent="0.2">
      <c r="A326" s="68"/>
    </row>
    <row r="327" spans="1:1" x14ac:dyDescent="0.2">
      <c r="A327" s="68"/>
    </row>
    <row r="328" spans="1:1" x14ac:dyDescent="0.2">
      <c r="A328" s="68"/>
    </row>
    <row r="329" spans="1:1" x14ac:dyDescent="0.2">
      <c r="A329" s="68"/>
    </row>
    <row r="330" spans="1:1" x14ac:dyDescent="0.2">
      <c r="A330" s="68"/>
    </row>
    <row r="331" spans="1:1" x14ac:dyDescent="0.2">
      <c r="A331" s="68"/>
    </row>
    <row r="332" spans="1:1" x14ac:dyDescent="0.2">
      <c r="A332" s="68"/>
    </row>
    <row r="333" spans="1:1" x14ac:dyDescent="0.2">
      <c r="A333" s="68"/>
    </row>
    <row r="334" spans="1:1" x14ac:dyDescent="0.2">
      <c r="A334" s="68"/>
    </row>
    <row r="335" spans="1:1" x14ac:dyDescent="0.2">
      <c r="A335" s="68"/>
    </row>
    <row r="336" spans="1:1" x14ac:dyDescent="0.2">
      <c r="A336" s="68"/>
    </row>
    <row r="337" spans="1:1" x14ac:dyDescent="0.2">
      <c r="A337" s="68"/>
    </row>
    <row r="338" spans="1:1" x14ac:dyDescent="0.2">
      <c r="A338" s="68"/>
    </row>
    <row r="339" spans="1:1" x14ac:dyDescent="0.2">
      <c r="A339" s="68"/>
    </row>
    <row r="340" spans="1:1" x14ac:dyDescent="0.2">
      <c r="A340" s="68"/>
    </row>
    <row r="341" spans="1:1" x14ac:dyDescent="0.2">
      <c r="A341" s="68"/>
    </row>
    <row r="342" spans="1:1" x14ac:dyDescent="0.2">
      <c r="A342" s="68"/>
    </row>
    <row r="343" spans="1:1" x14ac:dyDescent="0.2">
      <c r="A343" s="68"/>
    </row>
    <row r="344" spans="1:1" x14ac:dyDescent="0.2">
      <c r="A344" s="68"/>
    </row>
    <row r="345" spans="1:1" x14ac:dyDescent="0.2">
      <c r="A345" s="68"/>
    </row>
    <row r="346" spans="1:1" x14ac:dyDescent="0.2">
      <c r="A346" s="68"/>
    </row>
    <row r="347" spans="1:1" x14ac:dyDescent="0.2">
      <c r="A347" s="68"/>
    </row>
    <row r="348" spans="1:1" x14ac:dyDescent="0.2">
      <c r="A348" s="68"/>
    </row>
    <row r="349" spans="1:1" x14ac:dyDescent="0.2">
      <c r="A349" s="68"/>
    </row>
    <row r="350" spans="1:1" x14ac:dyDescent="0.2">
      <c r="A350" s="68"/>
    </row>
    <row r="351" spans="1:1" x14ac:dyDescent="0.2">
      <c r="A351" s="68"/>
    </row>
    <row r="352" spans="1:1" x14ac:dyDescent="0.2">
      <c r="A352" s="68"/>
    </row>
    <row r="353" spans="1:1" x14ac:dyDescent="0.2">
      <c r="A353" s="68"/>
    </row>
    <row r="354" spans="1:1" x14ac:dyDescent="0.2">
      <c r="A354" s="68"/>
    </row>
    <row r="355" spans="1:1" x14ac:dyDescent="0.2">
      <c r="A355" s="68"/>
    </row>
    <row r="356" spans="1:1" x14ac:dyDescent="0.2">
      <c r="A356" s="68"/>
    </row>
    <row r="357" spans="1:1" x14ac:dyDescent="0.2">
      <c r="A357" s="68"/>
    </row>
    <row r="358" spans="1:1" x14ac:dyDescent="0.2">
      <c r="A358" s="68"/>
    </row>
    <row r="359" spans="1:1" x14ac:dyDescent="0.2">
      <c r="A359" s="68"/>
    </row>
    <row r="360" spans="1:1" x14ac:dyDescent="0.2">
      <c r="A360" s="68"/>
    </row>
    <row r="361" spans="1:1" x14ac:dyDescent="0.2">
      <c r="A361" s="68"/>
    </row>
    <row r="362" spans="1:1" x14ac:dyDescent="0.2">
      <c r="A362" s="68"/>
    </row>
    <row r="363" spans="1:1" x14ac:dyDescent="0.2">
      <c r="A363" s="68"/>
    </row>
    <row r="364" spans="1:1" x14ac:dyDescent="0.2">
      <c r="A364" s="68"/>
    </row>
    <row r="365" spans="1:1" x14ac:dyDescent="0.2">
      <c r="A365" s="68"/>
    </row>
    <row r="366" spans="1:1" x14ac:dyDescent="0.2">
      <c r="A366" s="68"/>
    </row>
    <row r="367" spans="1:1" x14ac:dyDescent="0.2">
      <c r="A367" s="68"/>
    </row>
    <row r="368" spans="1:1" x14ac:dyDescent="0.2">
      <c r="A368" s="68"/>
    </row>
    <row r="369" spans="1:1" x14ac:dyDescent="0.2">
      <c r="A369" s="68"/>
    </row>
    <row r="370" spans="1:1" x14ac:dyDescent="0.2">
      <c r="A370" s="68"/>
    </row>
    <row r="371" spans="1:1" x14ac:dyDescent="0.2">
      <c r="A371" s="68"/>
    </row>
    <row r="372" spans="1:1" x14ac:dyDescent="0.2">
      <c r="A372" s="68"/>
    </row>
    <row r="373" spans="1:1" x14ac:dyDescent="0.2">
      <c r="A373" s="68"/>
    </row>
    <row r="374" spans="1:1" x14ac:dyDescent="0.2">
      <c r="A374" s="68"/>
    </row>
    <row r="375" spans="1:1" x14ac:dyDescent="0.2">
      <c r="A375" s="68"/>
    </row>
    <row r="376" spans="1:1" x14ac:dyDescent="0.2">
      <c r="A376" s="68"/>
    </row>
    <row r="377" spans="1:1" x14ac:dyDescent="0.2">
      <c r="A377" s="68"/>
    </row>
    <row r="378" spans="1:1" x14ac:dyDescent="0.2">
      <c r="A378" s="68"/>
    </row>
    <row r="379" spans="1:1" x14ac:dyDescent="0.2">
      <c r="A379" s="68"/>
    </row>
    <row r="380" spans="1:1" x14ac:dyDescent="0.2">
      <c r="A380" s="68"/>
    </row>
    <row r="381" spans="1:1" x14ac:dyDescent="0.2">
      <c r="A381" s="68"/>
    </row>
    <row r="382" spans="1:1" x14ac:dyDescent="0.2">
      <c r="A382" s="68"/>
    </row>
    <row r="383" spans="1:1" x14ac:dyDescent="0.2">
      <c r="A383" s="68"/>
    </row>
    <row r="384" spans="1:1" x14ac:dyDescent="0.2">
      <c r="A384" s="68"/>
    </row>
    <row r="385" spans="1:1" x14ac:dyDescent="0.2">
      <c r="A385" s="68"/>
    </row>
    <row r="386" spans="1:1" x14ac:dyDescent="0.2">
      <c r="A386" s="68"/>
    </row>
    <row r="387" spans="1:1" x14ac:dyDescent="0.2">
      <c r="A387" s="68"/>
    </row>
    <row r="388" spans="1:1" x14ac:dyDescent="0.2">
      <c r="A388" s="68"/>
    </row>
    <row r="389" spans="1:1" x14ac:dyDescent="0.2">
      <c r="A389" s="68"/>
    </row>
    <row r="390" spans="1:1" x14ac:dyDescent="0.2">
      <c r="A390" s="68"/>
    </row>
    <row r="391" spans="1:1" x14ac:dyDescent="0.2">
      <c r="A391" s="68"/>
    </row>
    <row r="392" spans="1:1" x14ac:dyDescent="0.2">
      <c r="A392" s="68"/>
    </row>
    <row r="393" spans="1:1" x14ac:dyDescent="0.2">
      <c r="A393" s="68"/>
    </row>
    <row r="394" spans="1:1" x14ac:dyDescent="0.2">
      <c r="A394" s="68"/>
    </row>
    <row r="395" spans="1:1" x14ac:dyDescent="0.2">
      <c r="A395" s="68"/>
    </row>
    <row r="396" spans="1:1" x14ac:dyDescent="0.2">
      <c r="A396" s="68"/>
    </row>
    <row r="397" spans="1:1" x14ac:dyDescent="0.2">
      <c r="A397" s="68"/>
    </row>
    <row r="398" spans="1:1" x14ac:dyDescent="0.2">
      <c r="A398" s="68"/>
    </row>
    <row r="399" spans="1:1" x14ac:dyDescent="0.2">
      <c r="A399" s="68"/>
    </row>
    <row r="400" spans="1:1" x14ac:dyDescent="0.2">
      <c r="A400" s="68"/>
    </row>
    <row r="401" spans="1:1" x14ac:dyDescent="0.2">
      <c r="A401" s="68"/>
    </row>
    <row r="402" spans="1:1" x14ac:dyDescent="0.2">
      <c r="A402" s="68"/>
    </row>
    <row r="403" spans="1:1" x14ac:dyDescent="0.2">
      <c r="A403" s="68"/>
    </row>
    <row r="404" spans="1:1" x14ac:dyDescent="0.2">
      <c r="A404" s="68"/>
    </row>
    <row r="405" spans="1:1" x14ac:dyDescent="0.2">
      <c r="A405" s="68"/>
    </row>
    <row r="406" spans="1:1" x14ac:dyDescent="0.2">
      <c r="A406" s="68"/>
    </row>
    <row r="407" spans="1:1" x14ac:dyDescent="0.2">
      <c r="A407" s="68"/>
    </row>
    <row r="408" spans="1:1" x14ac:dyDescent="0.2">
      <c r="A408" s="68"/>
    </row>
    <row r="409" spans="1:1" x14ac:dyDescent="0.2">
      <c r="A409" s="68"/>
    </row>
    <row r="410" spans="1:1" x14ac:dyDescent="0.2">
      <c r="A410" s="68"/>
    </row>
    <row r="411" spans="1:1" x14ac:dyDescent="0.2">
      <c r="A411" s="68"/>
    </row>
    <row r="412" spans="1:1" x14ac:dyDescent="0.2">
      <c r="A412" s="68"/>
    </row>
    <row r="413" spans="1:1" x14ac:dyDescent="0.2">
      <c r="A413" s="68"/>
    </row>
    <row r="414" spans="1:1" x14ac:dyDescent="0.2">
      <c r="A414" s="68"/>
    </row>
    <row r="415" spans="1:1" x14ac:dyDescent="0.2">
      <c r="A415" s="68"/>
    </row>
    <row r="416" spans="1:1" x14ac:dyDescent="0.2">
      <c r="A416" s="68"/>
    </row>
    <row r="417" spans="1:1" x14ac:dyDescent="0.2">
      <c r="A417" s="68"/>
    </row>
    <row r="418" spans="1:1" x14ac:dyDescent="0.2">
      <c r="A418" s="68"/>
    </row>
    <row r="419" spans="1:1" x14ac:dyDescent="0.2">
      <c r="A419" s="68"/>
    </row>
    <row r="420" spans="1:1" x14ac:dyDescent="0.2">
      <c r="A420" s="68"/>
    </row>
    <row r="421" spans="1:1" x14ac:dyDescent="0.2">
      <c r="A421" s="68"/>
    </row>
    <row r="422" spans="1:1" x14ac:dyDescent="0.2">
      <c r="A422" s="68"/>
    </row>
    <row r="423" spans="1:1" x14ac:dyDescent="0.2">
      <c r="A423" s="68"/>
    </row>
    <row r="424" spans="1:1" x14ac:dyDescent="0.2">
      <c r="A424" s="68"/>
    </row>
    <row r="425" spans="1:1" x14ac:dyDescent="0.2">
      <c r="A425" s="68"/>
    </row>
    <row r="426" spans="1:1" x14ac:dyDescent="0.2">
      <c r="A426" s="68"/>
    </row>
    <row r="427" spans="1:1" x14ac:dyDescent="0.2">
      <c r="A427" s="68"/>
    </row>
    <row r="428" spans="1:1" x14ac:dyDescent="0.2">
      <c r="A428" s="68"/>
    </row>
    <row r="429" spans="1:1" x14ac:dyDescent="0.2">
      <c r="A429" s="68"/>
    </row>
    <row r="430" spans="1:1" x14ac:dyDescent="0.2">
      <c r="A430" s="68"/>
    </row>
    <row r="431" spans="1:1" x14ac:dyDescent="0.2">
      <c r="A431" s="68"/>
    </row>
    <row r="432" spans="1:1" x14ac:dyDescent="0.2">
      <c r="A432" s="68"/>
    </row>
    <row r="433" spans="1:1" x14ac:dyDescent="0.2">
      <c r="A433" s="68"/>
    </row>
    <row r="434" spans="1:1" x14ac:dyDescent="0.2">
      <c r="A434" s="68"/>
    </row>
    <row r="435" spans="1:1" x14ac:dyDescent="0.2">
      <c r="A435" s="68"/>
    </row>
    <row r="436" spans="1:1" x14ac:dyDescent="0.2">
      <c r="A436" s="68"/>
    </row>
    <row r="437" spans="1:1" x14ac:dyDescent="0.2">
      <c r="A437" s="68"/>
    </row>
    <row r="438" spans="1:1" x14ac:dyDescent="0.2">
      <c r="A438" s="68"/>
    </row>
    <row r="439" spans="1:1" x14ac:dyDescent="0.2">
      <c r="A439" s="68"/>
    </row>
    <row r="440" spans="1:1" x14ac:dyDescent="0.2">
      <c r="A440" s="68"/>
    </row>
    <row r="441" spans="1:1" x14ac:dyDescent="0.2">
      <c r="A441" s="68"/>
    </row>
    <row r="442" spans="1:1" x14ac:dyDescent="0.2">
      <c r="A442" s="68"/>
    </row>
    <row r="443" spans="1:1" x14ac:dyDescent="0.2">
      <c r="A443" s="68"/>
    </row>
    <row r="444" spans="1:1" x14ac:dyDescent="0.2">
      <c r="A444" s="68"/>
    </row>
    <row r="445" spans="1:1" x14ac:dyDescent="0.2">
      <c r="A445" s="68"/>
    </row>
    <row r="446" spans="1:1" x14ac:dyDescent="0.2">
      <c r="A446" s="68"/>
    </row>
    <row r="447" spans="1:1" x14ac:dyDescent="0.2">
      <c r="A447" s="68"/>
    </row>
    <row r="448" spans="1:1" x14ac:dyDescent="0.2">
      <c r="A448" s="68"/>
    </row>
    <row r="449" spans="1:1" x14ac:dyDescent="0.2">
      <c r="A449" s="68"/>
    </row>
    <row r="450" spans="1:1" x14ac:dyDescent="0.2">
      <c r="A450" s="68"/>
    </row>
    <row r="451" spans="1:1" x14ac:dyDescent="0.2">
      <c r="A451" s="68"/>
    </row>
    <row r="452" spans="1:1" x14ac:dyDescent="0.2">
      <c r="A452" s="68"/>
    </row>
    <row r="453" spans="1:1" x14ac:dyDescent="0.2">
      <c r="A453" s="68"/>
    </row>
    <row r="454" spans="1:1" x14ac:dyDescent="0.2">
      <c r="A454" s="68"/>
    </row>
    <row r="455" spans="1:1" x14ac:dyDescent="0.2">
      <c r="A455" s="68"/>
    </row>
    <row r="456" spans="1:1" x14ac:dyDescent="0.2">
      <c r="A456" s="68"/>
    </row>
    <row r="457" spans="1:1" x14ac:dyDescent="0.2">
      <c r="A457" s="68"/>
    </row>
    <row r="458" spans="1:1" x14ac:dyDescent="0.2">
      <c r="A458" s="68"/>
    </row>
    <row r="459" spans="1:1" x14ac:dyDescent="0.2">
      <c r="A459" s="68"/>
    </row>
    <row r="460" spans="1:1" x14ac:dyDescent="0.2">
      <c r="A460" s="68"/>
    </row>
    <row r="461" spans="1:1" x14ac:dyDescent="0.2">
      <c r="A461" s="68"/>
    </row>
    <row r="462" spans="1:1" x14ac:dyDescent="0.2">
      <c r="A462" s="68"/>
    </row>
    <row r="463" spans="1:1" x14ac:dyDescent="0.2">
      <c r="A463" s="68"/>
    </row>
    <row r="464" spans="1:1" x14ac:dyDescent="0.2">
      <c r="A464" s="68"/>
    </row>
    <row r="465" spans="1:1" x14ac:dyDescent="0.2">
      <c r="A465" s="68"/>
    </row>
    <row r="466" spans="1:1" x14ac:dyDescent="0.2">
      <c r="A466" s="68"/>
    </row>
    <row r="467" spans="1:1" x14ac:dyDescent="0.2">
      <c r="A467" s="68"/>
    </row>
    <row r="468" spans="1:1" x14ac:dyDescent="0.2">
      <c r="A468" s="68"/>
    </row>
    <row r="469" spans="1:1" x14ac:dyDescent="0.2">
      <c r="A469" s="68"/>
    </row>
    <row r="470" spans="1:1" x14ac:dyDescent="0.2">
      <c r="A470" s="68"/>
    </row>
    <row r="471" spans="1:1" x14ac:dyDescent="0.2">
      <c r="A471" s="68"/>
    </row>
    <row r="472" spans="1:1" x14ac:dyDescent="0.2">
      <c r="A472" s="68"/>
    </row>
    <row r="473" spans="1:1" x14ac:dyDescent="0.2">
      <c r="A473" s="68"/>
    </row>
    <row r="474" spans="1:1" x14ac:dyDescent="0.2">
      <c r="A474" s="68"/>
    </row>
    <row r="475" spans="1:1" x14ac:dyDescent="0.2">
      <c r="A475" s="68"/>
    </row>
    <row r="476" spans="1:1" x14ac:dyDescent="0.2">
      <c r="A476" s="68"/>
    </row>
    <row r="477" spans="1:1" x14ac:dyDescent="0.2">
      <c r="A477" s="68"/>
    </row>
    <row r="478" spans="1:1" x14ac:dyDescent="0.2">
      <c r="A478" s="68"/>
    </row>
    <row r="479" spans="1:1" x14ac:dyDescent="0.2">
      <c r="A479" s="68"/>
    </row>
    <row r="480" spans="1:1" x14ac:dyDescent="0.2">
      <c r="A480" s="68"/>
    </row>
    <row r="481" spans="1:1" x14ac:dyDescent="0.2">
      <c r="A481" s="68"/>
    </row>
    <row r="482" spans="1:1" x14ac:dyDescent="0.2">
      <c r="A482" s="68"/>
    </row>
    <row r="483" spans="1:1" x14ac:dyDescent="0.2">
      <c r="A483" s="68"/>
    </row>
    <row r="484" spans="1:1" x14ac:dyDescent="0.2">
      <c r="A484" s="68"/>
    </row>
    <row r="485" spans="1:1" x14ac:dyDescent="0.2">
      <c r="A485" s="68"/>
    </row>
    <row r="486" spans="1:1" x14ac:dyDescent="0.2">
      <c r="A486" s="68"/>
    </row>
    <row r="487" spans="1:1" x14ac:dyDescent="0.2">
      <c r="A487" s="68"/>
    </row>
    <row r="488" spans="1:1" x14ac:dyDescent="0.2">
      <c r="A488" s="68"/>
    </row>
    <row r="489" spans="1:1" x14ac:dyDescent="0.2">
      <c r="A489" s="68"/>
    </row>
    <row r="490" spans="1:1" x14ac:dyDescent="0.2">
      <c r="A490" s="68"/>
    </row>
    <row r="491" spans="1:1" x14ac:dyDescent="0.2">
      <c r="A491" s="68"/>
    </row>
    <row r="492" spans="1:1" x14ac:dyDescent="0.2">
      <c r="A492" s="68"/>
    </row>
    <row r="493" spans="1:1" x14ac:dyDescent="0.2">
      <c r="A493" s="68"/>
    </row>
    <row r="494" spans="1:1" x14ac:dyDescent="0.2">
      <c r="A494" s="68"/>
    </row>
    <row r="495" spans="1:1" x14ac:dyDescent="0.2">
      <c r="A495" s="68"/>
    </row>
    <row r="496" spans="1:1" x14ac:dyDescent="0.2">
      <c r="A496" s="68"/>
    </row>
    <row r="497" spans="1:1" x14ac:dyDescent="0.2">
      <c r="A497" s="68"/>
    </row>
    <row r="498" spans="1:1" x14ac:dyDescent="0.2">
      <c r="A498" s="68"/>
    </row>
    <row r="499" spans="1:1" x14ac:dyDescent="0.2">
      <c r="A499" s="68"/>
    </row>
    <row r="500" spans="1:1" x14ac:dyDescent="0.2">
      <c r="A500" s="68"/>
    </row>
    <row r="501" spans="1:1" x14ac:dyDescent="0.2">
      <c r="A501" s="68"/>
    </row>
    <row r="502" spans="1:1" x14ac:dyDescent="0.2">
      <c r="A502" s="68"/>
    </row>
    <row r="503" spans="1:1" x14ac:dyDescent="0.2">
      <c r="A503" s="68"/>
    </row>
    <row r="504" spans="1:1" x14ac:dyDescent="0.2">
      <c r="A504" s="68"/>
    </row>
    <row r="505" spans="1:1" x14ac:dyDescent="0.2">
      <c r="A505" s="68"/>
    </row>
    <row r="506" spans="1:1" x14ac:dyDescent="0.2">
      <c r="A506" s="68"/>
    </row>
    <row r="507" spans="1:1" x14ac:dyDescent="0.2">
      <c r="A507" s="68"/>
    </row>
    <row r="508" spans="1:1" x14ac:dyDescent="0.2">
      <c r="A508" s="68"/>
    </row>
    <row r="509" spans="1:1" x14ac:dyDescent="0.2">
      <c r="A509" s="68"/>
    </row>
    <row r="510" spans="1:1" x14ac:dyDescent="0.2">
      <c r="A510" s="68"/>
    </row>
    <row r="511" spans="1:1" x14ac:dyDescent="0.2">
      <c r="A511" s="68"/>
    </row>
    <row r="512" spans="1:1" x14ac:dyDescent="0.2">
      <c r="A512" s="68"/>
    </row>
    <row r="513" spans="1:1" x14ac:dyDescent="0.2">
      <c r="A513" s="68"/>
    </row>
    <row r="514" spans="1:1" x14ac:dyDescent="0.2">
      <c r="A514" s="68"/>
    </row>
    <row r="515" spans="1:1" x14ac:dyDescent="0.2">
      <c r="A515" s="68"/>
    </row>
    <row r="516" spans="1:1" x14ac:dyDescent="0.2">
      <c r="A516" s="68"/>
    </row>
    <row r="517" spans="1:1" x14ac:dyDescent="0.2">
      <c r="A517" s="68"/>
    </row>
    <row r="518" spans="1:1" x14ac:dyDescent="0.2">
      <c r="A518" s="68"/>
    </row>
    <row r="519" spans="1:1" x14ac:dyDescent="0.2">
      <c r="A519" s="68"/>
    </row>
    <row r="520" spans="1:1" x14ac:dyDescent="0.2">
      <c r="A520" s="68"/>
    </row>
    <row r="521" spans="1:1" x14ac:dyDescent="0.2">
      <c r="A521" s="68"/>
    </row>
    <row r="522" spans="1:1" x14ac:dyDescent="0.2">
      <c r="A522" s="68"/>
    </row>
    <row r="523" spans="1:1" x14ac:dyDescent="0.2">
      <c r="A523" s="68"/>
    </row>
    <row r="524" spans="1:1" x14ac:dyDescent="0.2">
      <c r="A524" s="68"/>
    </row>
    <row r="525" spans="1:1" x14ac:dyDescent="0.2">
      <c r="A525" s="68"/>
    </row>
    <row r="526" spans="1:1" x14ac:dyDescent="0.2">
      <c r="A526" s="68"/>
    </row>
    <row r="527" spans="1:1" x14ac:dyDescent="0.2">
      <c r="A527" s="68"/>
    </row>
    <row r="528" spans="1:1" x14ac:dyDescent="0.2">
      <c r="A528" s="68"/>
    </row>
    <row r="529" spans="1:1" x14ac:dyDescent="0.2">
      <c r="A529" s="68"/>
    </row>
    <row r="530" spans="1:1" x14ac:dyDescent="0.2">
      <c r="A530" s="68"/>
    </row>
    <row r="531" spans="1:1" x14ac:dyDescent="0.2">
      <c r="A531" s="68"/>
    </row>
    <row r="532" spans="1:1" x14ac:dyDescent="0.2">
      <c r="A532" s="68"/>
    </row>
    <row r="533" spans="1:1" x14ac:dyDescent="0.2">
      <c r="A533" s="68"/>
    </row>
    <row r="534" spans="1:1" x14ac:dyDescent="0.2">
      <c r="A534" s="68"/>
    </row>
    <row r="535" spans="1:1" x14ac:dyDescent="0.2">
      <c r="A535" s="68"/>
    </row>
    <row r="536" spans="1:1" x14ac:dyDescent="0.2">
      <c r="A536" s="68"/>
    </row>
    <row r="537" spans="1:1" x14ac:dyDescent="0.2">
      <c r="A537" s="68"/>
    </row>
    <row r="538" spans="1:1" x14ac:dyDescent="0.2">
      <c r="A538" s="68"/>
    </row>
    <row r="539" spans="1:1" x14ac:dyDescent="0.2">
      <c r="A539" s="68"/>
    </row>
    <row r="540" spans="1:1" x14ac:dyDescent="0.2">
      <c r="A540" s="68"/>
    </row>
    <row r="541" spans="1:1" x14ac:dyDescent="0.2">
      <c r="A541" s="68"/>
    </row>
    <row r="542" spans="1:1" x14ac:dyDescent="0.2">
      <c r="A542" s="68"/>
    </row>
    <row r="543" spans="1:1" x14ac:dyDescent="0.2">
      <c r="A543" s="68"/>
    </row>
    <row r="544" spans="1:1" x14ac:dyDescent="0.2">
      <c r="A544" s="68"/>
    </row>
    <row r="545" spans="1:1" x14ac:dyDescent="0.2">
      <c r="A545" s="68"/>
    </row>
    <row r="546" spans="1:1" x14ac:dyDescent="0.2">
      <c r="A546" s="68"/>
    </row>
    <row r="547" spans="1:1" x14ac:dyDescent="0.2">
      <c r="A547" s="68"/>
    </row>
    <row r="548" spans="1:1" x14ac:dyDescent="0.2">
      <c r="A548" s="68"/>
    </row>
    <row r="549" spans="1:1" x14ac:dyDescent="0.2">
      <c r="A549" s="68"/>
    </row>
    <row r="550" spans="1:1" x14ac:dyDescent="0.2">
      <c r="A550" s="68"/>
    </row>
    <row r="551" spans="1:1" x14ac:dyDescent="0.2">
      <c r="A551" s="68"/>
    </row>
    <row r="552" spans="1:1" x14ac:dyDescent="0.2">
      <c r="A552" s="68"/>
    </row>
    <row r="553" spans="1:1" x14ac:dyDescent="0.2">
      <c r="A553" s="68"/>
    </row>
    <row r="554" spans="1:1" x14ac:dyDescent="0.2">
      <c r="A554" s="68"/>
    </row>
    <row r="555" spans="1:1" x14ac:dyDescent="0.2">
      <c r="A555" s="68"/>
    </row>
    <row r="556" spans="1:1" x14ac:dyDescent="0.2">
      <c r="A556" s="68"/>
    </row>
    <row r="557" spans="1:1" x14ac:dyDescent="0.2">
      <c r="A557" s="68"/>
    </row>
    <row r="558" spans="1:1" x14ac:dyDescent="0.2">
      <c r="A558" s="68"/>
    </row>
    <row r="559" spans="1:1" x14ac:dyDescent="0.2">
      <c r="A559" s="68"/>
    </row>
    <row r="560" spans="1:1" x14ac:dyDescent="0.2">
      <c r="A560" s="68"/>
    </row>
    <row r="561" spans="1:1" x14ac:dyDescent="0.2">
      <c r="A561" s="68"/>
    </row>
    <row r="562" spans="1:1" x14ac:dyDescent="0.2">
      <c r="A562" s="68"/>
    </row>
    <row r="563" spans="1:1" x14ac:dyDescent="0.2">
      <c r="A563" s="68"/>
    </row>
    <row r="564" spans="1:1" x14ac:dyDescent="0.2">
      <c r="A564" s="68"/>
    </row>
    <row r="565" spans="1:1" x14ac:dyDescent="0.2">
      <c r="A565" s="68"/>
    </row>
    <row r="566" spans="1:1" x14ac:dyDescent="0.2">
      <c r="A566" s="68"/>
    </row>
    <row r="567" spans="1:1" x14ac:dyDescent="0.2">
      <c r="A567" s="68"/>
    </row>
    <row r="568" spans="1:1" x14ac:dyDescent="0.2">
      <c r="A568" s="68"/>
    </row>
    <row r="569" spans="1:1" x14ac:dyDescent="0.2">
      <c r="A569" s="68"/>
    </row>
    <row r="570" spans="1:1" x14ac:dyDescent="0.2">
      <c r="A570" s="68"/>
    </row>
    <row r="571" spans="1:1" x14ac:dyDescent="0.2">
      <c r="A571" s="68"/>
    </row>
    <row r="572" spans="1:1" x14ac:dyDescent="0.2">
      <c r="A572" s="68"/>
    </row>
    <row r="573" spans="1:1" x14ac:dyDescent="0.2">
      <c r="A573" s="68"/>
    </row>
    <row r="574" spans="1:1" x14ac:dyDescent="0.2">
      <c r="A574" s="68"/>
    </row>
    <row r="575" spans="1:1" x14ac:dyDescent="0.2">
      <c r="A575" s="68"/>
    </row>
    <row r="576" spans="1:1" x14ac:dyDescent="0.2">
      <c r="A576" s="68"/>
    </row>
    <row r="577" spans="1:1" x14ac:dyDescent="0.2">
      <c r="A577" s="68"/>
    </row>
    <row r="578" spans="1:1" x14ac:dyDescent="0.2">
      <c r="A578" s="68"/>
    </row>
    <row r="579" spans="1:1" x14ac:dyDescent="0.2">
      <c r="A579" s="68"/>
    </row>
    <row r="580" spans="1:1" x14ac:dyDescent="0.2">
      <c r="A580" s="68"/>
    </row>
    <row r="581" spans="1:1" x14ac:dyDescent="0.2">
      <c r="A581" s="68"/>
    </row>
    <row r="582" spans="1:1" x14ac:dyDescent="0.2">
      <c r="A582" s="68"/>
    </row>
    <row r="583" spans="1:1" x14ac:dyDescent="0.2">
      <c r="A583" s="68"/>
    </row>
    <row r="584" spans="1:1" x14ac:dyDescent="0.2">
      <c r="A584" s="68"/>
    </row>
    <row r="585" spans="1:1" x14ac:dyDescent="0.2">
      <c r="A585" s="68"/>
    </row>
    <row r="586" spans="1:1" x14ac:dyDescent="0.2">
      <c r="A586" s="68"/>
    </row>
    <row r="587" spans="1:1" x14ac:dyDescent="0.2">
      <c r="A587" s="68"/>
    </row>
    <row r="588" spans="1:1" x14ac:dyDescent="0.2">
      <c r="A588" s="68"/>
    </row>
    <row r="589" spans="1:1" x14ac:dyDescent="0.2">
      <c r="A589" s="68"/>
    </row>
    <row r="590" spans="1:1" x14ac:dyDescent="0.2">
      <c r="A590" s="68"/>
    </row>
    <row r="591" spans="1:1" x14ac:dyDescent="0.2">
      <c r="A591" s="68"/>
    </row>
    <row r="592" spans="1:1" x14ac:dyDescent="0.2">
      <c r="A592" s="68"/>
    </row>
    <row r="593" spans="1:1" x14ac:dyDescent="0.2">
      <c r="A593" s="68"/>
    </row>
    <row r="594" spans="1:1" x14ac:dyDescent="0.2">
      <c r="A594" s="68"/>
    </row>
    <row r="595" spans="1:1" x14ac:dyDescent="0.2">
      <c r="A595" s="68"/>
    </row>
    <row r="596" spans="1:1" x14ac:dyDescent="0.2">
      <c r="A596" s="68"/>
    </row>
    <row r="597" spans="1:1" x14ac:dyDescent="0.2">
      <c r="A597" s="68"/>
    </row>
    <row r="598" spans="1:1" x14ac:dyDescent="0.2">
      <c r="A598" s="68"/>
    </row>
    <row r="599" spans="1:1" x14ac:dyDescent="0.2">
      <c r="A599" s="68"/>
    </row>
    <row r="600" spans="1:1" x14ac:dyDescent="0.2">
      <c r="A600" s="68"/>
    </row>
    <row r="601" spans="1:1" x14ac:dyDescent="0.2">
      <c r="A601" s="68"/>
    </row>
    <row r="602" spans="1:1" x14ac:dyDescent="0.2">
      <c r="A602" s="68"/>
    </row>
    <row r="603" spans="1:1" x14ac:dyDescent="0.2">
      <c r="A603" s="68"/>
    </row>
    <row r="604" spans="1:1" x14ac:dyDescent="0.2">
      <c r="A604" s="68"/>
    </row>
    <row r="605" spans="1:1" x14ac:dyDescent="0.2">
      <c r="A605" s="68"/>
    </row>
    <row r="606" spans="1:1" x14ac:dyDescent="0.2">
      <c r="A606" s="68"/>
    </row>
    <row r="607" spans="1:1" x14ac:dyDescent="0.2">
      <c r="A607" s="68"/>
    </row>
    <row r="608" spans="1:1" x14ac:dyDescent="0.2">
      <c r="A608" s="68"/>
    </row>
    <row r="609" spans="1:1" x14ac:dyDescent="0.2">
      <c r="A609" s="68"/>
    </row>
    <row r="610" spans="1:1" x14ac:dyDescent="0.2">
      <c r="A610" s="68"/>
    </row>
    <row r="611" spans="1:1" x14ac:dyDescent="0.2">
      <c r="A611" s="68"/>
    </row>
    <row r="612" spans="1:1" x14ac:dyDescent="0.2">
      <c r="A612" s="68"/>
    </row>
    <row r="613" spans="1:1" x14ac:dyDescent="0.2">
      <c r="A613" s="68"/>
    </row>
    <row r="614" spans="1:1" x14ac:dyDescent="0.2">
      <c r="A614" s="68"/>
    </row>
    <row r="615" spans="1:1" x14ac:dyDescent="0.2">
      <c r="A615" s="68"/>
    </row>
    <row r="616" spans="1:1" x14ac:dyDescent="0.2">
      <c r="A616" s="68"/>
    </row>
    <row r="617" spans="1:1" x14ac:dyDescent="0.2">
      <c r="A617" s="68"/>
    </row>
    <row r="618" spans="1:1" x14ac:dyDescent="0.2">
      <c r="A618" s="68"/>
    </row>
    <row r="619" spans="1:1" x14ac:dyDescent="0.2">
      <c r="A619" s="68"/>
    </row>
    <row r="620" spans="1:1" x14ac:dyDescent="0.2">
      <c r="A620" s="68"/>
    </row>
    <row r="621" spans="1:1" x14ac:dyDescent="0.2">
      <c r="A621" s="68"/>
    </row>
    <row r="622" spans="1:1" x14ac:dyDescent="0.2">
      <c r="A622" s="68"/>
    </row>
    <row r="623" spans="1:1" x14ac:dyDescent="0.2">
      <c r="A623" s="68"/>
    </row>
    <row r="624" spans="1:1" x14ac:dyDescent="0.2">
      <c r="A624" s="68"/>
    </row>
    <row r="625" spans="1:1" x14ac:dyDescent="0.2">
      <c r="A625" s="68"/>
    </row>
    <row r="626" spans="1:1" x14ac:dyDescent="0.2">
      <c r="A626" s="68"/>
    </row>
    <row r="627" spans="1:1" x14ac:dyDescent="0.2">
      <c r="A627" s="68"/>
    </row>
    <row r="628" spans="1:1" x14ac:dyDescent="0.2">
      <c r="A628" s="68"/>
    </row>
    <row r="629" spans="1:1" x14ac:dyDescent="0.2">
      <c r="A629" s="68"/>
    </row>
    <row r="630" spans="1:1" x14ac:dyDescent="0.2">
      <c r="A630" s="68"/>
    </row>
    <row r="631" spans="1:1" x14ac:dyDescent="0.2">
      <c r="A631" s="68"/>
    </row>
    <row r="632" spans="1:1" x14ac:dyDescent="0.2">
      <c r="A632" s="68"/>
    </row>
    <row r="633" spans="1:1" x14ac:dyDescent="0.2">
      <c r="A633" s="68"/>
    </row>
    <row r="634" spans="1:1" x14ac:dyDescent="0.2">
      <c r="A634" s="68"/>
    </row>
    <row r="635" spans="1:1" x14ac:dyDescent="0.2">
      <c r="A635" s="68"/>
    </row>
    <row r="636" spans="1:1" x14ac:dyDescent="0.2">
      <c r="A636" s="68"/>
    </row>
    <row r="637" spans="1:1" x14ac:dyDescent="0.2">
      <c r="A637" s="68"/>
    </row>
    <row r="638" spans="1:1" x14ac:dyDescent="0.2">
      <c r="A638" s="68"/>
    </row>
    <row r="639" spans="1:1" x14ac:dyDescent="0.2">
      <c r="A639" s="68"/>
    </row>
    <row r="640" spans="1:1" x14ac:dyDescent="0.2">
      <c r="A640" s="68"/>
    </row>
    <row r="641" spans="1:1" x14ac:dyDescent="0.2">
      <c r="A641" s="68"/>
    </row>
    <row r="642" spans="1:1" x14ac:dyDescent="0.2">
      <c r="A642" s="68"/>
    </row>
    <row r="643" spans="1:1" x14ac:dyDescent="0.2">
      <c r="A643" s="68"/>
    </row>
    <row r="644" spans="1:1" x14ac:dyDescent="0.2">
      <c r="A644" s="68"/>
    </row>
    <row r="645" spans="1:1" x14ac:dyDescent="0.2">
      <c r="A645" s="68"/>
    </row>
    <row r="646" spans="1:1" x14ac:dyDescent="0.2">
      <c r="A646" s="68"/>
    </row>
    <row r="647" spans="1:1" x14ac:dyDescent="0.2">
      <c r="A647" s="68"/>
    </row>
    <row r="648" spans="1:1" x14ac:dyDescent="0.2">
      <c r="A648" s="68"/>
    </row>
    <row r="649" spans="1:1" x14ac:dyDescent="0.2">
      <c r="A649" s="68"/>
    </row>
    <row r="650" spans="1:1" x14ac:dyDescent="0.2">
      <c r="A650" s="68"/>
    </row>
    <row r="651" spans="1:1" x14ac:dyDescent="0.2">
      <c r="A651" s="68"/>
    </row>
    <row r="652" spans="1:1" x14ac:dyDescent="0.2">
      <c r="A652" s="68"/>
    </row>
    <row r="653" spans="1:1" x14ac:dyDescent="0.2">
      <c r="A653" s="68"/>
    </row>
    <row r="654" spans="1:1" x14ac:dyDescent="0.2">
      <c r="A654" s="68"/>
    </row>
    <row r="655" spans="1:1" x14ac:dyDescent="0.2">
      <c r="A655" s="68"/>
    </row>
    <row r="656" spans="1:1" x14ac:dyDescent="0.2">
      <c r="A656" s="68"/>
    </row>
    <row r="657" spans="1:1" x14ac:dyDescent="0.2">
      <c r="A657" s="68"/>
    </row>
    <row r="658" spans="1:1" x14ac:dyDescent="0.2">
      <c r="A658" s="68"/>
    </row>
    <row r="659" spans="1:1" x14ac:dyDescent="0.2">
      <c r="A659" s="68"/>
    </row>
    <row r="660" spans="1:1" x14ac:dyDescent="0.2">
      <c r="A660" s="68"/>
    </row>
    <row r="661" spans="1:1" x14ac:dyDescent="0.2">
      <c r="A661" s="68"/>
    </row>
    <row r="662" spans="1:1" x14ac:dyDescent="0.2">
      <c r="A662" s="68"/>
    </row>
    <row r="663" spans="1:1" x14ac:dyDescent="0.2">
      <c r="A663" s="68"/>
    </row>
    <row r="664" spans="1:1" x14ac:dyDescent="0.2">
      <c r="A664" s="68"/>
    </row>
    <row r="665" spans="1:1" x14ac:dyDescent="0.2">
      <c r="A665" s="68"/>
    </row>
    <row r="666" spans="1:1" x14ac:dyDescent="0.2">
      <c r="A666" s="68"/>
    </row>
    <row r="667" spans="1:1" x14ac:dyDescent="0.2">
      <c r="A667" s="68"/>
    </row>
    <row r="668" spans="1:1" x14ac:dyDescent="0.2">
      <c r="A668" s="68"/>
    </row>
    <row r="669" spans="1:1" x14ac:dyDescent="0.2">
      <c r="A669" s="68"/>
    </row>
    <row r="670" spans="1:1" x14ac:dyDescent="0.2">
      <c r="A670" s="68"/>
    </row>
    <row r="671" spans="1:1" x14ac:dyDescent="0.2">
      <c r="A671" s="68"/>
    </row>
    <row r="672" spans="1:1" x14ac:dyDescent="0.2">
      <c r="A672" s="68"/>
    </row>
    <row r="673" spans="1:1" x14ac:dyDescent="0.2">
      <c r="A673" s="68"/>
    </row>
    <row r="674" spans="1:1" x14ac:dyDescent="0.2">
      <c r="A674" s="68"/>
    </row>
    <row r="675" spans="1:1" x14ac:dyDescent="0.2">
      <c r="A675" s="68"/>
    </row>
    <row r="676" spans="1:1" x14ac:dyDescent="0.2">
      <c r="A676" s="68"/>
    </row>
    <row r="677" spans="1:1" x14ac:dyDescent="0.2">
      <c r="A677" s="68"/>
    </row>
    <row r="678" spans="1:1" x14ac:dyDescent="0.2">
      <c r="A678" s="68"/>
    </row>
    <row r="679" spans="1:1" x14ac:dyDescent="0.2">
      <c r="A679" s="68"/>
    </row>
    <row r="680" spans="1:1" x14ac:dyDescent="0.2">
      <c r="A680" s="68"/>
    </row>
    <row r="681" spans="1:1" x14ac:dyDescent="0.2">
      <c r="A681" s="68"/>
    </row>
    <row r="682" spans="1:1" x14ac:dyDescent="0.2">
      <c r="A682" s="68"/>
    </row>
    <row r="683" spans="1:1" x14ac:dyDescent="0.2">
      <c r="A683" s="68"/>
    </row>
    <row r="684" spans="1:1" x14ac:dyDescent="0.2">
      <c r="A684" s="68"/>
    </row>
    <row r="685" spans="1:1" x14ac:dyDescent="0.2">
      <c r="A685" s="68"/>
    </row>
    <row r="686" spans="1:1" x14ac:dyDescent="0.2">
      <c r="A686" s="68"/>
    </row>
    <row r="687" spans="1:1" x14ac:dyDescent="0.2">
      <c r="A687" s="68"/>
    </row>
    <row r="688" spans="1:1" x14ac:dyDescent="0.2">
      <c r="A688" s="68"/>
    </row>
    <row r="689" spans="1:1" x14ac:dyDescent="0.2">
      <c r="A689" s="68"/>
    </row>
    <row r="690" spans="1:1" x14ac:dyDescent="0.2">
      <c r="A690" s="68"/>
    </row>
    <row r="691" spans="1:1" x14ac:dyDescent="0.2">
      <c r="A691" s="68"/>
    </row>
    <row r="692" spans="1:1" x14ac:dyDescent="0.2">
      <c r="A692" s="68"/>
    </row>
    <row r="693" spans="1:1" x14ac:dyDescent="0.2">
      <c r="A693" s="68"/>
    </row>
    <row r="694" spans="1:1" x14ac:dyDescent="0.2">
      <c r="A694" s="68"/>
    </row>
    <row r="695" spans="1:1" x14ac:dyDescent="0.2">
      <c r="A695" s="68"/>
    </row>
    <row r="696" spans="1:1" x14ac:dyDescent="0.2">
      <c r="A696" s="68"/>
    </row>
    <row r="697" spans="1:1" x14ac:dyDescent="0.2">
      <c r="A697" s="68"/>
    </row>
    <row r="698" spans="1:1" x14ac:dyDescent="0.2">
      <c r="A698" s="68"/>
    </row>
    <row r="699" spans="1:1" x14ac:dyDescent="0.2">
      <c r="A699" s="68"/>
    </row>
    <row r="700" spans="1:1" x14ac:dyDescent="0.2">
      <c r="A700" s="68"/>
    </row>
    <row r="701" spans="1:1" x14ac:dyDescent="0.2">
      <c r="A701" s="68"/>
    </row>
    <row r="702" spans="1:1" x14ac:dyDescent="0.2">
      <c r="A702" s="68"/>
    </row>
    <row r="703" spans="1:1" x14ac:dyDescent="0.2">
      <c r="A703" s="68"/>
    </row>
    <row r="704" spans="1:1" x14ac:dyDescent="0.2">
      <c r="A704" s="68"/>
    </row>
    <row r="705" spans="1:1" x14ac:dyDescent="0.2">
      <c r="A705" s="68"/>
    </row>
    <row r="706" spans="1:1" x14ac:dyDescent="0.2">
      <c r="A706" s="68"/>
    </row>
    <row r="707" spans="1:1" x14ac:dyDescent="0.2">
      <c r="A707" s="68"/>
    </row>
    <row r="708" spans="1:1" x14ac:dyDescent="0.2">
      <c r="A708" s="68"/>
    </row>
    <row r="709" spans="1:1" x14ac:dyDescent="0.2">
      <c r="A709" s="68"/>
    </row>
    <row r="710" spans="1:1" x14ac:dyDescent="0.2">
      <c r="A710" s="68"/>
    </row>
    <row r="711" spans="1:1" x14ac:dyDescent="0.2">
      <c r="A711" s="68"/>
    </row>
    <row r="712" spans="1:1" x14ac:dyDescent="0.2">
      <c r="A712" s="68"/>
    </row>
    <row r="713" spans="1:1" x14ac:dyDescent="0.2">
      <c r="A713" s="68"/>
    </row>
    <row r="714" spans="1:1" x14ac:dyDescent="0.2">
      <c r="A714" s="68"/>
    </row>
    <row r="715" spans="1:1" x14ac:dyDescent="0.2">
      <c r="A715" s="68"/>
    </row>
    <row r="716" spans="1:1" x14ac:dyDescent="0.2">
      <c r="A716" s="68"/>
    </row>
    <row r="717" spans="1:1" x14ac:dyDescent="0.2">
      <c r="A717" s="68"/>
    </row>
    <row r="718" spans="1:1" x14ac:dyDescent="0.2">
      <c r="A718" s="68"/>
    </row>
    <row r="719" spans="1:1" x14ac:dyDescent="0.2">
      <c r="A719" s="68"/>
    </row>
    <row r="720" spans="1:1" x14ac:dyDescent="0.2">
      <c r="A720" s="68"/>
    </row>
    <row r="721" spans="1:1" x14ac:dyDescent="0.2">
      <c r="A721" s="68"/>
    </row>
    <row r="722" spans="1:1" x14ac:dyDescent="0.2">
      <c r="A722" s="68"/>
    </row>
    <row r="723" spans="1:1" x14ac:dyDescent="0.2">
      <c r="A723" s="68"/>
    </row>
    <row r="724" spans="1:1" x14ac:dyDescent="0.2">
      <c r="A724" s="68"/>
    </row>
    <row r="725" spans="1:1" x14ac:dyDescent="0.2">
      <c r="A725" s="68"/>
    </row>
    <row r="726" spans="1:1" x14ac:dyDescent="0.2">
      <c r="A726" s="68"/>
    </row>
    <row r="727" spans="1:1" x14ac:dyDescent="0.2">
      <c r="A727" s="68"/>
    </row>
    <row r="728" spans="1:1" x14ac:dyDescent="0.2">
      <c r="A728" s="68"/>
    </row>
    <row r="729" spans="1:1" x14ac:dyDescent="0.2">
      <c r="A729" s="68"/>
    </row>
    <row r="730" spans="1:1" x14ac:dyDescent="0.2">
      <c r="A730" s="68"/>
    </row>
    <row r="731" spans="1:1" x14ac:dyDescent="0.2">
      <c r="A731" s="68"/>
    </row>
    <row r="732" spans="1:1" x14ac:dyDescent="0.2">
      <c r="A732" s="68"/>
    </row>
    <row r="733" spans="1:1" x14ac:dyDescent="0.2">
      <c r="A733" s="68"/>
    </row>
    <row r="734" spans="1:1" x14ac:dyDescent="0.2">
      <c r="A734" s="68"/>
    </row>
    <row r="735" spans="1:1" x14ac:dyDescent="0.2">
      <c r="A735" s="68"/>
    </row>
    <row r="736" spans="1:1" x14ac:dyDescent="0.2">
      <c r="A736" s="68"/>
    </row>
    <row r="737" spans="1:1" x14ac:dyDescent="0.2">
      <c r="A737" s="68"/>
    </row>
    <row r="738" spans="1:1" x14ac:dyDescent="0.2">
      <c r="A738" s="68"/>
    </row>
    <row r="739" spans="1:1" x14ac:dyDescent="0.2">
      <c r="A739" s="68"/>
    </row>
    <row r="740" spans="1:1" x14ac:dyDescent="0.2">
      <c r="A740" s="68"/>
    </row>
    <row r="741" spans="1:1" x14ac:dyDescent="0.2">
      <c r="A741" s="68"/>
    </row>
    <row r="742" spans="1:1" x14ac:dyDescent="0.2">
      <c r="A742" s="68"/>
    </row>
    <row r="743" spans="1:1" x14ac:dyDescent="0.2">
      <c r="A743" s="68"/>
    </row>
    <row r="744" spans="1:1" x14ac:dyDescent="0.2">
      <c r="A744" s="68"/>
    </row>
    <row r="745" spans="1:1" x14ac:dyDescent="0.2">
      <c r="A745" s="68"/>
    </row>
    <row r="746" spans="1:1" x14ac:dyDescent="0.2">
      <c r="A746" s="68"/>
    </row>
    <row r="747" spans="1:1" x14ac:dyDescent="0.2">
      <c r="A747" s="68"/>
    </row>
    <row r="748" spans="1:1" x14ac:dyDescent="0.2">
      <c r="A748" s="68"/>
    </row>
    <row r="749" spans="1:1" x14ac:dyDescent="0.2">
      <c r="A749" s="68"/>
    </row>
    <row r="750" spans="1:1" x14ac:dyDescent="0.2">
      <c r="A750" s="68"/>
    </row>
    <row r="751" spans="1:1" x14ac:dyDescent="0.2">
      <c r="A751" s="68"/>
    </row>
    <row r="752" spans="1:1" x14ac:dyDescent="0.2">
      <c r="A752" s="68"/>
    </row>
    <row r="753" spans="1:1" x14ac:dyDescent="0.2">
      <c r="A753" s="68"/>
    </row>
    <row r="754" spans="1:1" x14ac:dyDescent="0.2">
      <c r="A754" s="68"/>
    </row>
    <row r="755" spans="1:1" x14ac:dyDescent="0.2">
      <c r="A755" s="68"/>
    </row>
    <row r="756" spans="1:1" x14ac:dyDescent="0.2">
      <c r="A756" s="68"/>
    </row>
    <row r="757" spans="1:1" x14ac:dyDescent="0.2">
      <c r="A757" s="68"/>
    </row>
    <row r="758" spans="1:1" x14ac:dyDescent="0.2">
      <c r="A758" s="68"/>
    </row>
    <row r="759" spans="1:1" x14ac:dyDescent="0.2">
      <c r="A759" s="68"/>
    </row>
    <row r="760" spans="1:1" x14ac:dyDescent="0.2">
      <c r="A760" s="68"/>
    </row>
    <row r="761" spans="1:1" x14ac:dyDescent="0.2">
      <c r="A761" s="68"/>
    </row>
    <row r="762" spans="1:1" x14ac:dyDescent="0.2">
      <c r="A762" s="68"/>
    </row>
    <row r="763" spans="1:1" x14ac:dyDescent="0.2">
      <c r="A763" s="68"/>
    </row>
    <row r="764" spans="1:1" x14ac:dyDescent="0.2">
      <c r="A764" s="68"/>
    </row>
    <row r="765" spans="1:1" x14ac:dyDescent="0.2">
      <c r="A765" s="68"/>
    </row>
    <row r="766" spans="1:1" x14ac:dyDescent="0.2">
      <c r="A766" s="68"/>
    </row>
    <row r="767" spans="1:1" x14ac:dyDescent="0.2">
      <c r="A767" s="68"/>
    </row>
    <row r="768" spans="1:1" x14ac:dyDescent="0.2">
      <c r="A768" s="68"/>
    </row>
    <row r="769" spans="1:1" x14ac:dyDescent="0.2">
      <c r="A769" s="68"/>
    </row>
    <row r="770" spans="1:1" x14ac:dyDescent="0.2">
      <c r="A770" s="68"/>
    </row>
    <row r="771" spans="1:1" x14ac:dyDescent="0.2">
      <c r="A771" s="68"/>
    </row>
    <row r="772" spans="1:1" x14ac:dyDescent="0.2">
      <c r="A772" s="68"/>
    </row>
    <row r="773" spans="1:1" x14ac:dyDescent="0.2">
      <c r="A773" s="68"/>
    </row>
    <row r="774" spans="1:1" x14ac:dyDescent="0.2">
      <c r="A774" s="68"/>
    </row>
    <row r="775" spans="1:1" x14ac:dyDescent="0.2">
      <c r="A775" s="68"/>
    </row>
    <row r="776" spans="1:1" x14ac:dyDescent="0.2">
      <c r="A776" s="68"/>
    </row>
    <row r="777" spans="1:1" x14ac:dyDescent="0.2">
      <c r="A777" s="68"/>
    </row>
    <row r="778" spans="1:1" x14ac:dyDescent="0.2">
      <c r="A778" s="68"/>
    </row>
    <row r="779" spans="1:1" x14ac:dyDescent="0.2">
      <c r="A779" s="68"/>
    </row>
    <row r="780" spans="1:1" x14ac:dyDescent="0.2">
      <c r="A780" s="68"/>
    </row>
    <row r="781" spans="1:1" x14ac:dyDescent="0.2">
      <c r="A781" s="68"/>
    </row>
    <row r="782" spans="1:1" x14ac:dyDescent="0.2">
      <c r="A782" s="68"/>
    </row>
    <row r="783" spans="1:1" x14ac:dyDescent="0.2">
      <c r="A783" s="68"/>
    </row>
    <row r="784" spans="1:1" x14ac:dyDescent="0.2">
      <c r="A784" s="68"/>
    </row>
    <row r="785" spans="1:1" x14ac:dyDescent="0.2">
      <c r="A785" s="68"/>
    </row>
    <row r="786" spans="1:1" x14ac:dyDescent="0.2">
      <c r="A786" s="68"/>
    </row>
    <row r="787" spans="1:1" x14ac:dyDescent="0.2">
      <c r="A787" s="68"/>
    </row>
    <row r="788" spans="1:1" x14ac:dyDescent="0.2">
      <c r="A788" s="68"/>
    </row>
    <row r="789" spans="1:1" x14ac:dyDescent="0.2">
      <c r="A789" s="68"/>
    </row>
    <row r="790" spans="1:1" x14ac:dyDescent="0.2">
      <c r="A790" s="68"/>
    </row>
    <row r="791" spans="1:1" x14ac:dyDescent="0.2">
      <c r="A791" s="68"/>
    </row>
    <row r="792" spans="1:1" x14ac:dyDescent="0.2">
      <c r="A792" s="68"/>
    </row>
    <row r="793" spans="1:1" x14ac:dyDescent="0.2">
      <c r="A793" s="68"/>
    </row>
    <row r="794" spans="1:1" x14ac:dyDescent="0.2">
      <c r="A794" s="68"/>
    </row>
    <row r="795" spans="1:1" x14ac:dyDescent="0.2">
      <c r="A795" s="68"/>
    </row>
    <row r="796" spans="1:1" x14ac:dyDescent="0.2">
      <c r="A796" s="68"/>
    </row>
    <row r="797" spans="1:1" x14ac:dyDescent="0.2">
      <c r="A797" s="68"/>
    </row>
    <row r="798" spans="1:1" x14ac:dyDescent="0.2">
      <c r="A798" s="68"/>
    </row>
    <row r="799" spans="1:1" x14ac:dyDescent="0.2">
      <c r="A799" s="68"/>
    </row>
    <row r="800" spans="1:1" x14ac:dyDescent="0.2">
      <c r="A800" s="68"/>
    </row>
    <row r="801" spans="1:1" x14ac:dyDescent="0.2">
      <c r="A801" s="68"/>
    </row>
    <row r="802" spans="1:1" x14ac:dyDescent="0.2">
      <c r="A802" s="68"/>
    </row>
    <row r="803" spans="1:1" x14ac:dyDescent="0.2">
      <c r="A803" s="68"/>
    </row>
    <row r="804" spans="1:1" x14ac:dyDescent="0.2">
      <c r="A804" s="68"/>
    </row>
    <row r="805" spans="1:1" x14ac:dyDescent="0.2">
      <c r="A805" s="68"/>
    </row>
    <row r="806" spans="1:1" x14ac:dyDescent="0.2">
      <c r="A806" s="68"/>
    </row>
    <row r="807" spans="1:1" x14ac:dyDescent="0.2">
      <c r="A807" s="68"/>
    </row>
    <row r="808" spans="1:1" x14ac:dyDescent="0.2">
      <c r="A808" s="68"/>
    </row>
    <row r="809" spans="1:1" x14ac:dyDescent="0.2">
      <c r="A809" s="68"/>
    </row>
    <row r="810" spans="1:1" x14ac:dyDescent="0.2">
      <c r="A810" s="68"/>
    </row>
    <row r="811" spans="1:1" x14ac:dyDescent="0.2">
      <c r="A811" s="68"/>
    </row>
    <row r="812" spans="1:1" x14ac:dyDescent="0.2">
      <c r="A812" s="68"/>
    </row>
    <row r="813" spans="1:1" x14ac:dyDescent="0.2">
      <c r="A813" s="68"/>
    </row>
    <row r="814" spans="1:1" x14ac:dyDescent="0.2">
      <c r="A814" s="68"/>
    </row>
    <row r="815" spans="1:1" x14ac:dyDescent="0.2">
      <c r="A815" s="68"/>
    </row>
    <row r="816" spans="1:1" x14ac:dyDescent="0.2">
      <c r="A816" s="68"/>
    </row>
    <row r="817" spans="1:1" x14ac:dyDescent="0.2">
      <c r="A817" s="68"/>
    </row>
    <row r="818" spans="1:1" x14ac:dyDescent="0.2">
      <c r="A818" s="68"/>
    </row>
    <row r="819" spans="1:1" x14ac:dyDescent="0.2">
      <c r="A819" s="68"/>
    </row>
    <row r="820" spans="1:1" x14ac:dyDescent="0.2">
      <c r="A820" s="68"/>
    </row>
    <row r="821" spans="1:1" x14ac:dyDescent="0.2">
      <c r="A821" s="68"/>
    </row>
    <row r="822" spans="1:1" x14ac:dyDescent="0.2">
      <c r="A822" s="68"/>
    </row>
    <row r="823" spans="1:1" x14ac:dyDescent="0.2">
      <c r="A823" s="68"/>
    </row>
    <row r="824" spans="1:1" x14ac:dyDescent="0.2">
      <c r="A824" s="68"/>
    </row>
    <row r="825" spans="1:1" x14ac:dyDescent="0.2">
      <c r="A825" s="68"/>
    </row>
    <row r="826" spans="1:1" x14ac:dyDescent="0.2">
      <c r="A826" s="68"/>
    </row>
    <row r="827" spans="1:1" x14ac:dyDescent="0.2">
      <c r="A827" s="68"/>
    </row>
    <row r="828" spans="1:1" x14ac:dyDescent="0.2">
      <c r="A828" s="68"/>
    </row>
    <row r="829" spans="1:1" x14ac:dyDescent="0.2">
      <c r="A829" s="68"/>
    </row>
    <row r="830" spans="1:1" x14ac:dyDescent="0.2">
      <c r="A830" s="68"/>
    </row>
    <row r="831" spans="1:1" x14ac:dyDescent="0.2">
      <c r="A831" s="68"/>
    </row>
    <row r="832" spans="1:1" x14ac:dyDescent="0.2">
      <c r="A832" s="68"/>
    </row>
    <row r="833" spans="1:1" x14ac:dyDescent="0.2">
      <c r="A833" s="68"/>
    </row>
    <row r="834" spans="1:1" x14ac:dyDescent="0.2">
      <c r="A834" s="68"/>
    </row>
    <row r="835" spans="1:1" x14ac:dyDescent="0.2">
      <c r="A835" s="68"/>
    </row>
    <row r="836" spans="1:1" x14ac:dyDescent="0.2">
      <c r="A836" s="68"/>
    </row>
    <row r="837" spans="1:1" x14ac:dyDescent="0.2">
      <c r="A837" s="68"/>
    </row>
    <row r="838" spans="1:1" x14ac:dyDescent="0.2">
      <c r="A838" s="68"/>
    </row>
    <row r="839" spans="1:1" x14ac:dyDescent="0.2">
      <c r="A839" s="68"/>
    </row>
    <row r="840" spans="1:1" x14ac:dyDescent="0.2">
      <c r="A840" s="68"/>
    </row>
    <row r="841" spans="1:1" x14ac:dyDescent="0.2">
      <c r="A841" s="68"/>
    </row>
    <row r="842" spans="1:1" x14ac:dyDescent="0.2">
      <c r="A842" s="68"/>
    </row>
    <row r="843" spans="1:1" x14ac:dyDescent="0.2">
      <c r="A843" s="68"/>
    </row>
    <row r="844" spans="1:1" x14ac:dyDescent="0.2">
      <c r="A844" s="68"/>
    </row>
    <row r="845" spans="1:1" x14ac:dyDescent="0.2">
      <c r="A845" s="68"/>
    </row>
    <row r="846" spans="1:1" x14ac:dyDescent="0.2">
      <c r="A846" s="68"/>
    </row>
    <row r="847" spans="1:1" x14ac:dyDescent="0.2">
      <c r="A847" s="68"/>
    </row>
    <row r="848" spans="1:1" x14ac:dyDescent="0.2">
      <c r="A848" s="68"/>
    </row>
    <row r="849" spans="1:1" x14ac:dyDescent="0.2">
      <c r="A849" s="68"/>
    </row>
    <row r="850" spans="1:1" x14ac:dyDescent="0.2">
      <c r="A850" s="68"/>
    </row>
    <row r="851" spans="1:1" x14ac:dyDescent="0.2">
      <c r="A851" s="68"/>
    </row>
    <row r="852" spans="1:1" x14ac:dyDescent="0.2">
      <c r="A852" s="68"/>
    </row>
    <row r="853" spans="1:1" x14ac:dyDescent="0.2">
      <c r="A853" s="68"/>
    </row>
    <row r="854" spans="1:1" x14ac:dyDescent="0.2">
      <c r="A854" s="68"/>
    </row>
    <row r="855" spans="1:1" x14ac:dyDescent="0.2">
      <c r="A855" s="68"/>
    </row>
    <row r="856" spans="1:1" x14ac:dyDescent="0.2">
      <c r="A856" s="68"/>
    </row>
    <row r="857" spans="1:1" x14ac:dyDescent="0.2">
      <c r="A857" s="68"/>
    </row>
    <row r="858" spans="1:1" x14ac:dyDescent="0.2">
      <c r="A858" s="68"/>
    </row>
    <row r="859" spans="1:1" x14ac:dyDescent="0.2">
      <c r="A859" s="68"/>
    </row>
    <row r="860" spans="1:1" x14ac:dyDescent="0.2">
      <c r="A860" s="68"/>
    </row>
    <row r="861" spans="1:1" x14ac:dyDescent="0.2">
      <c r="A861" s="68"/>
    </row>
    <row r="862" spans="1:1" x14ac:dyDescent="0.2">
      <c r="A862" s="68"/>
    </row>
    <row r="863" spans="1:1" x14ac:dyDescent="0.2">
      <c r="A863" s="68"/>
    </row>
    <row r="864" spans="1:1" x14ac:dyDescent="0.2">
      <c r="A864" s="68"/>
    </row>
    <row r="865" spans="1:1" x14ac:dyDescent="0.2">
      <c r="A865" s="68"/>
    </row>
    <row r="866" spans="1:1" x14ac:dyDescent="0.2">
      <c r="A866" s="68"/>
    </row>
    <row r="867" spans="1:1" x14ac:dyDescent="0.2">
      <c r="A867" s="68"/>
    </row>
    <row r="868" spans="1:1" x14ac:dyDescent="0.2">
      <c r="A868" s="68"/>
    </row>
    <row r="869" spans="1:1" x14ac:dyDescent="0.2">
      <c r="A869" s="68"/>
    </row>
    <row r="870" spans="1:1" x14ac:dyDescent="0.2">
      <c r="A870" s="68"/>
    </row>
    <row r="871" spans="1:1" x14ac:dyDescent="0.2">
      <c r="A871" s="68"/>
    </row>
    <row r="872" spans="1:1" x14ac:dyDescent="0.2">
      <c r="A872" s="68"/>
    </row>
    <row r="873" spans="1:1" x14ac:dyDescent="0.2">
      <c r="A873" s="68"/>
    </row>
    <row r="874" spans="1:1" x14ac:dyDescent="0.2">
      <c r="A874" s="68"/>
    </row>
    <row r="875" spans="1:1" x14ac:dyDescent="0.2">
      <c r="A875" s="68"/>
    </row>
    <row r="876" spans="1:1" x14ac:dyDescent="0.2">
      <c r="A876" s="68"/>
    </row>
    <row r="877" spans="1:1" x14ac:dyDescent="0.2">
      <c r="A877" s="68"/>
    </row>
    <row r="878" spans="1:1" x14ac:dyDescent="0.2">
      <c r="A878" s="68"/>
    </row>
    <row r="879" spans="1:1" x14ac:dyDescent="0.2">
      <c r="A879" s="68"/>
    </row>
    <row r="880" spans="1:1" x14ac:dyDescent="0.2">
      <c r="A880" s="68"/>
    </row>
    <row r="881" spans="1:1" x14ac:dyDescent="0.2">
      <c r="A881" s="68"/>
    </row>
    <row r="882" spans="1:1" x14ac:dyDescent="0.2">
      <c r="A882" s="68"/>
    </row>
    <row r="883" spans="1:1" x14ac:dyDescent="0.2">
      <c r="A883" s="68"/>
    </row>
    <row r="884" spans="1:1" x14ac:dyDescent="0.2">
      <c r="A884" s="68"/>
    </row>
    <row r="885" spans="1:1" x14ac:dyDescent="0.2">
      <c r="A885" s="68"/>
    </row>
    <row r="886" spans="1:1" x14ac:dyDescent="0.2">
      <c r="A886" s="68"/>
    </row>
    <row r="887" spans="1:1" x14ac:dyDescent="0.2">
      <c r="A887" s="68"/>
    </row>
    <row r="888" spans="1:1" x14ac:dyDescent="0.2">
      <c r="A888" s="68"/>
    </row>
    <row r="889" spans="1:1" x14ac:dyDescent="0.2">
      <c r="A889" s="68"/>
    </row>
    <row r="890" spans="1:1" x14ac:dyDescent="0.2">
      <c r="A890" s="68"/>
    </row>
    <row r="891" spans="1:1" x14ac:dyDescent="0.2">
      <c r="A891" s="68"/>
    </row>
    <row r="892" spans="1:1" x14ac:dyDescent="0.2">
      <c r="A892" s="68"/>
    </row>
    <row r="893" spans="1:1" x14ac:dyDescent="0.2">
      <c r="A893" s="68"/>
    </row>
    <row r="894" spans="1:1" x14ac:dyDescent="0.2">
      <c r="A894" s="68"/>
    </row>
    <row r="895" spans="1:1" x14ac:dyDescent="0.2">
      <c r="A895" s="68"/>
    </row>
    <row r="896" spans="1:1" x14ac:dyDescent="0.2">
      <c r="A896" s="68"/>
    </row>
    <row r="897" spans="1:1" x14ac:dyDescent="0.2">
      <c r="A897" s="68"/>
    </row>
    <row r="898" spans="1:1" x14ac:dyDescent="0.2">
      <c r="A898" s="68"/>
    </row>
    <row r="899" spans="1:1" x14ac:dyDescent="0.2">
      <c r="A899" s="68"/>
    </row>
    <row r="900" spans="1:1" x14ac:dyDescent="0.2">
      <c r="A900" s="68"/>
    </row>
    <row r="901" spans="1:1" x14ac:dyDescent="0.2">
      <c r="A901" s="68"/>
    </row>
    <row r="902" spans="1:1" x14ac:dyDescent="0.2">
      <c r="A902" s="68"/>
    </row>
    <row r="903" spans="1:1" x14ac:dyDescent="0.2">
      <c r="A903" s="68"/>
    </row>
    <row r="904" spans="1:1" x14ac:dyDescent="0.2">
      <c r="A904" s="68"/>
    </row>
    <row r="905" spans="1:1" x14ac:dyDescent="0.2">
      <c r="A905" s="68"/>
    </row>
    <row r="906" spans="1:1" x14ac:dyDescent="0.2">
      <c r="A906" s="68"/>
    </row>
    <row r="907" spans="1:1" x14ac:dyDescent="0.2">
      <c r="A907" s="68"/>
    </row>
    <row r="908" spans="1:1" x14ac:dyDescent="0.2">
      <c r="A908" s="68"/>
    </row>
    <row r="909" spans="1:1" x14ac:dyDescent="0.2">
      <c r="A909" s="68"/>
    </row>
    <row r="910" spans="1:1" x14ac:dyDescent="0.2">
      <c r="A910" s="68"/>
    </row>
    <row r="911" spans="1:1" x14ac:dyDescent="0.2">
      <c r="A911" s="68"/>
    </row>
    <row r="912" spans="1:1" x14ac:dyDescent="0.2">
      <c r="A912" s="68"/>
    </row>
    <row r="913" spans="1:1" x14ac:dyDescent="0.2">
      <c r="A913" s="68"/>
    </row>
    <row r="914" spans="1:1" x14ac:dyDescent="0.2">
      <c r="A914" s="68"/>
    </row>
    <row r="915" spans="1:1" x14ac:dyDescent="0.2">
      <c r="A915" s="68"/>
    </row>
    <row r="916" spans="1:1" x14ac:dyDescent="0.2">
      <c r="A916" s="68"/>
    </row>
    <row r="917" spans="1:1" x14ac:dyDescent="0.2">
      <c r="A917" s="68"/>
    </row>
    <row r="918" spans="1:1" x14ac:dyDescent="0.2">
      <c r="A918" s="68"/>
    </row>
    <row r="919" spans="1:1" x14ac:dyDescent="0.2">
      <c r="A919" s="68"/>
    </row>
    <row r="920" spans="1:1" x14ac:dyDescent="0.2">
      <c r="A920" s="68"/>
    </row>
    <row r="921" spans="1:1" x14ac:dyDescent="0.2">
      <c r="A921" s="68"/>
    </row>
    <row r="922" spans="1:1" x14ac:dyDescent="0.2">
      <c r="A922" s="68"/>
    </row>
    <row r="923" spans="1:1" x14ac:dyDescent="0.2">
      <c r="A923" s="68"/>
    </row>
    <row r="924" spans="1:1" x14ac:dyDescent="0.2">
      <c r="A924" s="68"/>
    </row>
    <row r="925" spans="1:1" x14ac:dyDescent="0.2">
      <c r="A925" s="68"/>
    </row>
    <row r="926" spans="1:1" x14ac:dyDescent="0.2">
      <c r="A926" s="68"/>
    </row>
    <row r="927" spans="1:1" x14ac:dyDescent="0.2">
      <c r="A927" s="68"/>
    </row>
    <row r="928" spans="1:1" x14ac:dyDescent="0.2">
      <c r="A928" s="68"/>
    </row>
    <row r="929" spans="1:1" x14ac:dyDescent="0.2">
      <c r="A929" s="68"/>
    </row>
    <row r="930" spans="1:1" x14ac:dyDescent="0.2">
      <c r="A930" s="68"/>
    </row>
    <row r="931" spans="1:1" x14ac:dyDescent="0.2">
      <c r="A931" s="68"/>
    </row>
    <row r="932" spans="1:1" x14ac:dyDescent="0.2">
      <c r="A932" s="68"/>
    </row>
    <row r="933" spans="1:1" x14ac:dyDescent="0.2">
      <c r="A933" s="68"/>
    </row>
    <row r="934" spans="1:1" x14ac:dyDescent="0.2">
      <c r="A934" s="68"/>
    </row>
    <row r="935" spans="1:1" x14ac:dyDescent="0.2">
      <c r="A935" s="68"/>
    </row>
    <row r="936" spans="1:1" x14ac:dyDescent="0.2">
      <c r="A936" s="68"/>
    </row>
    <row r="937" spans="1:1" x14ac:dyDescent="0.2">
      <c r="A937" s="68"/>
    </row>
    <row r="938" spans="1:1" x14ac:dyDescent="0.2">
      <c r="A938" s="68"/>
    </row>
    <row r="939" spans="1:1" x14ac:dyDescent="0.2">
      <c r="A939" s="68"/>
    </row>
    <row r="940" spans="1:1" x14ac:dyDescent="0.2">
      <c r="A940" s="68"/>
    </row>
    <row r="941" spans="1:1" x14ac:dyDescent="0.2">
      <c r="A941" s="68"/>
    </row>
    <row r="942" spans="1:1" x14ac:dyDescent="0.2">
      <c r="A942" s="68"/>
    </row>
    <row r="943" spans="1:1" x14ac:dyDescent="0.2">
      <c r="A943" s="68"/>
    </row>
    <row r="944" spans="1:1" x14ac:dyDescent="0.2">
      <c r="A944" s="68"/>
    </row>
    <row r="945" spans="1:1" x14ac:dyDescent="0.2">
      <c r="A945" s="68"/>
    </row>
    <row r="946" spans="1:1" x14ac:dyDescent="0.2">
      <c r="A946" s="68"/>
    </row>
    <row r="947" spans="1:1" x14ac:dyDescent="0.2">
      <c r="A947" s="68"/>
    </row>
    <row r="948" spans="1:1" x14ac:dyDescent="0.2">
      <c r="A948" s="68"/>
    </row>
    <row r="949" spans="1:1" x14ac:dyDescent="0.2">
      <c r="A949" s="68"/>
    </row>
    <row r="950" spans="1:1" x14ac:dyDescent="0.2">
      <c r="A950" s="68"/>
    </row>
    <row r="951" spans="1:1" x14ac:dyDescent="0.2">
      <c r="A951" s="68"/>
    </row>
    <row r="952" spans="1:1" x14ac:dyDescent="0.2">
      <c r="A952" s="68"/>
    </row>
    <row r="953" spans="1:1" x14ac:dyDescent="0.2">
      <c r="A953" s="68"/>
    </row>
    <row r="954" spans="1:1" x14ac:dyDescent="0.2">
      <c r="A954" s="68"/>
    </row>
    <row r="955" spans="1:1" x14ac:dyDescent="0.2">
      <c r="A955" s="68"/>
    </row>
    <row r="956" spans="1:1" x14ac:dyDescent="0.2">
      <c r="A956" s="68"/>
    </row>
    <row r="957" spans="1:1" x14ac:dyDescent="0.2">
      <c r="A957" s="68"/>
    </row>
    <row r="958" spans="1:1" x14ac:dyDescent="0.2">
      <c r="A958" s="68"/>
    </row>
    <row r="959" spans="1:1" x14ac:dyDescent="0.2">
      <c r="A959" s="68"/>
    </row>
    <row r="960" spans="1:1" x14ac:dyDescent="0.2">
      <c r="A960" s="68"/>
    </row>
    <row r="961" spans="1:1" x14ac:dyDescent="0.2">
      <c r="A961" s="68"/>
    </row>
    <row r="962" spans="1:1" x14ac:dyDescent="0.2">
      <c r="A962" s="68"/>
    </row>
    <row r="963" spans="1:1" x14ac:dyDescent="0.2">
      <c r="A963" s="68"/>
    </row>
    <row r="964" spans="1:1" x14ac:dyDescent="0.2">
      <c r="A964" s="68"/>
    </row>
    <row r="965" spans="1:1" x14ac:dyDescent="0.2">
      <c r="A965" s="68"/>
    </row>
    <row r="966" spans="1:1" x14ac:dyDescent="0.2">
      <c r="A966" s="68"/>
    </row>
    <row r="967" spans="1:1" x14ac:dyDescent="0.2">
      <c r="A967" s="68"/>
    </row>
    <row r="968" spans="1:1" x14ac:dyDescent="0.2">
      <c r="A968" s="68"/>
    </row>
    <row r="969" spans="1:1" x14ac:dyDescent="0.2">
      <c r="A969" s="68"/>
    </row>
    <row r="970" spans="1:1" x14ac:dyDescent="0.2">
      <c r="A970" s="68"/>
    </row>
    <row r="971" spans="1:1" x14ac:dyDescent="0.2">
      <c r="A971" s="68"/>
    </row>
    <row r="972" spans="1:1" x14ac:dyDescent="0.2">
      <c r="A972" s="68"/>
    </row>
    <row r="973" spans="1:1" x14ac:dyDescent="0.2">
      <c r="A973" s="68"/>
    </row>
    <row r="974" spans="1:1" x14ac:dyDescent="0.2">
      <c r="A974" s="68"/>
    </row>
    <row r="975" spans="1:1" x14ac:dyDescent="0.2">
      <c r="A975" s="68"/>
    </row>
    <row r="976" spans="1:1" x14ac:dyDescent="0.2">
      <c r="A976" s="68"/>
    </row>
    <row r="977" spans="1:1" x14ac:dyDescent="0.2">
      <c r="A977" s="68"/>
    </row>
    <row r="978" spans="1:1" x14ac:dyDescent="0.2">
      <c r="A978" s="68"/>
    </row>
    <row r="979" spans="1:1" x14ac:dyDescent="0.2">
      <c r="A979" s="68"/>
    </row>
    <row r="980" spans="1:1" x14ac:dyDescent="0.2">
      <c r="A980" s="68"/>
    </row>
    <row r="981" spans="1:1" x14ac:dyDescent="0.2">
      <c r="A981" s="68"/>
    </row>
    <row r="982" spans="1:1" x14ac:dyDescent="0.2">
      <c r="A982" s="68"/>
    </row>
    <row r="983" spans="1:1" x14ac:dyDescent="0.2">
      <c r="A983" s="68"/>
    </row>
    <row r="984" spans="1:1" x14ac:dyDescent="0.2">
      <c r="A984" s="68"/>
    </row>
    <row r="985" spans="1:1" x14ac:dyDescent="0.2">
      <c r="A985" s="68"/>
    </row>
    <row r="986" spans="1:1" x14ac:dyDescent="0.2">
      <c r="A986" s="68"/>
    </row>
    <row r="987" spans="1:1" x14ac:dyDescent="0.2">
      <c r="A987" s="68"/>
    </row>
    <row r="988" spans="1:1" x14ac:dyDescent="0.2">
      <c r="A988" s="68"/>
    </row>
    <row r="989" spans="1:1" x14ac:dyDescent="0.2">
      <c r="A989" s="68"/>
    </row>
    <row r="990" spans="1:1" x14ac:dyDescent="0.2">
      <c r="A990" s="68"/>
    </row>
    <row r="991" spans="1:1" x14ac:dyDescent="0.2">
      <c r="A991" s="68"/>
    </row>
    <row r="992" spans="1:1" x14ac:dyDescent="0.2">
      <c r="A992" s="68"/>
    </row>
    <row r="993" spans="1:1" x14ac:dyDescent="0.2">
      <c r="A993" s="68"/>
    </row>
    <row r="994" spans="1:1" x14ac:dyDescent="0.2">
      <c r="A994" s="68"/>
    </row>
    <row r="995" spans="1:1" x14ac:dyDescent="0.2">
      <c r="A995" s="68"/>
    </row>
    <row r="996" spans="1:1" x14ac:dyDescent="0.2">
      <c r="A996" s="68"/>
    </row>
    <row r="997" spans="1:1" x14ac:dyDescent="0.2">
      <c r="A997" s="68"/>
    </row>
    <row r="998" spans="1:1" x14ac:dyDescent="0.2">
      <c r="A998" s="68"/>
    </row>
    <row r="999" spans="1:1" x14ac:dyDescent="0.2">
      <c r="A999" s="68"/>
    </row>
    <row r="1000" spans="1:1" x14ac:dyDescent="0.2">
      <c r="A1000" s="68"/>
    </row>
    <row r="1001" spans="1:1" x14ac:dyDescent="0.2">
      <c r="A1001" s="68"/>
    </row>
    <row r="1002" spans="1:1" x14ac:dyDescent="0.2">
      <c r="A1002" s="68"/>
    </row>
    <row r="1003" spans="1:1" x14ac:dyDescent="0.2">
      <c r="A1003" s="68"/>
    </row>
    <row r="1004" spans="1:1" x14ac:dyDescent="0.2">
      <c r="A1004" s="68"/>
    </row>
    <row r="1005" spans="1:1" x14ac:dyDescent="0.2">
      <c r="A1005" s="68"/>
    </row>
    <row r="1006" spans="1:1" x14ac:dyDescent="0.2">
      <c r="A1006" s="68"/>
    </row>
    <row r="1007" spans="1:1" x14ac:dyDescent="0.2">
      <c r="A1007" s="68"/>
    </row>
    <row r="1008" spans="1:1" x14ac:dyDescent="0.2">
      <c r="A1008" s="68"/>
    </row>
    <row r="1009" spans="1:1" x14ac:dyDescent="0.2">
      <c r="A1009" s="68"/>
    </row>
    <row r="1010" spans="1:1" x14ac:dyDescent="0.2">
      <c r="A1010" s="68"/>
    </row>
    <row r="1011" spans="1:1" x14ac:dyDescent="0.2">
      <c r="A1011" s="68"/>
    </row>
    <row r="1012" spans="1:1" x14ac:dyDescent="0.2">
      <c r="A1012" s="68"/>
    </row>
    <row r="1013" spans="1:1" x14ac:dyDescent="0.2">
      <c r="A1013" s="68"/>
    </row>
    <row r="1014" spans="1:1" x14ac:dyDescent="0.2">
      <c r="A1014" s="68"/>
    </row>
    <row r="1015" spans="1:1" x14ac:dyDescent="0.2">
      <c r="A1015" s="68"/>
    </row>
    <row r="1016" spans="1:1" x14ac:dyDescent="0.2">
      <c r="A1016" s="68"/>
    </row>
    <row r="1017" spans="1:1" x14ac:dyDescent="0.2">
      <c r="A1017" s="68"/>
    </row>
    <row r="1018" spans="1:1" x14ac:dyDescent="0.2">
      <c r="A1018" s="68"/>
    </row>
    <row r="1019" spans="1:1" x14ac:dyDescent="0.2">
      <c r="A1019" s="68"/>
    </row>
    <row r="1020" spans="1:1" x14ac:dyDescent="0.2">
      <c r="A1020" s="68"/>
    </row>
    <row r="1021" spans="1:1" x14ac:dyDescent="0.2">
      <c r="A1021" s="68"/>
    </row>
    <row r="1022" spans="1:1" x14ac:dyDescent="0.2">
      <c r="A1022" s="68"/>
    </row>
    <row r="1023" spans="1:1" x14ac:dyDescent="0.2">
      <c r="A1023" s="68"/>
    </row>
    <row r="1024" spans="1:1" x14ac:dyDescent="0.2">
      <c r="A1024" s="68"/>
    </row>
    <row r="1025" spans="1:1" x14ac:dyDescent="0.2">
      <c r="A1025" s="68"/>
    </row>
    <row r="1026" spans="1:1" x14ac:dyDescent="0.2">
      <c r="A1026" s="68"/>
    </row>
    <row r="1027" spans="1:1" x14ac:dyDescent="0.2">
      <c r="A1027" s="68"/>
    </row>
    <row r="1028" spans="1:1" x14ac:dyDescent="0.2">
      <c r="A1028" s="68"/>
    </row>
    <row r="1029" spans="1:1" x14ac:dyDescent="0.2">
      <c r="A1029" s="68"/>
    </row>
    <row r="1030" spans="1:1" x14ac:dyDescent="0.2">
      <c r="A1030" s="68"/>
    </row>
    <row r="1031" spans="1:1" x14ac:dyDescent="0.2">
      <c r="A1031" s="68"/>
    </row>
    <row r="1032" spans="1:1" x14ac:dyDescent="0.2">
      <c r="A1032" s="68"/>
    </row>
    <row r="1033" spans="1:1" x14ac:dyDescent="0.2">
      <c r="A1033" s="68"/>
    </row>
    <row r="1034" spans="1:1" x14ac:dyDescent="0.2">
      <c r="A1034" s="68"/>
    </row>
    <row r="1035" spans="1:1" x14ac:dyDescent="0.2">
      <c r="A1035" s="68"/>
    </row>
    <row r="1036" spans="1:1" x14ac:dyDescent="0.2">
      <c r="A1036" s="68"/>
    </row>
    <row r="1037" spans="1:1" x14ac:dyDescent="0.2">
      <c r="A1037" s="68"/>
    </row>
    <row r="1038" spans="1:1" x14ac:dyDescent="0.2">
      <c r="A1038" s="68"/>
    </row>
    <row r="1039" spans="1:1" x14ac:dyDescent="0.2">
      <c r="A1039" s="68"/>
    </row>
    <row r="1040" spans="1:1" x14ac:dyDescent="0.2">
      <c r="A1040" s="68"/>
    </row>
    <row r="1041" spans="1:1" x14ac:dyDescent="0.2">
      <c r="A1041" s="68"/>
    </row>
    <row r="1042" spans="1:1" x14ac:dyDescent="0.2">
      <c r="A1042" s="68"/>
    </row>
    <row r="1043" spans="1:1" x14ac:dyDescent="0.2">
      <c r="A1043" s="68"/>
    </row>
    <row r="1044" spans="1:1" x14ac:dyDescent="0.2">
      <c r="A1044" s="68"/>
    </row>
    <row r="1045" spans="1:1" x14ac:dyDescent="0.2">
      <c r="A1045" s="68"/>
    </row>
    <row r="1046" spans="1:1" x14ac:dyDescent="0.2">
      <c r="A1046" s="68"/>
    </row>
    <row r="1047" spans="1:1" x14ac:dyDescent="0.2">
      <c r="A1047" s="68"/>
    </row>
    <row r="1048" spans="1:1" x14ac:dyDescent="0.2">
      <c r="A1048" s="68"/>
    </row>
    <row r="1049" spans="1:1" x14ac:dyDescent="0.2">
      <c r="A1049" s="68"/>
    </row>
    <row r="1050" spans="1:1" x14ac:dyDescent="0.2">
      <c r="A1050" s="68"/>
    </row>
    <row r="1051" spans="1:1" x14ac:dyDescent="0.2">
      <c r="A1051" s="68"/>
    </row>
    <row r="1052" spans="1:1" x14ac:dyDescent="0.2">
      <c r="A1052" s="68"/>
    </row>
    <row r="1053" spans="1:1" x14ac:dyDescent="0.2">
      <c r="A1053" s="68"/>
    </row>
    <row r="1054" spans="1:1" x14ac:dyDescent="0.2">
      <c r="A1054" s="68"/>
    </row>
    <row r="1055" spans="1:1" x14ac:dyDescent="0.2">
      <c r="A1055" s="68"/>
    </row>
    <row r="1056" spans="1:1" x14ac:dyDescent="0.2">
      <c r="A1056" s="68"/>
    </row>
    <row r="1057" spans="1:1" x14ac:dyDescent="0.2">
      <c r="A1057" s="68"/>
    </row>
    <row r="1058" spans="1:1" x14ac:dyDescent="0.2">
      <c r="A1058" s="68"/>
    </row>
    <row r="1059" spans="1:1" x14ac:dyDescent="0.2">
      <c r="A1059" s="68"/>
    </row>
    <row r="1060" spans="1:1" x14ac:dyDescent="0.2">
      <c r="A1060" s="68"/>
    </row>
    <row r="1061" spans="1:1" x14ac:dyDescent="0.2">
      <c r="A1061" s="68"/>
    </row>
    <row r="1062" spans="1:1" x14ac:dyDescent="0.2">
      <c r="A1062" s="68"/>
    </row>
    <row r="1063" spans="1:1" x14ac:dyDescent="0.2">
      <c r="A1063" s="68"/>
    </row>
    <row r="1064" spans="1:1" x14ac:dyDescent="0.2">
      <c r="A1064" s="68"/>
    </row>
    <row r="1065" spans="1:1" x14ac:dyDescent="0.2">
      <c r="A1065" s="68"/>
    </row>
    <row r="1066" spans="1:1" x14ac:dyDescent="0.2">
      <c r="A1066" s="68"/>
    </row>
    <row r="1067" spans="1:1" x14ac:dyDescent="0.2">
      <c r="A1067" s="68"/>
    </row>
    <row r="1068" spans="1:1" x14ac:dyDescent="0.2">
      <c r="A1068" s="68"/>
    </row>
    <row r="1069" spans="1:1" x14ac:dyDescent="0.2">
      <c r="A1069" s="68"/>
    </row>
    <row r="1070" spans="1:1" x14ac:dyDescent="0.2">
      <c r="A1070" s="68"/>
    </row>
    <row r="1071" spans="1:1" x14ac:dyDescent="0.2">
      <c r="A1071" s="68"/>
    </row>
    <row r="1072" spans="1:1" x14ac:dyDescent="0.2">
      <c r="A1072" s="68"/>
    </row>
    <row r="1073" spans="1:1" x14ac:dyDescent="0.2">
      <c r="A1073" s="68"/>
    </row>
    <row r="1074" spans="1:1" x14ac:dyDescent="0.2">
      <c r="A1074" s="68"/>
    </row>
    <row r="1075" spans="1:1" x14ac:dyDescent="0.2">
      <c r="A1075" s="68"/>
    </row>
    <row r="1076" spans="1:1" x14ac:dyDescent="0.2">
      <c r="A1076" s="68"/>
    </row>
    <row r="1077" spans="1:1" x14ac:dyDescent="0.2">
      <c r="A1077" s="68"/>
    </row>
    <row r="1078" spans="1:1" x14ac:dyDescent="0.2">
      <c r="A1078" s="68"/>
    </row>
    <row r="1079" spans="1:1" x14ac:dyDescent="0.2">
      <c r="A1079" s="68"/>
    </row>
    <row r="1080" spans="1:1" x14ac:dyDescent="0.2">
      <c r="A1080" s="68"/>
    </row>
    <row r="1081" spans="1:1" x14ac:dyDescent="0.2">
      <c r="A1081" s="68"/>
    </row>
    <row r="1082" spans="1:1" x14ac:dyDescent="0.2">
      <c r="A1082" s="68"/>
    </row>
    <row r="1083" spans="1:1" x14ac:dyDescent="0.2">
      <c r="A1083" s="68"/>
    </row>
    <row r="1084" spans="1:1" x14ac:dyDescent="0.2">
      <c r="A1084" s="68"/>
    </row>
    <row r="1085" spans="1:1" x14ac:dyDescent="0.2">
      <c r="A1085" s="68"/>
    </row>
    <row r="1086" spans="1:1" x14ac:dyDescent="0.2">
      <c r="A1086" s="68"/>
    </row>
    <row r="1087" spans="1:1" x14ac:dyDescent="0.2">
      <c r="A1087" s="68"/>
    </row>
    <row r="1088" spans="1:1" x14ac:dyDescent="0.2">
      <c r="A1088" s="68"/>
    </row>
    <row r="1089" spans="1:1" x14ac:dyDescent="0.2">
      <c r="A1089" s="68"/>
    </row>
    <row r="1090" spans="1:1" x14ac:dyDescent="0.2">
      <c r="A1090" s="68"/>
    </row>
    <row r="1091" spans="1:1" x14ac:dyDescent="0.2">
      <c r="A1091" s="68"/>
    </row>
    <row r="1092" spans="1:1" x14ac:dyDescent="0.2">
      <c r="A1092" s="68"/>
    </row>
    <row r="1093" spans="1:1" x14ac:dyDescent="0.2">
      <c r="A1093" s="68"/>
    </row>
    <row r="1094" spans="1:1" x14ac:dyDescent="0.2">
      <c r="A1094" s="68"/>
    </row>
    <row r="1095" spans="1:1" x14ac:dyDescent="0.2">
      <c r="A1095" s="68"/>
    </row>
    <row r="1096" spans="1:1" x14ac:dyDescent="0.2">
      <c r="A1096" s="68"/>
    </row>
    <row r="1097" spans="1:1" x14ac:dyDescent="0.2">
      <c r="A1097" s="68"/>
    </row>
    <row r="1098" spans="1:1" x14ac:dyDescent="0.2">
      <c r="A1098" s="68"/>
    </row>
    <row r="1099" spans="1:1" x14ac:dyDescent="0.2">
      <c r="A1099" s="68"/>
    </row>
    <row r="1100" spans="1:1" x14ac:dyDescent="0.2">
      <c r="A1100" s="68"/>
    </row>
    <row r="1101" spans="1:1" x14ac:dyDescent="0.2">
      <c r="A1101" s="68"/>
    </row>
    <row r="1102" spans="1:1" x14ac:dyDescent="0.2">
      <c r="A1102" s="68"/>
    </row>
    <row r="1103" spans="1:1" x14ac:dyDescent="0.2">
      <c r="A1103" s="68"/>
    </row>
    <row r="1104" spans="1:1" x14ac:dyDescent="0.2">
      <c r="A1104" s="68"/>
    </row>
    <row r="1105" spans="1:1" x14ac:dyDescent="0.2">
      <c r="A1105" s="68"/>
    </row>
    <row r="1106" spans="1:1" x14ac:dyDescent="0.2">
      <c r="A1106" s="68"/>
    </row>
    <row r="1107" spans="1:1" x14ac:dyDescent="0.2">
      <c r="A1107" s="68"/>
    </row>
    <row r="1108" spans="1:1" x14ac:dyDescent="0.2">
      <c r="A1108" s="68"/>
    </row>
    <row r="1109" spans="1:1" x14ac:dyDescent="0.2">
      <c r="A1109" s="68"/>
    </row>
    <row r="1110" spans="1:1" x14ac:dyDescent="0.2">
      <c r="A1110" s="68"/>
    </row>
    <row r="1111" spans="1:1" x14ac:dyDescent="0.2">
      <c r="A1111" s="68"/>
    </row>
    <row r="1112" spans="1:1" x14ac:dyDescent="0.2">
      <c r="A1112" s="68"/>
    </row>
    <row r="1113" spans="1:1" x14ac:dyDescent="0.2">
      <c r="A1113" s="68"/>
    </row>
    <row r="1114" spans="1:1" x14ac:dyDescent="0.2">
      <c r="A1114" s="68"/>
    </row>
    <row r="1115" spans="1:1" x14ac:dyDescent="0.2">
      <c r="A1115" s="68"/>
    </row>
    <row r="1116" spans="1:1" x14ac:dyDescent="0.2">
      <c r="A1116" s="68"/>
    </row>
    <row r="1117" spans="1:1" x14ac:dyDescent="0.2">
      <c r="A1117" s="68"/>
    </row>
    <row r="1118" spans="1:1" x14ac:dyDescent="0.2">
      <c r="A1118" s="68"/>
    </row>
    <row r="1119" spans="1:1" x14ac:dyDescent="0.2">
      <c r="A1119" s="68"/>
    </row>
    <row r="1120" spans="1:1" x14ac:dyDescent="0.2">
      <c r="A1120" s="68"/>
    </row>
    <row r="1121" spans="1:1" x14ac:dyDescent="0.2">
      <c r="A1121" s="68"/>
    </row>
    <row r="1122" spans="1:1" x14ac:dyDescent="0.2">
      <c r="A1122" s="68"/>
    </row>
    <row r="1123" spans="1:1" x14ac:dyDescent="0.2">
      <c r="A1123" s="68"/>
    </row>
    <row r="1124" spans="1:1" x14ac:dyDescent="0.2">
      <c r="A1124" s="68"/>
    </row>
    <row r="1125" spans="1:1" x14ac:dyDescent="0.2">
      <c r="A1125" s="68"/>
    </row>
    <row r="1126" spans="1:1" x14ac:dyDescent="0.2">
      <c r="A1126" s="68"/>
    </row>
    <row r="1127" spans="1:1" x14ac:dyDescent="0.2">
      <c r="A1127" s="68"/>
    </row>
    <row r="1128" spans="1:1" x14ac:dyDescent="0.2">
      <c r="A1128" s="68"/>
    </row>
    <row r="1129" spans="1:1" x14ac:dyDescent="0.2">
      <c r="A1129" s="68"/>
    </row>
    <row r="1130" spans="1:1" x14ac:dyDescent="0.2">
      <c r="A1130" s="68"/>
    </row>
    <row r="1131" spans="1:1" x14ac:dyDescent="0.2">
      <c r="A1131" s="68"/>
    </row>
    <row r="1132" spans="1:1" x14ac:dyDescent="0.2">
      <c r="A1132" s="68"/>
    </row>
    <row r="1133" spans="1:1" x14ac:dyDescent="0.2">
      <c r="A1133" s="68"/>
    </row>
    <row r="1134" spans="1:1" x14ac:dyDescent="0.2">
      <c r="A1134" s="68"/>
    </row>
    <row r="1135" spans="1:1" x14ac:dyDescent="0.2">
      <c r="A1135" s="68"/>
    </row>
    <row r="1136" spans="1:1" x14ac:dyDescent="0.2">
      <c r="A1136" s="68"/>
    </row>
    <row r="1137" spans="1:1" x14ac:dyDescent="0.2">
      <c r="A1137" s="68"/>
    </row>
    <row r="1138" spans="1:1" x14ac:dyDescent="0.2">
      <c r="A1138" s="68"/>
    </row>
    <row r="1139" spans="1:1" x14ac:dyDescent="0.2">
      <c r="A1139" s="68"/>
    </row>
    <row r="1140" spans="1:1" x14ac:dyDescent="0.2">
      <c r="A1140" s="68"/>
    </row>
    <row r="1141" spans="1:1" x14ac:dyDescent="0.2">
      <c r="A1141" s="68"/>
    </row>
    <row r="1142" spans="1:1" x14ac:dyDescent="0.2">
      <c r="A1142" s="68"/>
    </row>
    <row r="1143" spans="1:1" x14ac:dyDescent="0.2">
      <c r="A1143" s="68"/>
    </row>
    <row r="1144" spans="1:1" x14ac:dyDescent="0.2">
      <c r="A1144" s="68"/>
    </row>
    <row r="1145" spans="1:1" x14ac:dyDescent="0.2">
      <c r="A1145" s="68"/>
    </row>
    <row r="1146" spans="1:1" x14ac:dyDescent="0.2">
      <c r="A1146" s="68"/>
    </row>
    <row r="1147" spans="1:1" x14ac:dyDescent="0.2">
      <c r="A1147" s="68"/>
    </row>
    <row r="1148" spans="1:1" x14ac:dyDescent="0.2">
      <c r="A1148" s="68"/>
    </row>
    <row r="1149" spans="1:1" x14ac:dyDescent="0.2">
      <c r="A1149" s="68"/>
    </row>
    <row r="1150" spans="1:1" x14ac:dyDescent="0.2">
      <c r="A1150" s="68"/>
    </row>
    <row r="1151" spans="1:1" x14ac:dyDescent="0.2">
      <c r="A1151" s="68"/>
    </row>
    <row r="1152" spans="1:1" x14ac:dyDescent="0.2">
      <c r="A1152" s="68"/>
    </row>
    <row r="1153" spans="1:1" x14ac:dyDescent="0.2">
      <c r="A1153" s="68"/>
    </row>
    <row r="1154" spans="1:1" x14ac:dyDescent="0.2">
      <c r="A1154" s="68"/>
    </row>
    <row r="1155" spans="1:1" x14ac:dyDescent="0.2">
      <c r="A1155" s="68"/>
    </row>
    <row r="1156" spans="1:1" x14ac:dyDescent="0.2">
      <c r="A1156" s="68"/>
    </row>
    <row r="1157" spans="1:1" x14ac:dyDescent="0.2">
      <c r="A1157" s="68"/>
    </row>
    <row r="1158" spans="1:1" x14ac:dyDescent="0.2">
      <c r="A1158" s="68"/>
    </row>
    <row r="1159" spans="1:1" x14ac:dyDescent="0.2">
      <c r="A1159" s="68"/>
    </row>
    <row r="1160" spans="1:1" x14ac:dyDescent="0.2">
      <c r="A1160" s="68"/>
    </row>
    <row r="1161" spans="1:1" x14ac:dyDescent="0.2">
      <c r="A1161" s="68"/>
    </row>
    <row r="1162" spans="1:1" x14ac:dyDescent="0.2">
      <c r="A1162" s="68"/>
    </row>
    <row r="1163" spans="1:1" x14ac:dyDescent="0.2">
      <c r="A1163" s="68"/>
    </row>
    <row r="1164" spans="1:1" x14ac:dyDescent="0.2">
      <c r="A1164" s="68"/>
    </row>
    <row r="1165" spans="1:1" x14ac:dyDescent="0.2">
      <c r="A1165" s="68"/>
    </row>
    <row r="1166" spans="1:1" x14ac:dyDescent="0.2">
      <c r="A1166" s="68"/>
    </row>
    <row r="1167" spans="1:1" x14ac:dyDescent="0.2">
      <c r="A1167" s="68"/>
    </row>
    <row r="1168" spans="1:1" x14ac:dyDescent="0.2">
      <c r="A1168" s="68"/>
    </row>
    <row r="1169" spans="1:1" x14ac:dyDescent="0.2">
      <c r="A1169" s="68"/>
    </row>
    <row r="1170" spans="1:1" x14ac:dyDescent="0.2">
      <c r="A1170" s="68"/>
    </row>
    <row r="1171" spans="1:1" x14ac:dyDescent="0.2">
      <c r="A1171" s="68"/>
    </row>
    <row r="1172" spans="1:1" x14ac:dyDescent="0.2">
      <c r="A1172" s="68"/>
    </row>
    <row r="1173" spans="1:1" x14ac:dyDescent="0.2">
      <c r="A1173" s="68"/>
    </row>
    <row r="1174" spans="1:1" x14ac:dyDescent="0.2">
      <c r="A1174" s="68"/>
    </row>
    <row r="1175" spans="1:1" x14ac:dyDescent="0.2">
      <c r="A1175" s="68"/>
    </row>
    <row r="1176" spans="1:1" x14ac:dyDescent="0.2">
      <c r="A1176" s="68"/>
    </row>
    <row r="1177" spans="1:1" x14ac:dyDescent="0.2">
      <c r="A1177" s="68"/>
    </row>
    <row r="1178" spans="1:1" x14ac:dyDescent="0.2">
      <c r="A1178" s="68"/>
    </row>
    <row r="1179" spans="1:1" x14ac:dyDescent="0.2">
      <c r="A1179" s="68"/>
    </row>
    <row r="1180" spans="1:1" x14ac:dyDescent="0.2">
      <c r="A1180" s="68"/>
    </row>
    <row r="1181" spans="1:1" x14ac:dyDescent="0.2">
      <c r="A1181" s="68"/>
    </row>
    <row r="1182" spans="1:1" x14ac:dyDescent="0.2">
      <c r="A1182" s="68"/>
    </row>
    <row r="1183" spans="1:1" x14ac:dyDescent="0.2">
      <c r="A1183" s="68"/>
    </row>
    <row r="1184" spans="1:1" x14ac:dyDescent="0.2">
      <c r="A1184" s="68"/>
    </row>
    <row r="1185" spans="1:1" x14ac:dyDescent="0.2">
      <c r="A1185" s="68"/>
    </row>
    <row r="1186" spans="1:1" x14ac:dyDescent="0.2">
      <c r="A1186" s="68"/>
    </row>
    <row r="1187" spans="1:1" x14ac:dyDescent="0.2">
      <c r="A1187" s="68"/>
    </row>
    <row r="1188" spans="1:1" x14ac:dyDescent="0.2">
      <c r="A1188" s="68"/>
    </row>
    <row r="1189" spans="1:1" x14ac:dyDescent="0.2">
      <c r="A1189" s="68"/>
    </row>
    <row r="1190" spans="1:1" x14ac:dyDescent="0.2">
      <c r="A1190" s="68"/>
    </row>
    <row r="1191" spans="1:1" x14ac:dyDescent="0.2">
      <c r="A1191" s="68"/>
    </row>
    <row r="1192" spans="1:1" x14ac:dyDescent="0.2">
      <c r="A1192" s="68"/>
    </row>
    <row r="1193" spans="1:1" x14ac:dyDescent="0.2">
      <c r="A1193" s="68"/>
    </row>
    <row r="1194" spans="1:1" x14ac:dyDescent="0.2">
      <c r="A1194" s="68"/>
    </row>
    <row r="1195" spans="1:1" x14ac:dyDescent="0.2">
      <c r="A1195" s="68"/>
    </row>
    <row r="1196" spans="1:1" x14ac:dyDescent="0.2">
      <c r="A1196" s="68"/>
    </row>
    <row r="1197" spans="1:1" x14ac:dyDescent="0.2">
      <c r="A1197" s="68"/>
    </row>
    <row r="1198" spans="1:1" x14ac:dyDescent="0.2">
      <c r="A1198" s="68"/>
    </row>
    <row r="1199" spans="1:1" x14ac:dyDescent="0.2">
      <c r="A1199" s="68"/>
    </row>
    <row r="1200" spans="1:1" x14ac:dyDescent="0.2">
      <c r="A1200" s="68"/>
    </row>
    <row r="1201" spans="1:1" x14ac:dyDescent="0.2">
      <c r="A1201" s="68"/>
    </row>
    <row r="1202" spans="1:1" x14ac:dyDescent="0.2">
      <c r="A1202" s="68"/>
    </row>
    <row r="1203" spans="1:1" x14ac:dyDescent="0.2">
      <c r="A1203" s="68"/>
    </row>
    <row r="1204" spans="1:1" x14ac:dyDescent="0.2">
      <c r="A1204" s="68"/>
    </row>
    <row r="1205" spans="1:1" x14ac:dyDescent="0.2">
      <c r="A1205" s="68"/>
    </row>
    <row r="1206" spans="1:1" x14ac:dyDescent="0.2">
      <c r="A1206" s="68"/>
    </row>
    <row r="1207" spans="1:1" x14ac:dyDescent="0.2">
      <c r="A1207" s="68"/>
    </row>
    <row r="1208" spans="1:1" x14ac:dyDescent="0.2">
      <c r="A1208" s="68"/>
    </row>
    <row r="1209" spans="1:1" x14ac:dyDescent="0.2">
      <c r="A1209" s="68"/>
    </row>
    <row r="1210" spans="1:1" x14ac:dyDescent="0.2">
      <c r="A1210" s="68"/>
    </row>
    <row r="1211" spans="1:1" x14ac:dyDescent="0.2">
      <c r="A1211" s="68"/>
    </row>
    <row r="1212" spans="1:1" x14ac:dyDescent="0.2">
      <c r="A1212" s="68"/>
    </row>
    <row r="1213" spans="1:1" x14ac:dyDescent="0.2">
      <c r="A1213" s="68"/>
    </row>
    <row r="1214" spans="1:1" x14ac:dyDescent="0.2">
      <c r="A1214" s="68"/>
    </row>
    <row r="1215" spans="1:1" x14ac:dyDescent="0.2">
      <c r="A1215" s="68"/>
    </row>
    <row r="1216" spans="1:1" x14ac:dyDescent="0.2">
      <c r="A1216" s="68"/>
    </row>
    <row r="1217" spans="1:1" x14ac:dyDescent="0.2">
      <c r="A1217" s="68"/>
    </row>
    <row r="1218" spans="1:1" x14ac:dyDescent="0.2">
      <c r="A1218" s="68"/>
    </row>
    <row r="1219" spans="1:1" x14ac:dyDescent="0.2">
      <c r="A1219" s="68"/>
    </row>
    <row r="1220" spans="1:1" x14ac:dyDescent="0.2">
      <c r="A1220" s="68"/>
    </row>
    <row r="1221" spans="1:1" x14ac:dyDescent="0.2">
      <c r="A1221" s="68"/>
    </row>
    <row r="1222" spans="1:1" x14ac:dyDescent="0.2">
      <c r="A1222" s="68"/>
    </row>
    <row r="1223" spans="1:1" x14ac:dyDescent="0.2">
      <c r="A1223" s="68"/>
    </row>
    <row r="1224" spans="1:1" x14ac:dyDescent="0.2">
      <c r="A1224" s="68"/>
    </row>
    <row r="1225" spans="1:1" x14ac:dyDescent="0.2">
      <c r="A1225" s="68"/>
    </row>
    <row r="1226" spans="1:1" x14ac:dyDescent="0.2">
      <c r="A1226" s="68"/>
    </row>
    <row r="1227" spans="1:1" x14ac:dyDescent="0.2">
      <c r="A1227" s="68"/>
    </row>
    <row r="1228" spans="1:1" x14ac:dyDescent="0.2">
      <c r="A1228" s="68"/>
    </row>
    <row r="1229" spans="1:1" x14ac:dyDescent="0.2">
      <c r="A1229" s="68"/>
    </row>
    <row r="1230" spans="1:1" x14ac:dyDescent="0.2">
      <c r="A1230" s="68"/>
    </row>
    <row r="1231" spans="1:1" x14ac:dyDescent="0.2">
      <c r="A1231" s="68"/>
    </row>
    <row r="1232" spans="1:1" x14ac:dyDescent="0.2">
      <c r="A1232" s="68"/>
    </row>
    <row r="1233" spans="1:1" x14ac:dyDescent="0.2">
      <c r="A1233" s="68"/>
    </row>
    <row r="1234" spans="1:1" x14ac:dyDescent="0.2">
      <c r="A1234" s="68"/>
    </row>
    <row r="1235" spans="1:1" x14ac:dyDescent="0.2">
      <c r="A1235" s="68"/>
    </row>
    <row r="1236" spans="1:1" x14ac:dyDescent="0.2">
      <c r="A1236" s="68"/>
    </row>
    <row r="1237" spans="1:1" x14ac:dyDescent="0.2">
      <c r="A1237" s="68"/>
    </row>
    <row r="1238" spans="1:1" x14ac:dyDescent="0.2">
      <c r="A1238" s="68"/>
    </row>
    <row r="1239" spans="1:1" x14ac:dyDescent="0.2">
      <c r="A1239" s="68"/>
    </row>
    <row r="1240" spans="1:1" x14ac:dyDescent="0.2">
      <c r="A1240" s="68"/>
    </row>
    <row r="1241" spans="1:1" x14ac:dyDescent="0.2">
      <c r="A1241" s="68"/>
    </row>
    <row r="1242" spans="1:1" x14ac:dyDescent="0.2">
      <c r="A1242" s="68"/>
    </row>
    <row r="1243" spans="1:1" x14ac:dyDescent="0.2">
      <c r="A1243" s="68"/>
    </row>
    <row r="1244" spans="1:1" x14ac:dyDescent="0.2">
      <c r="A1244" s="68"/>
    </row>
    <row r="1245" spans="1:1" x14ac:dyDescent="0.2">
      <c r="A1245" s="68"/>
    </row>
    <row r="1246" spans="1:1" x14ac:dyDescent="0.2">
      <c r="A1246" s="68"/>
    </row>
    <row r="1247" spans="1:1" x14ac:dyDescent="0.2">
      <c r="A1247" s="68"/>
    </row>
    <row r="1248" spans="1:1" x14ac:dyDescent="0.2">
      <c r="A1248" s="68"/>
    </row>
    <row r="1249" spans="1:1" x14ac:dyDescent="0.2">
      <c r="A1249" s="68"/>
    </row>
    <row r="1250" spans="1:1" x14ac:dyDescent="0.2">
      <c r="A1250" s="68"/>
    </row>
    <row r="1251" spans="1:1" x14ac:dyDescent="0.2">
      <c r="A1251" s="68"/>
    </row>
    <row r="1252" spans="1:1" x14ac:dyDescent="0.2">
      <c r="A1252" s="68"/>
    </row>
    <row r="1253" spans="1:1" x14ac:dyDescent="0.2">
      <c r="A1253" s="68"/>
    </row>
    <row r="1254" spans="1:1" x14ac:dyDescent="0.2">
      <c r="A1254" s="68"/>
    </row>
    <row r="1255" spans="1:1" x14ac:dyDescent="0.2">
      <c r="A1255" s="68"/>
    </row>
    <row r="1256" spans="1:1" x14ac:dyDescent="0.2">
      <c r="A1256" s="68"/>
    </row>
    <row r="1257" spans="1:1" x14ac:dyDescent="0.2">
      <c r="A1257" s="68"/>
    </row>
    <row r="1258" spans="1:1" x14ac:dyDescent="0.2">
      <c r="A1258" s="68"/>
    </row>
    <row r="1259" spans="1:1" x14ac:dyDescent="0.2">
      <c r="A1259" s="68"/>
    </row>
    <row r="1260" spans="1:1" x14ac:dyDescent="0.2">
      <c r="A1260" s="68"/>
    </row>
    <row r="1261" spans="1:1" x14ac:dyDescent="0.2">
      <c r="A1261" s="68"/>
    </row>
    <row r="1262" spans="1:1" x14ac:dyDescent="0.2">
      <c r="A1262" s="68"/>
    </row>
    <row r="1263" spans="1:1" x14ac:dyDescent="0.2">
      <c r="A1263" s="68"/>
    </row>
    <row r="1264" spans="1:1" x14ac:dyDescent="0.2">
      <c r="A1264" s="68"/>
    </row>
    <row r="1265" spans="1:1" x14ac:dyDescent="0.2">
      <c r="A1265" s="68"/>
    </row>
    <row r="1266" spans="1:1" x14ac:dyDescent="0.2">
      <c r="A1266" s="68"/>
    </row>
    <row r="1267" spans="1:1" x14ac:dyDescent="0.2">
      <c r="A1267" s="68"/>
    </row>
    <row r="1268" spans="1:1" x14ac:dyDescent="0.2">
      <c r="A1268" s="68"/>
    </row>
    <row r="1269" spans="1:1" x14ac:dyDescent="0.2">
      <c r="A1269" s="68"/>
    </row>
    <row r="1270" spans="1:1" x14ac:dyDescent="0.2">
      <c r="A1270" s="68"/>
    </row>
    <row r="1271" spans="1:1" x14ac:dyDescent="0.2">
      <c r="A1271" s="68"/>
    </row>
    <row r="1272" spans="1:1" x14ac:dyDescent="0.2">
      <c r="A1272" s="68"/>
    </row>
    <row r="1273" spans="1:1" x14ac:dyDescent="0.2">
      <c r="A1273" s="68"/>
    </row>
    <row r="1274" spans="1:1" x14ac:dyDescent="0.2">
      <c r="A1274" s="68"/>
    </row>
    <row r="1275" spans="1:1" x14ac:dyDescent="0.2">
      <c r="A1275" s="68"/>
    </row>
    <row r="1276" spans="1:1" x14ac:dyDescent="0.2">
      <c r="A1276" s="68"/>
    </row>
    <row r="1277" spans="1:1" x14ac:dyDescent="0.2">
      <c r="A1277" s="68"/>
    </row>
    <row r="1278" spans="1:1" x14ac:dyDescent="0.2">
      <c r="A1278" s="68"/>
    </row>
    <row r="1279" spans="1:1" x14ac:dyDescent="0.2">
      <c r="A1279" s="68"/>
    </row>
    <row r="1280" spans="1:1" x14ac:dyDescent="0.2">
      <c r="A1280" s="68"/>
    </row>
    <row r="1281" spans="1:1" x14ac:dyDescent="0.2">
      <c r="A1281" s="68"/>
    </row>
    <row r="1282" spans="1:1" x14ac:dyDescent="0.2">
      <c r="A1282" s="68"/>
    </row>
    <row r="1283" spans="1:1" x14ac:dyDescent="0.2">
      <c r="A1283" s="68"/>
    </row>
    <row r="1284" spans="1:1" x14ac:dyDescent="0.2">
      <c r="A1284" s="68"/>
    </row>
    <row r="1285" spans="1:1" x14ac:dyDescent="0.2">
      <c r="A1285" s="68"/>
    </row>
    <row r="1286" spans="1:1" x14ac:dyDescent="0.2">
      <c r="A1286" s="68"/>
    </row>
    <row r="1287" spans="1:1" x14ac:dyDescent="0.2">
      <c r="A1287" s="68"/>
    </row>
    <row r="1288" spans="1:1" x14ac:dyDescent="0.2">
      <c r="A1288" s="68"/>
    </row>
    <row r="1289" spans="1:1" x14ac:dyDescent="0.2">
      <c r="A1289" s="68"/>
    </row>
    <row r="1290" spans="1:1" x14ac:dyDescent="0.2">
      <c r="A1290" s="68"/>
    </row>
    <row r="1291" spans="1:1" x14ac:dyDescent="0.2">
      <c r="A1291" s="68"/>
    </row>
    <row r="1292" spans="1:1" x14ac:dyDescent="0.2">
      <c r="A1292" s="68"/>
    </row>
    <row r="1293" spans="1:1" x14ac:dyDescent="0.2">
      <c r="A1293" s="68"/>
    </row>
    <row r="1294" spans="1:1" x14ac:dyDescent="0.2">
      <c r="A1294" s="68"/>
    </row>
    <row r="1295" spans="1:1" x14ac:dyDescent="0.2">
      <c r="A1295" s="68"/>
    </row>
    <row r="1296" spans="1:1" x14ac:dyDescent="0.2">
      <c r="A1296" s="68"/>
    </row>
    <row r="1297" spans="1:1" x14ac:dyDescent="0.2">
      <c r="A1297" s="68"/>
    </row>
    <row r="1298" spans="1:1" x14ac:dyDescent="0.2">
      <c r="A1298" s="68"/>
    </row>
    <row r="1299" spans="1:1" x14ac:dyDescent="0.2">
      <c r="A1299" s="68"/>
    </row>
    <row r="1300" spans="1:1" x14ac:dyDescent="0.2">
      <c r="A1300" s="68"/>
    </row>
    <row r="1301" spans="1:1" x14ac:dyDescent="0.2">
      <c r="A1301" s="68"/>
    </row>
    <row r="1302" spans="1:1" x14ac:dyDescent="0.2">
      <c r="A1302" s="68"/>
    </row>
    <row r="1303" spans="1:1" x14ac:dyDescent="0.2">
      <c r="A1303" s="68"/>
    </row>
    <row r="1304" spans="1:1" x14ac:dyDescent="0.2">
      <c r="A1304" s="68"/>
    </row>
    <row r="1305" spans="1:1" x14ac:dyDescent="0.2">
      <c r="A1305" s="68"/>
    </row>
    <row r="1306" spans="1:1" x14ac:dyDescent="0.2">
      <c r="A1306" s="68"/>
    </row>
    <row r="1307" spans="1:1" x14ac:dyDescent="0.2">
      <c r="A1307" s="68"/>
    </row>
    <row r="1308" spans="1:1" x14ac:dyDescent="0.2">
      <c r="A1308" s="68"/>
    </row>
    <row r="1309" spans="1:1" x14ac:dyDescent="0.2">
      <c r="A1309" s="68"/>
    </row>
    <row r="1310" spans="1:1" x14ac:dyDescent="0.2">
      <c r="A1310" s="68"/>
    </row>
    <row r="1311" spans="1:1" x14ac:dyDescent="0.2">
      <c r="A1311" s="68"/>
    </row>
    <row r="1312" spans="1:1" x14ac:dyDescent="0.2">
      <c r="A1312" s="68"/>
    </row>
    <row r="1313" spans="1:1" x14ac:dyDescent="0.2">
      <c r="A1313" s="68"/>
    </row>
    <row r="1314" spans="1:1" x14ac:dyDescent="0.2">
      <c r="A1314" s="68"/>
    </row>
    <row r="1315" spans="1:1" x14ac:dyDescent="0.2">
      <c r="A1315" s="68"/>
    </row>
    <row r="1316" spans="1:1" x14ac:dyDescent="0.2">
      <c r="A1316" s="68"/>
    </row>
    <row r="1317" spans="1:1" x14ac:dyDescent="0.2">
      <c r="A1317" s="68"/>
    </row>
    <row r="1318" spans="1:1" x14ac:dyDescent="0.2">
      <c r="A1318" s="68"/>
    </row>
    <row r="1319" spans="1:1" x14ac:dyDescent="0.2">
      <c r="A1319" s="68"/>
    </row>
    <row r="1320" spans="1:1" x14ac:dyDescent="0.2">
      <c r="A1320" s="68"/>
    </row>
    <row r="1321" spans="1:1" x14ac:dyDescent="0.2">
      <c r="A1321" s="68"/>
    </row>
    <row r="1322" spans="1:1" x14ac:dyDescent="0.2">
      <c r="A1322" s="68"/>
    </row>
    <row r="1323" spans="1:1" x14ac:dyDescent="0.2">
      <c r="A1323" s="68"/>
    </row>
    <row r="1324" spans="1:1" x14ac:dyDescent="0.2">
      <c r="A1324" s="68"/>
    </row>
    <row r="1325" spans="1:1" x14ac:dyDescent="0.2">
      <c r="A1325" s="68"/>
    </row>
    <row r="1326" spans="1:1" x14ac:dyDescent="0.2">
      <c r="A1326" s="68"/>
    </row>
    <row r="1327" spans="1:1" x14ac:dyDescent="0.2">
      <c r="A1327" s="68"/>
    </row>
    <row r="1328" spans="1:1" x14ac:dyDescent="0.2">
      <c r="A1328" s="68"/>
    </row>
    <row r="1329" spans="1:1" x14ac:dyDescent="0.2">
      <c r="A1329" s="68"/>
    </row>
    <row r="1330" spans="1:1" x14ac:dyDescent="0.2">
      <c r="A1330" s="68"/>
    </row>
    <row r="1331" spans="1:1" x14ac:dyDescent="0.2">
      <c r="A1331" s="68"/>
    </row>
    <row r="1332" spans="1:1" x14ac:dyDescent="0.2">
      <c r="A1332" s="68"/>
    </row>
    <row r="1333" spans="1:1" x14ac:dyDescent="0.2">
      <c r="A1333" s="68"/>
    </row>
    <row r="1334" spans="1:1" x14ac:dyDescent="0.2">
      <c r="A1334" s="68"/>
    </row>
    <row r="1335" spans="1:1" x14ac:dyDescent="0.2">
      <c r="A1335" s="68"/>
    </row>
    <row r="1336" spans="1:1" x14ac:dyDescent="0.2">
      <c r="A1336" s="68"/>
    </row>
    <row r="1337" spans="1:1" x14ac:dyDescent="0.2">
      <c r="A1337" s="68"/>
    </row>
    <row r="1338" spans="1:1" x14ac:dyDescent="0.2">
      <c r="A1338" s="68"/>
    </row>
    <row r="1339" spans="1:1" x14ac:dyDescent="0.2">
      <c r="A1339" s="68"/>
    </row>
    <row r="1340" spans="1:1" x14ac:dyDescent="0.2">
      <c r="A1340" s="68"/>
    </row>
    <row r="1341" spans="1:1" x14ac:dyDescent="0.2">
      <c r="A1341" s="68"/>
    </row>
    <row r="1342" spans="1:1" x14ac:dyDescent="0.2">
      <c r="A1342" s="68"/>
    </row>
    <row r="1343" spans="1:1" x14ac:dyDescent="0.2">
      <c r="A1343" s="68"/>
    </row>
    <row r="1344" spans="1:1" x14ac:dyDescent="0.2">
      <c r="A1344" s="68"/>
    </row>
    <row r="1345" spans="1:1" x14ac:dyDescent="0.2">
      <c r="A1345" s="68"/>
    </row>
    <row r="1346" spans="1:1" x14ac:dyDescent="0.2">
      <c r="A1346" s="68"/>
    </row>
    <row r="1347" spans="1:1" x14ac:dyDescent="0.2">
      <c r="A1347" s="68"/>
    </row>
    <row r="1348" spans="1:1" x14ac:dyDescent="0.2">
      <c r="A1348" s="68"/>
    </row>
    <row r="1349" spans="1:1" x14ac:dyDescent="0.2">
      <c r="A1349" s="68"/>
    </row>
    <row r="1350" spans="1:1" x14ac:dyDescent="0.2">
      <c r="A1350" s="68"/>
    </row>
    <row r="1351" spans="1:1" x14ac:dyDescent="0.2">
      <c r="A1351" s="68"/>
    </row>
    <row r="1352" spans="1:1" x14ac:dyDescent="0.2">
      <c r="A1352" s="68"/>
    </row>
    <row r="1353" spans="1:1" x14ac:dyDescent="0.2">
      <c r="A1353" s="68"/>
    </row>
    <row r="1354" spans="1:1" x14ac:dyDescent="0.2">
      <c r="A1354" s="68"/>
    </row>
    <row r="1355" spans="1:1" x14ac:dyDescent="0.2">
      <c r="A1355" s="68"/>
    </row>
    <row r="1356" spans="1:1" x14ac:dyDescent="0.2">
      <c r="A1356" s="68"/>
    </row>
    <row r="1357" spans="1:1" x14ac:dyDescent="0.2">
      <c r="A1357" s="68"/>
    </row>
    <row r="1358" spans="1:1" x14ac:dyDescent="0.2">
      <c r="A1358" s="68"/>
    </row>
    <row r="1359" spans="1:1" x14ac:dyDescent="0.2">
      <c r="A1359" s="68"/>
    </row>
    <row r="1360" spans="1:1" x14ac:dyDescent="0.2">
      <c r="A1360" s="68"/>
    </row>
    <row r="1361" spans="1:1" x14ac:dyDescent="0.2">
      <c r="A1361" s="68"/>
    </row>
    <row r="1362" spans="1:1" x14ac:dyDescent="0.2">
      <c r="A1362" s="68"/>
    </row>
    <row r="1363" spans="1:1" x14ac:dyDescent="0.2">
      <c r="A1363" s="68"/>
    </row>
    <row r="1364" spans="1:1" x14ac:dyDescent="0.2">
      <c r="A1364" s="68"/>
    </row>
    <row r="1365" spans="1:1" x14ac:dyDescent="0.2">
      <c r="A1365" s="68"/>
    </row>
    <row r="1366" spans="1:1" x14ac:dyDescent="0.2">
      <c r="A1366" s="68"/>
    </row>
    <row r="1367" spans="1:1" x14ac:dyDescent="0.2">
      <c r="A1367" s="68"/>
    </row>
    <row r="1368" spans="1:1" x14ac:dyDescent="0.2">
      <c r="A1368" s="68"/>
    </row>
    <row r="1369" spans="1:1" x14ac:dyDescent="0.2">
      <c r="A1369" s="68"/>
    </row>
    <row r="1370" spans="1:1" x14ac:dyDescent="0.2">
      <c r="A1370" s="68"/>
    </row>
    <row r="1371" spans="1:1" x14ac:dyDescent="0.2">
      <c r="A1371" s="68"/>
    </row>
    <row r="1372" spans="1:1" x14ac:dyDescent="0.2">
      <c r="A1372" s="68"/>
    </row>
    <row r="1373" spans="1:1" x14ac:dyDescent="0.2">
      <c r="A1373" s="68"/>
    </row>
    <row r="1374" spans="1:1" x14ac:dyDescent="0.2">
      <c r="A1374" s="68"/>
    </row>
    <row r="1375" spans="1:1" x14ac:dyDescent="0.2">
      <c r="A1375" s="68"/>
    </row>
    <row r="1376" spans="1:1" x14ac:dyDescent="0.2">
      <c r="A1376" s="68"/>
    </row>
    <row r="1377" spans="1:1" x14ac:dyDescent="0.2">
      <c r="A1377" s="68"/>
    </row>
    <row r="1378" spans="1:1" x14ac:dyDescent="0.2">
      <c r="A1378" s="68"/>
    </row>
    <row r="1379" spans="1:1" x14ac:dyDescent="0.2">
      <c r="A1379" s="68"/>
    </row>
    <row r="1380" spans="1:1" x14ac:dyDescent="0.2">
      <c r="A1380" s="68"/>
    </row>
    <row r="1381" spans="1:1" x14ac:dyDescent="0.2">
      <c r="A1381" s="68"/>
    </row>
    <row r="1382" spans="1:1" x14ac:dyDescent="0.2">
      <c r="A1382" s="68"/>
    </row>
    <row r="1383" spans="1:1" x14ac:dyDescent="0.2">
      <c r="A1383" s="68"/>
    </row>
    <row r="1384" spans="1:1" x14ac:dyDescent="0.2">
      <c r="A1384" s="68"/>
    </row>
    <row r="1385" spans="1:1" x14ac:dyDescent="0.2">
      <c r="A1385" s="68"/>
    </row>
    <row r="1386" spans="1:1" x14ac:dyDescent="0.2">
      <c r="A1386" s="68"/>
    </row>
    <row r="1387" spans="1:1" x14ac:dyDescent="0.2">
      <c r="A1387" s="68"/>
    </row>
    <row r="1388" spans="1:1" x14ac:dyDescent="0.2">
      <c r="A1388" s="68"/>
    </row>
    <row r="1389" spans="1:1" x14ac:dyDescent="0.2">
      <c r="A1389" s="68"/>
    </row>
    <row r="1390" spans="1:1" x14ac:dyDescent="0.2">
      <c r="A1390" s="68"/>
    </row>
    <row r="1391" spans="1:1" x14ac:dyDescent="0.2">
      <c r="A1391" s="68"/>
    </row>
    <row r="1392" spans="1:1" x14ac:dyDescent="0.2">
      <c r="A1392" s="68"/>
    </row>
    <row r="1393" spans="1:1" x14ac:dyDescent="0.2">
      <c r="A1393" s="68"/>
    </row>
    <row r="1394" spans="1:1" x14ac:dyDescent="0.2">
      <c r="A1394" s="68"/>
    </row>
    <row r="1395" spans="1:1" x14ac:dyDescent="0.2">
      <c r="A1395" s="68"/>
    </row>
    <row r="1396" spans="1:1" x14ac:dyDescent="0.2">
      <c r="A1396" s="68"/>
    </row>
    <row r="1397" spans="1:1" x14ac:dyDescent="0.2">
      <c r="A1397" s="68"/>
    </row>
    <row r="1398" spans="1:1" x14ac:dyDescent="0.2">
      <c r="A1398" s="68"/>
    </row>
    <row r="1399" spans="1:1" x14ac:dyDescent="0.2">
      <c r="A1399" s="68"/>
    </row>
    <row r="1400" spans="1:1" x14ac:dyDescent="0.2">
      <c r="A1400" s="68"/>
    </row>
    <row r="1401" spans="1:1" x14ac:dyDescent="0.2">
      <c r="A1401" s="68"/>
    </row>
    <row r="1402" spans="1:1" x14ac:dyDescent="0.2">
      <c r="A1402" s="68"/>
    </row>
    <row r="1403" spans="1:1" x14ac:dyDescent="0.2">
      <c r="A1403" s="68"/>
    </row>
    <row r="1404" spans="1:1" x14ac:dyDescent="0.2">
      <c r="A1404" s="68"/>
    </row>
    <row r="1405" spans="1:1" x14ac:dyDescent="0.2">
      <c r="A1405" s="68"/>
    </row>
    <row r="1406" spans="1:1" x14ac:dyDescent="0.2">
      <c r="A1406" s="68"/>
    </row>
    <row r="1407" spans="1:1" x14ac:dyDescent="0.2">
      <c r="A1407" s="68"/>
    </row>
    <row r="1408" spans="1:1" x14ac:dyDescent="0.2">
      <c r="A1408" s="68"/>
    </row>
    <row r="1409" spans="1:1" x14ac:dyDescent="0.2">
      <c r="A1409" s="68"/>
    </row>
    <row r="1410" spans="1:1" x14ac:dyDescent="0.2">
      <c r="A1410" s="68"/>
    </row>
    <row r="1411" spans="1:1" x14ac:dyDescent="0.2">
      <c r="A1411" s="68"/>
    </row>
    <row r="1412" spans="1:1" x14ac:dyDescent="0.2">
      <c r="A1412" s="68"/>
    </row>
    <row r="1413" spans="1:1" x14ac:dyDescent="0.2">
      <c r="A1413" s="68"/>
    </row>
    <row r="1414" spans="1:1" x14ac:dyDescent="0.2">
      <c r="A1414" s="68"/>
    </row>
    <row r="1415" spans="1:1" x14ac:dyDescent="0.2">
      <c r="A1415" s="68"/>
    </row>
    <row r="1416" spans="1:1" x14ac:dyDescent="0.2">
      <c r="A1416" s="68"/>
    </row>
    <row r="1417" spans="1:1" x14ac:dyDescent="0.2">
      <c r="A1417" s="68"/>
    </row>
    <row r="1418" spans="1:1" x14ac:dyDescent="0.2">
      <c r="A1418" s="68"/>
    </row>
    <row r="1419" spans="1:1" x14ac:dyDescent="0.2">
      <c r="A1419" s="68"/>
    </row>
    <row r="1420" spans="1:1" x14ac:dyDescent="0.2">
      <c r="A1420" s="68"/>
    </row>
    <row r="1421" spans="1:1" x14ac:dyDescent="0.2">
      <c r="A1421" s="68"/>
    </row>
    <row r="1422" spans="1:1" x14ac:dyDescent="0.2">
      <c r="A1422" s="68"/>
    </row>
    <row r="1423" spans="1:1" x14ac:dyDescent="0.2">
      <c r="A1423" s="68"/>
    </row>
    <row r="1424" spans="1:1" x14ac:dyDescent="0.2">
      <c r="A1424" s="68"/>
    </row>
    <row r="1425" spans="1:1" x14ac:dyDescent="0.2">
      <c r="A1425" s="68"/>
    </row>
    <row r="1426" spans="1:1" x14ac:dyDescent="0.2">
      <c r="A1426" s="68"/>
    </row>
    <row r="1427" spans="1:1" x14ac:dyDescent="0.2">
      <c r="A1427" s="68"/>
    </row>
    <row r="1428" spans="1:1" x14ac:dyDescent="0.2">
      <c r="A1428" s="68"/>
    </row>
    <row r="1429" spans="1:1" x14ac:dyDescent="0.2">
      <c r="A1429" s="68"/>
    </row>
    <row r="1430" spans="1:1" x14ac:dyDescent="0.2">
      <c r="A1430" s="68"/>
    </row>
    <row r="1431" spans="1:1" x14ac:dyDescent="0.2">
      <c r="A1431" s="68"/>
    </row>
    <row r="1432" spans="1:1" x14ac:dyDescent="0.2">
      <c r="A1432" s="68"/>
    </row>
    <row r="1433" spans="1:1" x14ac:dyDescent="0.2">
      <c r="A1433" s="68"/>
    </row>
    <row r="1434" spans="1:1" x14ac:dyDescent="0.2">
      <c r="A1434" s="68"/>
    </row>
    <row r="1435" spans="1:1" x14ac:dyDescent="0.2">
      <c r="A1435" s="68"/>
    </row>
    <row r="1436" spans="1:1" x14ac:dyDescent="0.2">
      <c r="A1436" s="68"/>
    </row>
    <row r="1437" spans="1:1" x14ac:dyDescent="0.2">
      <c r="A1437" s="68"/>
    </row>
    <row r="1438" spans="1:1" x14ac:dyDescent="0.2">
      <c r="A1438" s="68"/>
    </row>
    <row r="1439" spans="1:1" x14ac:dyDescent="0.2">
      <c r="A1439" s="68"/>
    </row>
    <row r="1440" spans="1:1" x14ac:dyDescent="0.2">
      <c r="A1440" s="68"/>
    </row>
    <row r="1441" spans="1:1" x14ac:dyDescent="0.2">
      <c r="A1441" s="68"/>
    </row>
    <row r="1442" spans="1:1" x14ac:dyDescent="0.2">
      <c r="A1442" s="68"/>
    </row>
    <row r="1443" spans="1:1" x14ac:dyDescent="0.2">
      <c r="A1443" s="68"/>
    </row>
    <row r="1444" spans="1:1" x14ac:dyDescent="0.2">
      <c r="A1444" s="68"/>
    </row>
    <row r="1445" spans="1:1" x14ac:dyDescent="0.2">
      <c r="A1445" s="68"/>
    </row>
    <row r="1446" spans="1:1" x14ac:dyDescent="0.2">
      <c r="A1446" s="68"/>
    </row>
    <row r="1447" spans="1:1" x14ac:dyDescent="0.2">
      <c r="A1447" s="68"/>
    </row>
    <row r="1448" spans="1:1" x14ac:dyDescent="0.2">
      <c r="A1448" s="68"/>
    </row>
    <row r="1449" spans="1:1" x14ac:dyDescent="0.2">
      <c r="A1449" s="68"/>
    </row>
    <row r="1450" spans="1:1" x14ac:dyDescent="0.2">
      <c r="A1450" s="68"/>
    </row>
    <row r="1451" spans="1:1" x14ac:dyDescent="0.2">
      <c r="A1451" s="68"/>
    </row>
    <row r="1452" spans="1:1" x14ac:dyDescent="0.2">
      <c r="A1452" s="68"/>
    </row>
    <row r="1453" spans="1:1" x14ac:dyDescent="0.2">
      <c r="A1453" s="68"/>
    </row>
    <row r="1454" spans="1:1" x14ac:dyDescent="0.2">
      <c r="A1454" s="68"/>
    </row>
    <row r="1455" spans="1:1" x14ac:dyDescent="0.2">
      <c r="A1455" s="68"/>
    </row>
    <row r="1456" spans="1:1" x14ac:dyDescent="0.2">
      <c r="A1456" s="68"/>
    </row>
    <row r="1457" spans="1:1" x14ac:dyDescent="0.2">
      <c r="A1457" s="68"/>
    </row>
    <row r="1458" spans="1:1" x14ac:dyDescent="0.2">
      <c r="A1458" s="68"/>
    </row>
    <row r="1459" spans="1:1" x14ac:dyDescent="0.2">
      <c r="A1459" s="68"/>
    </row>
    <row r="1460" spans="1:1" x14ac:dyDescent="0.2">
      <c r="A1460" s="68"/>
    </row>
    <row r="1461" spans="1:1" x14ac:dyDescent="0.2">
      <c r="A1461" s="68"/>
    </row>
    <row r="1462" spans="1:1" x14ac:dyDescent="0.2">
      <c r="A1462" s="68"/>
    </row>
    <row r="1463" spans="1:1" x14ac:dyDescent="0.2">
      <c r="A1463" s="68"/>
    </row>
    <row r="1464" spans="1:1" x14ac:dyDescent="0.2">
      <c r="A1464" s="68"/>
    </row>
    <row r="1465" spans="1:1" x14ac:dyDescent="0.2">
      <c r="A1465" s="68"/>
    </row>
    <row r="1466" spans="1:1" x14ac:dyDescent="0.2">
      <c r="A1466" s="68"/>
    </row>
    <row r="1467" spans="1:1" x14ac:dyDescent="0.2">
      <c r="A1467" s="68"/>
    </row>
    <row r="1468" spans="1:1" x14ac:dyDescent="0.2">
      <c r="A1468" s="68"/>
    </row>
    <row r="1469" spans="1:1" x14ac:dyDescent="0.2">
      <c r="A1469" s="68"/>
    </row>
    <row r="1470" spans="1:1" x14ac:dyDescent="0.2">
      <c r="A1470" s="68"/>
    </row>
    <row r="1471" spans="1:1" x14ac:dyDescent="0.2">
      <c r="A1471" s="68"/>
    </row>
    <row r="1472" spans="1:1" x14ac:dyDescent="0.2">
      <c r="A1472" s="68"/>
    </row>
    <row r="1473" spans="1:1" x14ac:dyDescent="0.2">
      <c r="A1473" s="68"/>
    </row>
    <row r="1474" spans="1:1" x14ac:dyDescent="0.2">
      <c r="A1474" s="68"/>
    </row>
    <row r="1475" spans="1:1" x14ac:dyDescent="0.2">
      <c r="A1475" s="68"/>
    </row>
    <row r="1476" spans="1:1" x14ac:dyDescent="0.2">
      <c r="A1476" s="68"/>
    </row>
    <row r="1477" spans="1:1" x14ac:dyDescent="0.2">
      <c r="A1477" s="68"/>
    </row>
    <row r="1478" spans="1:1" x14ac:dyDescent="0.2">
      <c r="A1478" s="68"/>
    </row>
    <row r="1479" spans="1:1" x14ac:dyDescent="0.2">
      <c r="A1479" s="68"/>
    </row>
    <row r="1480" spans="1:1" x14ac:dyDescent="0.2">
      <c r="A1480" s="68"/>
    </row>
    <row r="1481" spans="1:1" x14ac:dyDescent="0.2">
      <c r="A1481" s="68"/>
    </row>
    <row r="1482" spans="1:1" x14ac:dyDescent="0.2">
      <c r="A1482" s="68"/>
    </row>
    <row r="1483" spans="1:1" x14ac:dyDescent="0.2">
      <c r="A1483" s="68"/>
    </row>
    <row r="1484" spans="1:1" x14ac:dyDescent="0.2">
      <c r="A1484" s="68"/>
    </row>
    <row r="1485" spans="1:1" x14ac:dyDescent="0.2">
      <c r="A1485" s="68"/>
    </row>
    <row r="1486" spans="1:1" x14ac:dyDescent="0.2">
      <c r="A1486" s="68"/>
    </row>
    <row r="1487" spans="1:1" x14ac:dyDescent="0.2">
      <c r="A1487" s="68"/>
    </row>
    <row r="1488" spans="1:1" x14ac:dyDescent="0.2">
      <c r="A1488" s="68"/>
    </row>
    <row r="1489" spans="1:1" x14ac:dyDescent="0.2">
      <c r="A1489" s="68"/>
    </row>
    <row r="1490" spans="1:1" x14ac:dyDescent="0.2">
      <c r="A1490" s="68"/>
    </row>
    <row r="1491" spans="1:1" x14ac:dyDescent="0.2">
      <c r="A1491" s="68"/>
    </row>
    <row r="1492" spans="1:1" x14ac:dyDescent="0.2">
      <c r="A1492" s="68"/>
    </row>
    <row r="1493" spans="1:1" x14ac:dyDescent="0.2">
      <c r="A1493" s="68"/>
    </row>
    <row r="1494" spans="1:1" x14ac:dyDescent="0.2">
      <c r="A1494" s="68"/>
    </row>
    <row r="1495" spans="1:1" x14ac:dyDescent="0.2">
      <c r="A1495" s="68"/>
    </row>
    <row r="1496" spans="1:1" x14ac:dyDescent="0.2">
      <c r="A1496" s="68"/>
    </row>
    <row r="1497" spans="1:1" x14ac:dyDescent="0.2">
      <c r="A1497" s="68"/>
    </row>
    <row r="1498" spans="1:1" x14ac:dyDescent="0.2">
      <c r="A1498" s="68"/>
    </row>
    <row r="1499" spans="1:1" x14ac:dyDescent="0.2">
      <c r="A1499" s="68"/>
    </row>
    <row r="1500" spans="1:1" x14ac:dyDescent="0.2">
      <c r="A1500" s="68"/>
    </row>
    <row r="1501" spans="1:1" x14ac:dyDescent="0.2">
      <c r="A1501" s="68"/>
    </row>
    <row r="1502" spans="1:1" x14ac:dyDescent="0.2">
      <c r="A1502" s="68"/>
    </row>
    <row r="1503" spans="1:1" x14ac:dyDescent="0.2">
      <c r="A1503" s="68"/>
    </row>
    <row r="1504" spans="1:1" x14ac:dyDescent="0.2">
      <c r="A1504" s="68"/>
    </row>
    <row r="1505" spans="1:1" x14ac:dyDescent="0.2">
      <c r="A1505" s="68"/>
    </row>
    <row r="1506" spans="1:1" x14ac:dyDescent="0.2">
      <c r="A1506" s="68"/>
    </row>
    <row r="1507" spans="1:1" x14ac:dyDescent="0.2">
      <c r="A1507" s="68"/>
    </row>
    <row r="1508" spans="1:1" x14ac:dyDescent="0.2">
      <c r="A1508" s="68"/>
    </row>
    <row r="1509" spans="1:1" x14ac:dyDescent="0.2">
      <c r="A1509" s="68"/>
    </row>
    <row r="1510" spans="1:1" x14ac:dyDescent="0.2">
      <c r="A1510" s="68"/>
    </row>
    <row r="1511" spans="1:1" x14ac:dyDescent="0.2">
      <c r="A1511" s="68"/>
    </row>
    <row r="1512" spans="1:1" x14ac:dyDescent="0.2">
      <c r="A1512" s="68"/>
    </row>
    <row r="1513" spans="1:1" x14ac:dyDescent="0.2">
      <c r="A1513" s="68"/>
    </row>
    <row r="1514" spans="1:1" x14ac:dyDescent="0.2">
      <c r="A1514" s="68"/>
    </row>
    <row r="1515" spans="1:1" x14ac:dyDescent="0.2">
      <c r="A1515" s="68"/>
    </row>
    <row r="1516" spans="1:1" x14ac:dyDescent="0.2">
      <c r="A1516" s="68"/>
    </row>
    <row r="1517" spans="1:1" x14ac:dyDescent="0.2">
      <c r="A1517" s="68"/>
    </row>
    <row r="1518" spans="1:1" x14ac:dyDescent="0.2">
      <c r="A1518" s="68"/>
    </row>
    <row r="1519" spans="1:1" x14ac:dyDescent="0.2">
      <c r="A1519" s="68"/>
    </row>
    <row r="1520" spans="1:1" x14ac:dyDescent="0.2">
      <c r="A1520" s="68"/>
    </row>
    <row r="1521" spans="1:1" x14ac:dyDescent="0.2">
      <c r="A1521" s="68"/>
    </row>
    <row r="1522" spans="1:1" x14ac:dyDescent="0.2">
      <c r="A1522" s="68"/>
    </row>
    <row r="1523" spans="1:1" x14ac:dyDescent="0.2">
      <c r="A1523" s="68"/>
    </row>
    <row r="1524" spans="1:1" x14ac:dyDescent="0.2">
      <c r="A1524" s="68"/>
    </row>
    <row r="1525" spans="1:1" x14ac:dyDescent="0.2">
      <c r="A1525" s="68"/>
    </row>
    <row r="1526" spans="1:1" x14ac:dyDescent="0.2">
      <c r="A1526" s="68"/>
    </row>
    <row r="1527" spans="1:1" x14ac:dyDescent="0.2">
      <c r="A1527" s="68"/>
    </row>
    <row r="1528" spans="1:1" x14ac:dyDescent="0.2">
      <c r="A1528" s="68"/>
    </row>
    <row r="1529" spans="1:1" x14ac:dyDescent="0.2">
      <c r="A1529" s="68"/>
    </row>
    <row r="1530" spans="1:1" x14ac:dyDescent="0.2">
      <c r="A1530" s="68"/>
    </row>
    <row r="1531" spans="1:1" x14ac:dyDescent="0.2">
      <c r="A1531" s="68"/>
    </row>
    <row r="1532" spans="1:1" x14ac:dyDescent="0.2">
      <c r="A1532" s="68"/>
    </row>
    <row r="1533" spans="1:1" x14ac:dyDescent="0.2">
      <c r="A1533" s="68"/>
    </row>
    <row r="1534" spans="1:1" x14ac:dyDescent="0.2">
      <c r="A1534" s="68"/>
    </row>
    <row r="1535" spans="1:1" x14ac:dyDescent="0.2">
      <c r="A1535" s="68"/>
    </row>
    <row r="1536" spans="1:1" x14ac:dyDescent="0.2">
      <c r="A1536" s="68"/>
    </row>
    <row r="1537" spans="1:1" x14ac:dyDescent="0.2">
      <c r="A1537" s="68"/>
    </row>
    <row r="1538" spans="1:1" x14ac:dyDescent="0.2">
      <c r="A1538" s="68"/>
    </row>
    <row r="1539" spans="1:1" x14ac:dyDescent="0.2">
      <c r="A1539" s="68"/>
    </row>
    <row r="1540" spans="1:1" x14ac:dyDescent="0.2">
      <c r="A1540" s="68"/>
    </row>
    <row r="1541" spans="1:1" x14ac:dyDescent="0.2">
      <c r="A1541" s="68"/>
    </row>
    <row r="1542" spans="1:1" x14ac:dyDescent="0.2">
      <c r="A1542" s="68"/>
    </row>
    <row r="1543" spans="1:1" x14ac:dyDescent="0.2">
      <c r="A1543" s="68"/>
    </row>
    <row r="1544" spans="1:1" x14ac:dyDescent="0.2">
      <c r="A1544" s="68"/>
    </row>
    <row r="1545" spans="1:1" x14ac:dyDescent="0.2">
      <c r="A1545" s="68"/>
    </row>
    <row r="1546" spans="1:1" x14ac:dyDescent="0.2">
      <c r="A1546" s="68"/>
    </row>
    <row r="1547" spans="1:1" x14ac:dyDescent="0.2">
      <c r="A1547" s="68"/>
    </row>
    <row r="1548" spans="1:1" x14ac:dyDescent="0.2">
      <c r="A1548" s="68"/>
    </row>
    <row r="1549" spans="1:1" x14ac:dyDescent="0.2">
      <c r="A1549" s="68"/>
    </row>
    <row r="1550" spans="1:1" x14ac:dyDescent="0.2">
      <c r="A1550" s="68"/>
    </row>
    <row r="1551" spans="1:1" x14ac:dyDescent="0.2">
      <c r="A1551" s="68"/>
    </row>
    <row r="1552" spans="1:1" x14ac:dyDescent="0.2">
      <c r="A1552" s="68"/>
    </row>
    <row r="1553" spans="1:1" x14ac:dyDescent="0.2">
      <c r="A1553" s="68"/>
    </row>
    <row r="1554" spans="1:1" x14ac:dyDescent="0.2">
      <c r="A1554" s="68"/>
    </row>
    <row r="1555" spans="1:1" x14ac:dyDescent="0.2">
      <c r="A1555" s="68"/>
    </row>
    <row r="1556" spans="1:1" x14ac:dyDescent="0.2">
      <c r="A1556" s="68"/>
    </row>
    <row r="1557" spans="1:1" x14ac:dyDescent="0.2">
      <c r="A1557" s="68"/>
    </row>
    <row r="1558" spans="1:1" x14ac:dyDescent="0.2">
      <c r="A1558" s="68"/>
    </row>
    <row r="1559" spans="1:1" x14ac:dyDescent="0.2">
      <c r="A1559" s="68"/>
    </row>
    <row r="1560" spans="1:1" x14ac:dyDescent="0.2">
      <c r="A1560" s="68"/>
    </row>
    <row r="1561" spans="1:1" x14ac:dyDescent="0.2">
      <c r="A1561" s="68"/>
    </row>
    <row r="1562" spans="1:1" x14ac:dyDescent="0.2">
      <c r="A1562" s="68"/>
    </row>
    <row r="1563" spans="1:1" x14ac:dyDescent="0.2">
      <c r="A1563" s="68"/>
    </row>
    <row r="1564" spans="1:1" x14ac:dyDescent="0.2">
      <c r="A1564" s="68"/>
    </row>
    <row r="1565" spans="1:1" x14ac:dyDescent="0.2">
      <c r="A1565" s="68"/>
    </row>
    <row r="1566" spans="1:1" x14ac:dyDescent="0.2">
      <c r="A1566" s="68"/>
    </row>
    <row r="1567" spans="1:1" x14ac:dyDescent="0.2">
      <c r="A1567" s="68"/>
    </row>
    <row r="1568" spans="1:1" x14ac:dyDescent="0.2">
      <c r="A1568" s="68"/>
    </row>
    <row r="1569" spans="1:1" x14ac:dyDescent="0.2">
      <c r="A1569" s="68"/>
    </row>
    <row r="1570" spans="1:1" x14ac:dyDescent="0.2">
      <c r="A1570" s="68"/>
    </row>
    <row r="1571" spans="1:1" x14ac:dyDescent="0.2">
      <c r="A1571" s="68"/>
    </row>
    <row r="1572" spans="1:1" x14ac:dyDescent="0.2">
      <c r="A1572" s="68"/>
    </row>
    <row r="1573" spans="1:1" x14ac:dyDescent="0.2">
      <c r="A1573" s="68"/>
    </row>
    <row r="1574" spans="1:1" x14ac:dyDescent="0.2">
      <c r="A1574" s="68"/>
    </row>
    <row r="1575" spans="1:1" x14ac:dyDescent="0.2">
      <c r="A1575" s="68"/>
    </row>
    <row r="1576" spans="1:1" x14ac:dyDescent="0.2">
      <c r="A1576" s="68"/>
    </row>
    <row r="1577" spans="1:1" x14ac:dyDescent="0.2">
      <c r="A1577" s="68"/>
    </row>
    <row r="1578" spans="1:1" x14ac:dyDescent="0.2">
      <c r="A1578" s="68"/>
    </row>
    <row r="1579" spans="1:1" x14ac:dyDescent="0.2">
      <c r="A1579" s="68"/>
    </row>
    <row r="1580" spans="1:1" x14ac:dyDescent="0.2">
      <c r="A1580" s="68"/>
    </row>
    <row r="1581" spans="1:1" x14ac:dyDescent="0.2">
      <c r="A1581" s="68"/>
    </row>
    <row r="1582" spans="1:1" x14ac:dyDescent="0.2">
      <c r="A1582" s="68"/>
    </row>
    <row r="1583" spans="1:1" x14ac:dyDescent="0.2">
      <c r="A1583" s="68"/>
    </row>
    <row r="1584" spans="1:1" x14ac:dyDescent="0.2">
      <c r="A1584" s="68"/>
    </row>
    <row r="1585" spans="1:1" x14ac:dyDescent="0.2">
      <c r="A1585" s="68"/>
    </row>
    <row r="1586" spans="1:1" x14ac:dyDescent="0.2">
      <c r="A1586" s="68"/>
    </row>
    <row r="1587" spans="1:1" x14ac:dyDescent="0.2">
      <c r="A1587" s="68"/>
    </row>
    <row r="1588" spans="1:1" x14ac:dyDescent="0.2">
      <c r="A1588" s="68"/>
    </row>
    <row r="1589" spans="1:1" x14ac:dyDescent="0.2">
      <c r="A1589" s="68"/>
    </row>
    <row r="1590" spans="1:1" x14ac:dyDescent="0.2">
      <c r="A1590" s="68"/>
    </row>
    <row r="1591" spans="1:1" x14ac:dyDescent="0.2">
      <c r="A1591" s="68"/>
    </row>
    <row r="1592" spans="1:1" x14ac:dyDescent="0.2">
      <c r="A1592" s="68"/>
    </row>
    <row r="1593" spans="1:1" x14ac:dyDescent="0.2">
      <c r="A1593" s="68"/>
    </row>
    <row r="1594" spans="1:1" x14ac:dyDescent="0.2">
      <c r="A1594" s="68"/>
    </row>
    <row r="1595" spans="1:1" x14ac:dyDescent="0.2">
      <c r="A1595" s="68"/>
    </row>
    <row r="1596" spans="1:1" x14ac:dyDescent="0.2">
      <c r="A1596" s="68"/>
    </row>
    <row r="1597" spans="1:1" x14ac:dyDescent="0.2">
      <c r="A1597" s="68"/>
    </row>
    <row r="1598" spans="1:1" x14ac:dyDescent="0.2">
      <c r="A1598" s="68"/>
    </row>
    <row r="1599" spans="1:1" x14ac:dyDescent="0.2">
      <c r="A1599" s="68"/>
    </row>
    <row r="1600" spans="1:1" x14ac:dyDescent="0.2">
      <c r="A1600" s="68"/>
    </row>
    <row r="1601" spans="1:1" x14ac:dyDescent="0.2">
      <c r="A1601" s="68"/>
    </row>
    <row r="1602" spans="1:1" x14ac:dyDescent="0.2">
      <c r="A1602" s="68"/>
    </row>
    <row r="1603" spans="1:1" x14ac:dyDescent="0.2">
      <c r="A1603" s="68"/>
    </row>
    <row r="1604" spans="1:1" x14ac:dyDescent="0.2">
      <c r="A1604" s="68"/>
    </row>
    <row r="1605" spans="1:1" x14ac:dyDescent="0.2">
      <c r="A1605" s="68"/>
    </row>
    <row r="1606" spans="1:1" x14ac:dyDescent="0.2">
      <c r="A1606" s="68"/>
    </row>
    <row r="1607" spans="1:1" x14ac:dyDescent="0.2">
      <c r="A1607" s="68"/>
    </row>
    <row r="1608" spans="1:1" x14ac:dyDescent="0.2">
      <c r="A1608" s="68"/>
    </row>
    <row r="1609" spans="1:1" x14ac:dyDescent="0.2">
      <c r="A1609" s="68"/>
    </row>
    <row r="1610" spans="1:1" x14ac:dyDescent="0.2">
      <c r="A1610" s="68"/>
    </row>
    <row r="1611" spans="1:1" x14ac:dyDescent="0.2">
      <c r="A1611" s="68"/>
    </row>
    <row r="1612" spans="1:1" x14ac:dyDescent="0.2">
      <c r="A1612" s="68"/>
    </row>
    <row r="1613" spans="1:1" x14ac:dyDescent="0.2">
      <c r="A1613" s="68"/>
    </row>
    <row r="1614" spans="1:1" x14ac:dyDescent="0.2">
      <c r="A1614" s="68"/>
    </row>
    <row r="1615" spans="1:1" x14ac:dyDescent="0.2">
      <c r="A1615" s="68"/>
    </row>
    <row r="1616" spans="1:1" x14ac:dyDescent="0.2">
      <c r="A1616" s="68"/>
    </row>
    <row r="1617" spans="1:1" x14ac:dyDescent="0.2">
      <c r="A1617" s="68"/>
    </row>
    <row r="1618" spans="1:1" x14ac:dyDescent="0.2">
      <c r="A1618" s="68"/>
    </row>
    <row r="1619" spans="1:1" x14ac:dyDescent="0.2">
      <c r="A1619" s="68"/>
    </row>
    <row r="1620" spans="1:1" x14ac:dyDescent="0.2">
      <c r="A1620" s="68"/>
    </row>
    <row r="1621" spans="1:1" x14ac:dyDescent="0.2">
      <c r="A1621" s="68"/>
    </row>
    <row r="1622" spans="1:1" x14ac:dyDescent="0.2">
      <c r="A1622" s="68"/>
    </row>
    <row r="1623" spans="1:1" x14ac:dyDescent="0.2">
      <c r="A1623" s="68"/>
    </row>
    <row r="1624" spans="1:1" x14ac:dyDescent="0.2">
      <c r="A1624" s="68"/>
    </row>
    <row r="1625" spans="1:1" x14ac:dyDescent="0.2">
      <c r="A1625" s="68"/>
    </row>
    <row r="1626" spans="1:1" x14ac:dyDescent="0.2">
      <c r="A1626" s="68"/>
    </row>
    <row r="1627" spans="1:1" x14ac:dyDescent="0.2">
      <c r="A1627" s="68"/>
    </row>
    <row r="1628" spans="1:1" x14ac:dyDescent="0.2">
      <c r="A1628" s="68"/>
    </row>
    <row r="1629" spans="1:1" x14ac:dyDescent="0.2">
      <c r="A1629" s="68"/>
    </row>
    <row r="1630" spans="1:1" x14ac:dyDescent="0.2">
      <c r="A1630" s="68"/>
    </row>
    <row r="1631" spans="1:1" x14ac:dyDescent="0.2">
      <c r="A1631" s="68"/>
    </row>
    <row r="1632" spans="1:1" x14ac:dyDescent="0.2">
      <c r="A1632" s="68"/>
    </row>
    <row r="1633" spans="1:1" x14ac:dyDescent="0.2">
      <c r="A1633" s="68"/>
    </row>
    <row r="1634" spans="1:1" x14ac:dyDescent="0.2">
      <c r="A1634" s="68"/>
    </row>
    <row r="1635" spans="1:1" x14ac:dyDescent="0.2">
      <c r="A1635" s="68"/>
    </row>
    <row r="1636" spans="1:1" x14ac:dyDescent="0.2">
      <c r="A1636" s="68"/>
    </row>
    <row r="1637" spans="1:1" x14ac:dyDescent="0.2">
      <c r="A1637" s="68"/>
    </row>
    <row r="1638" spans="1:1" x14ac:dyDescent="0.2">
      <c r="A1638" s="68"/>
    </row>
    <row r="1639" spans="1:1" x14ac:dyDescent="0.2">
      <c r="A1639" s="68"/>
    </row>
    <row r="1640" spans="1:1" x14ac:dyDescent="0.2">
      <c r="A1640" s="68"/>
    </row>
    <row r="1641" spans="1:1" x14ac:dyDescent="0.2">
      <c r="A1641" s="68"/>
    </row>
    <row r="1642" spans="1:1" x14ac:dyDescent="0.2">
      <c r="A1642" s="68"/>
    </row>
    <row r="1643" spans="1:1" x14ac:dyDescent="0.2">
      <c r="A1643" s="68"/>
    </row>
    <row r="1644" spans="1:1" x14ac:dyDescent="0.2">
      <c r="A1644" s="68"/>
    </row>
    <row r="1645" spans="1:1" x14ac:dyDescent="0.2">
      <c r="A1645" s="68"/>
    </row>
    <row r="1646" spans="1:1" x14ac:dyDescent="0.2">
      <c r="A1646" s="68"/>
    </row>
    <row r="1647" spans="1:1" x14ac:dyDescent="0.2">
      <c r="A1647" s="68"/>
    </row>
    <row r="1648" spans="1:1" x14ac:dyDescent="0.2">
      <c r="A1648" s="68"/>
    </row>
    <row r="1649" spans="1:1" x14ac:dyDescent="0.2">
      <c r="A1649" s="68"/>
    </row>
    <row r="1650" spans="1:1" x14ac:dyDescent="0.2">
      <c r="A1650" s="68"/>
    </row>
    <row r="1651" spans="1:1" x14ac:dyDescent="0.2">
      <c r="A1651" s="68"/>
    </row>
    <row r="1652" spans="1:1" x14ac:dyDescent="0.2">
      <c r="A1652" s="68"/>
    </row>
    <row r="1653" spans="1:1" x14ac:dyDescent="0.2">
      <c r="A1653" s="68"/>
    </row>
    <row r="1654" spans="1:1" x14ac:dyDescent="0.2">
      <c r="A1654" s="68"/>
    </row>
    <row r="1655" spans="1:1" x14ac:dyDescent="0.2">
      <c r="A1655" s="68"/>
    </row>
    <row r="1656" spans="1:1" x14ac:dyDescent="0.2">
      <c r="A1656" s="68"/>
    </row>
    <row r="1657" spans="1:1" x14ac:dyDescent="0.2">
      <c r="A1657" s="68"/>
    </row>
    <row r="1658" spans="1:1" x14ac:dyDescent="0.2">
      <c r="A1658" s="68"/>
    </row>
    <row r="1659" spans="1:1" x14ac:dyDescent="0.2">
      <c r="A1659" s="68"/>
    </row>
    <row r="1660" spans="1:1" x14ac:dyDescent="0.2">
      <c r="A1660" s="68"/>
    </row>
    <row r="1661" spans="1:1" x14ac:dyDescent="0.2">
      <c r="A1661" s="68"/>
    </row>
    <row r="1662" spans="1:1" x14ac:dyDescent="0.2">
      <c r="A1662" s="68"/>
    </row>
    <row r="1663" spans="1:1" x14ac:dyDescent="0.2">
      <c r="A1663" s="68"/>
    </row>
    <row r="1664" spans="1:1" x14ac:dyDescent="0.2">
      <c r="A1664" s="68"/>
    </row>
    <row r="1665" spans="1:1" x14ac:dyDescent="0.2">
      <c r="A1665" s="68"/>
    </row>
    <row r="1666" spans="1:1" x14ac:dyDescent="0.2">
      <c r="A1666" s="68"/>
    </row>
    <row r="1667" spans="1:1" x14ac:dyDescent="0.2">
      <c r="A1667" s="68"/>
    </row>
    <row r="1668" spans="1:1" x14ac:dyDescent="0.2">
      <c r="A1668" s="68"/>
    </row>
    <row r="1669" spans="1:1" x14ac:dyDescent="0.2">
      <c r="A1669" s="68"/>
    </row>
    <row r="1670" spans="1:1" x14ac:dyDescent="0.2">
      <c r="A1670" s="68"/>
    </row>
    <row r="1671" spans="1:1" x14ac:dyDescent="0.2">
      <c r="A1671" s="68"/>
    </row>
    <row r="1672" spans="1:1" x14ac:dyDescent="0.2">
      <c r="A1672" s="68"/>
    </row>
    <row r="1673" spans="1:1" x14ac:dyDescent="0.2">
      <c r="A1673" s="68"/>
    </row>
    <row r="1674" spans="1:1" x14ac:dyDescent="0.2">
      <c r="A1674" s="68"/>
    </row>
    <row r="1675" spans="1:1" x14ac:dyDescent="0.2">
      <c r="A1675" s="68"/>
    </row>
    <row r="1676" spans="1:1" x14ac:dyDescent="0.2">
      <c r="A1676" s="68"/>
    </row>
    <row r="1677" spans="1:1" x14ac:dyDescent="0.2">
      <c r="A1677" s="68"/>
    </row>
    <row r="1678" spans="1:1" x14ac:dyDescent="0.2">
      <c r="A1678" s="68"/>
    </row>
    <row r="1679" spans="1:1" x14ac:dyDescent="0.2">
      <c r="A1679" s="68"/>
    </row>
    <row r="1680" spans="1:1" x14ac:dyDescent="0.2">
      <c r="A1680" s="68"/>
    </row>
    <row r="1681" spans="1:1" x14ac:dyDescent="0.2">
      <c r="A1681" s="68"/>
    </row>
    <row r="1682" spans="1:1" x14ac:dyDescent="0.2">
      <c r="A1682" s="68"/>
    </row>
    <row r="1683" spans="1:1" x14ac:dyDescent="0.2">
      <c r="A1683" s="68"/>
    </row>
    <row r="1684" spans="1:1" x14ac:dyDescent="0.2">
      <c r="A1684" s="68"/>
    </row>
    <row r="1685" spans="1:1" x14ac:dyDescent="0.2">
      <c r="A1685" s="68"/>
    </row>
    <row r="1686" spans="1:1" x14ac:dyDescent="0.2">
      <c r="A1686" s="68"/>
    </row>
    <row r="1687" spans="1:1" x14ac:dyDescent="0.2">
      <c r="A1687" s="68"/>
    </row>
    <row r="1688" spans="1:1" x14ac:dyDescent="0.2">
      <c r="A1688" s="68"/>
    </row>
    <row r="1689" spans="1:1" x14ac:dyDescent="0.2">
      <c r="A1689" s="68"/>
    </row>
    <row r="1690" spans="1:1" x14ac:dyDescent="0.2">
      <c r="A1690" s="68"/>
    </row>
    <row r="1691" spans="1:1" x14ac:dyDescent="0.2">
      <c r="A1691" s="68"/>
    </row>
    <row r="1692" spans="1:1" x14ac:dyDescent="0.2">
      <c r="A1692" s="68"/>
    </row>
    <row r="1693" spans="1:1" x14ac:dyDescent="0.2">
      <c r="A1693" s="68"/>
    </row>
    <row r="1694" spans="1:1" x14ac:dyDescent="0.2">
      <c r="A1694" s="68"/>
    </row>
    <row r="1695" spans="1:1" x14ac:dyDescent="0.2">
      <c r="A1695" s="68"/>
    </row>
    <row r="1696" spans="1:1" x14ac:dyDescent="0.2">
      <c r="A1696" s="68"/>
    </row>
    <row r="1697" spans="1:1" x14ac:dyDescent="0.2">
      <c r="A1697" s="68"/>
    </row>
    <row r="1698" spans="1:1" x14ac:dyDescent="0.2">
      <c r="A1698" s="68"/>
    </row>
    <row r="1699" spans="1:1" x14ac:dyDescent="0.2">
      <c r="A1699" s="68"/>
    </row>
    <row r="1700" spans="1:1" x14ac:dyDescent="0.2">
      <c r="A1700" s="68"/>
    </row>
    <row r="1701" spans="1:1" x14ac:dyDescent="0.2">
      <c r="A1701" s="68"/>
    </row>
    <row r="1702" spans="1:1" x14ac:dyDescent="0.2">
      <c r="A1702" s="68"/>
    </row>
    <row r="1703" spans="1:1" x14ac:dyDescent="0.2">
      <c r="A1703" s="68"/>
    </row>
    <row r="1704" spans="1:1" x14ac:dyDescent="0.2">
      <c r="A1704" s="68"/>
    </row>
    <row r="1705" spans="1:1" x14ac:dyDescent="0.2">
      <c r="A1705" s="68"/>
    </row>
    <row r="1706" spans="1:1" x14ac:dyDescent="0.2">
      <c r="A1706" s="68"/>
    </row>
    <row r="1707" spans="1:1" x14ac:dyDescent="0.2">
      <c r="A1707" s="68"/>
    </row>
    <row r="1708" spans="1:1" x14ac:dyDescent="0.2">
      <c r="A1708" s="68"/>
    </row>
    <row r="1709" spans="1:1" x14ac:dyDescent="0.2">
      <c r="A1709" s="68"/>
    </row>
    <row r="1710" spans="1:1" x14ac:dyDescent="0.2">
      <c r="A1710" s="68"/>
    </row>
    <row r="1711" spans="1:1" x14ac:dyDescent="0.2">
      <c r="A1711" s="68"/>
    </row>
    <row r="1712" spans="1:1" x14ac:dyDescent="0.2">
      <c r="A1712" s="68"/>
    </row>
    <row r="1713" spans="1:1" x14ac:dyDescent="0.2">
      <c r="A1713" s="68"/>
    </row>
    <row r="1714" spans="1:1" x14ac:dyDescent="0.2">
      <c r="A1714" s="68"/>
    </row>
    <row r="1715" spans="1:1" x14ac:dyDescent="0.2">
      <c r="A1715" s="68"/>
    </row>
    <row r="1716" spans="1:1" x14ac:dyDescent="0.2">
      <c r="A1716" s="68"/>
    </row>
    <row r="1717" spans="1:1" x14ac:dyDescent="0.2">
      <c r="A1717" s="68"/>
    </row>
    <row r="1718" spans="1:1" x14ac:dyDescent="0.2">
      <c r="A1718" s="68"/>
    </row>
    <row r="1719" spans="1:1" x14ac:dyDescent="0.2">
      <c r="A1719" s="68"/>
    </row>
    <row r="1720" spans="1:1" x14ac:dyDescent="0.2">
      <c r="A1720" s="68"/>
    </row>
    <row r="1721" spans="1:1" x14ac:dyDescent="0.2">
      <c r="A1721" s="68"/>
    </row>
    <row r="1722" spans="1:1" x14ac:dyDescent="0.2">
      <c r="A1722" s="68"/>
    </row>
    <row r="1723" spans="1:1" x14ac:dyDescent="0.2">
      <c r="A1723" s="68"/>
    </row>
    <row r="1724" spans="1:1" x14ac:dyDescent="0.2">
      <c r="A1724" s="68"/>
    </row>
    <row r="1725" spans="1:1" x14ac:dyDescent="0.2">
      <c r="A1725" s="68"/>
    </row>
    <row r="1726" spans="1:1" x14ac:dyDescent="0.2">
      <c r="A1726" s="68"/>
    </row>
    <row r="1727" spans="1:1" x14ac:dyDescent="0.2">
      <c r="A1727" s="68"/>
    </row>
    <row r="1728" spans="1:1" x14ac:dyDescent="0.2">
      <c r="A1728" s="68"/>
    </row>
    <row r="1729" spans="1:1" x14ac:dyDescent="0.2">
      <c r="A1729" s="68"/>
    </row>
    <row r="1730" spans="1:1" x14ac:dyDescent="0.2">
      <c r="A1730" s="68"/>
    </row>
    <row r="1731" spans="1:1" x14ac:dyDescent="0.2">
      <c r="A1731" s="68"/>
    </row>
    <row r="1732" spans="1:1" x14ac:dyDescent="0.2">
      <c r="A1732" s="68"/>
    </row>
    <row r="1733" spans="1:1" x14ac:dyDescent="0.2">
      <c r="A1733" s="68"/>
    </row>
    <row r="1734" spans="1:1" x14ac:dyDescent="0.2">
      <c r="A1734" s="68"/>
    </row>
    <row r="1735" spans="1:1" x14ac:dyDescent="0.2">
      <c r="A1735" s="68"/>
    </row>
    <row r="1736" spans="1:1" x14ac:dyDescent="0.2">
      <c r="A1736" s="68"/>
    </row>
    <row r="1737" spans="1:1" x14ac:dyDescent="0.2">
      <c r="A1737" s="68"/>
    </row>
    <row r="1738" spans="1:1" x14ac:dyDescent="0.2">
      <c r="A1738" s="68"/>
    </row>
    <row r="1739" spans="1:1" x14ac:dyDescent="0.2">
      <c r="A1739" s="68"/>
    </row>
    <row r="1740" spans="1:1" x14ac:dyDescent="0.2">
      <c r="A1740" s="68"/>
    </row>
    <row r="1741" spans="1:1" x14ac:dyDescent="0.2">
      <c r="A1741" s="68"/>
    </row>
    <row r="1742" spans="1:1" x14ac:dyDescent="0.2">
      <c r="A1742" s="68"/>
    </row>
    <row r="1743" spans="1:1" x14ac:dyDescent="0.2">
      <c r="A1743" s="68"/>
    </row>
    <row r="1744" spans="1:1" x14ac:dyDescent="0.2">
      <c r="A1744" s="68"/>
    </row>
    <row r="1745" spans="1:1" x14ac:dyDescent="0.2">
      <c r="A1745" s="68"/>
    </row>
    <row r="1746" spans="1:1" x14ac:dyDescent="0.2">
      <c r="A1746" s="68"/>
    </row>
    <row r="1747" spans="1:1" x14ac:dyDescent="0.2">
      <c r="A1747" s="68"/>
    </row>
    <row r="1748" spans="1:1" x14ac:dyDescent="0.2">
      <c r="A1748" s="68"/>
    </row>
    <row r="1749" spans="1:1" x14ac:dyDescent="0.2">
      <c r="A1749" s="68"/>
    </row>
    <row r="1750" spans="1:1" x14ac:dyDescent="0.2">
      <c r="A1750" s="68"/>
    </row>
    <row r="1751" spans="1:1" x14ac:dyDescent="0.2">
      <c r="A1751" s="68"/>
    </row>
    <row r="1752" spans="1:1" x14ac:dyDescent="0.2">
      <c r="A1752" s="68"/>
    </row>
    <row r="1753" spans="1:1" x14ac:dyDescent="0.2">
      <c r="A1753" s="68"/>
    </row>
    <row r="1754" spans="1:1" x14ac:dyDescent="0.2">
      <c r="A1754" s="68"/>
    </row>
    <row r="1755" spans="1:1" x14ac:dyDescent="0.2">
      <c r="A1755" s="68"/>
    </row>
    <row r="1756" spans="1:1" x14ac:dyDescent="0.2">
      <c r="A1756" s="68"/>
    </row>
    <row r="1757" spans="1:1" x14ac:dyDescent="0.2">
      <c r="A1757" s="68"/>
    </row>
    <row r="1758" spans="1:1" x14ac:dyDescent="0.2">
      <c r="A1758" s="68"/>
    </row>
    <row r="1759" spans="1:1" x14ac:dyDescent="0.2">
      <c r="A1759" s="68"/>
    </row>
    <row r="1760" spans="1:1" x14ac:dyDescent="0.2">
      <c r="A1760" s="68"/>
    </row>
    <row r="1761" spans="1:1" x14ac:dyDescent="0.2">
      <c r="A1761" s="68"/>
    </row>
    <row r="1762" spans="1:1" x14ac:dyDescent="0.2">
      <c r="A1762" s="68"/>
    </row>
    <row r="1763" spans="1:1" x14ac:dyDescent="0.2">
      <c r="A1763" s="68"/>
    </row>
    <row r="1764" spans="1:1" x14ac:dyDescent="0.2">
      <c r="A1764" s="68"/>
    </row>
    <row r="1765" spans="1:1" x14ac:dyDescent="0.2">
      <c r="A1765" s="68"/>
    </row>
    <row r="1766" spans="1:1" x14ac:dyDescent="0.2">
      <c r="A1766" s="68"/>
    </row>
    <row r="1767" spans="1:1" x14ac:dyDescent="0.2">
      <c r="A1767" s="68"/>
    </row>
    <row r="1768" spans="1:1" x14ac:dyDescent="0.2">
      <c r="A1768" s="68"/>
    </row>
    <row r="1769" spans="1:1" x14ac:dyDescent="0.2">
      <c r="A1769" s="68"/>
    </row>
    <row r="1770" spans="1:1" x14ac:dyDescent="0.2">
      <c r="A1770" s="68"/>
    </row>
    <row r="1771" spans="1:1" x14ac:dyDescent="0.2">
      <c r="A1771" s="68"/>
    </row>
    <row r="1772" spans="1:1" x14ac:dyDescent="0.2">
      <c r="A1772" s="68"/>
    </row>
    <row r="1773" spans="1:1" x14ac:dyDescent="0.2">
      <c r="A1773" s="68"/>
    </row>
    <row r="1774" spans="1:1" x14ac:dyDescent="0.2">
      <c r="A1774" s="68"/>
    </row>
    <row r="1775" spans="1:1" x14ac:dyDescent="0.2">
      <c r="A1775" s="68"/>
    </row>
    <row r="1776" spans="1:1" x14ac:dyDescent="0.2">
      <c r="A1776" s="68"/>
    </row>
    <row r="1777" spans="1:1" x14ac:dyDescent="0.2">
      <c r="A1777" s="68"/>
    </row>
    <row r="1778" spans="1:1" x14ac:dyDescent="0.2">
      <c r="A1778" s="68"/>
    </row>
    <row r="1779" spans="1:1" x14ac:dyDescent="0.2">
      <c r="A1779" s="68"/>
    </row>
    <row r="1780" spans="1:1" x14ac:dyDescent="0.2">
      <c r="A1780" s="68"/>
    </row>
    <row r="1781" spans="1:1" x14ac:dyDescent="0.2">
      <c r="A1781" s="68"/>
    </row>
    <row r="1782" spans="1:1" x14ac:dyDescent="0.2">
      <c r="A1782" s="68"/>
    </row>
    <row r="1783" spans="1:1" x14ac:dyDescent="0.2">
      <c r="A1783" s="68"/>
    </row>
    <row r="1784" spans="1:1" x14ac:dyDescent="0.2">
      <c r="A1784" s="68"/>
    </row>
    <row r="1785" spans="1:1" x14ac:dyDescent="0.2">
      <c r="A1785" s="68"/>
    </row>
    <row r="1786" spans="1:1" x14ac:dyDescent="0.2">
      <c r="A1786" s="68"/>
    </row>
    <row r="1787" spans="1:1" x14ac:dyDescent="0.2">
      <c r="A1787" s="68"/>
    </row>
    <row r="1788" spans="1:1" x14ac:dyDescent="0.2">
      <c r="A1788" s="68"/>
    </row>
    <row r="1789" spans="1:1" x14ac:dyDescent="0.2">
      <c r="A1789" s="68"/>
    </row>
    <row r="1790" spans="1:1" x14ac:dyDescent="0.2">
      <c r="A1790" s="68"/>
    </row>
    <row r="1791" spans="1:1" x14ac:dyDescent="0.2">
      <c r="A1791" s="68"/>
    </row>
    <row r="1792" spans="1:1" x14ac:dyDescent="0.2">
      <c r="A1792" s="68"/>
    </row>
    <row r="1793" spans="1:1" x14ac:dyDescent="0.2">
      <c r="A1793" s="68"/>
    </row>
    <row r="1794" spans="1:1" x14ac:dyDescent="0.2">
      <c r="A1794" s="68"/>
    </row>
    <row r="1795" spans="1:1" x14ac:dyDescent="0.2">
      <c r="A1795" s="68"/>
    </row>
    <row r="1796" spans="1:1" x14ac:dyDescent="0.2">
      <c r="A1796" s="68"/>
    </row>
    <row r="1797" spans="1:1" x14ac:dyDescent="0.2">
      <c r="A1797" s="68"/>
    </row>
    <row r="1798" spans="1:1" x14ac:dyDescent="0.2">
      <c r="A1798" s="68"/>
    </row>
    <row r="1799" spans="1:1" x14ac:dyDescent="0.2">
      <c r="A1799" s="68"/>
    </row>
    <row r="1800" spans="1:1" x14ac:dyDescent="0.2">
      <c r="A1800" s="68"/>
    </row>
    <row r="1801" spans="1:1" x14ac:dyDescent="0.2">
      <c r="A1801" s="68"/>
    </row>
    <row r="1802" spans="1:1" x14ac:dyDescent="0.2">
      <c r="A1802" s="68"/>
    </row>
    <row r="1803" spans="1:1" x14ac:dyDescent="0.2">
      <c r="A1803" s="68"/>
    </row>
    <row r="1804" spans="1:1" x14ac:dyDescent="0.2">
      <c r="A1804" s="68"/>
    </row>
    <row r="1805" spans="1:1" x14ac:dyDescent="0.2">
      <c r="A1805" s="68"/>
    </row>
    <row r="1806" spans="1:1" x14ac:dyDescent="0.2">
      <c r="A1806" s="68"/>
    </row>
    <row r="1807" spans="1:1" x14ac:dyDescent="0.2">
      <c r="A1807" s="68"/>
    </row>
    <row r="1808" spans="1:1" x14ac:dyDescent="0.2">
      <c r="A1808" s="68"/>
    </row>
    <row r="1809" spans="1:1" x14ac:dyDescent="0.2">
      <c r="A1809" s="68"/>
    </row>
    <row r="1810" spans="1:1" x14ac:dyDescent="0.2">
      <c r="A1810" s="68"/>
    </row>
    <row r="1811" spans="1:1" x14ac:dyDescent="0.2">
      <c r="A1811" s="68"/>
    </row>
    <row r="1812" spans="1:1" x14ac:dyDescent="0.2">
      <c r="A1812" s="68"/>
    </row>
    <row r="1813" spans="1:1" x14ac:dyDescent="0.2">
      <c r="A1813" s="68"/>
    </row>
    <row r="1814" spans="1:1" x14ac:dyDescent="0.2">
      <c r="A1814" s="68"/>
    </row>
    <row r="1815" spans="1:1" x14ac:dyDescent="0.2">
      <c r="A1815" s="68"/>
    </row>
    <row r="1816" spans="1:1" x14ac:dyDescent="0.2">
      <c r="A1816" s="68"/>
    </row>
    <row r="1817" spans="1:1" x14ac:dyDescent="0.2">
      <c r="A1817" s="68"/>
    </row>
    <row r="1818" spans="1:1" x14ac:dyDescent="0.2">
      <c r="A1818" s="68"/>
    </row>
    <row r="1819" spans="1:1" x14ac:dyDescent="0.2">
      <c r="A1819" s="68"/>
    </row>
    <row r="1820" spans="1:1" x14ac:dyDescent="0.2">
      <c r="A1820" s="68"/>
    </row>
    <row r="1821" spans="1:1" x14ac:dyDescent="0.2">
      <c r="A1821" s="68"/>
    </row>
    <row r="1822" spans="1:1" x14ac:dyDescent="0.2">
      <c r="A1822" s="68"/>
    </row>
    <row r="1823" spans="1:1" x14ac:dyDescent="0.2">
      <c r="A1823" s="68"/>
    </row>
    <row r="1824" spans="1:1" x14ac:dyDescent="0.2">
      <c r="A1824" s="68"/>
    </row>
    <row r="1825" spans="1:1" x14ac:dyDescent="0.2">
      <c r="A1825" s="68"/>
    </row>
    <row r="1826" spans="1:1" x14ac:dyDescent="0.2">
      <c r="A1826" s="68"/>
    </row>
    <row r="1827" spans="1:1" x14ac:dyDescent="0.2">
      <c r="A1827" s="68"/>
    </row>
    <row r="1828" spans="1:1" x14ac:dyDescent="0.2">
      <c r="A1828" s="68"/>
    </row>
    <row r="1829" spans="1:1" x14ac:dyDescent="0.2">
      <c r="A1829" s="68"/>
    </row>
    <row r="1830" spans="1:1" x14ac:dyDescent="0.2">
      <c r="A1830" s="68"/>
    </row>
    <row r="1831" spans="1:1" x14ac:dyDescent="0.2">
      <c r="A1831" s="68"/>
    </row>
    <row r="1832" spans="1:1" x14ac:dyDescent="0.2">
      <c r="A1832" s="68"/>
    </row>
    <row r="1833" spans="1:1" x14ac:dyDescent="0.2">
      <c r="A1833" s="68"/>
    </row>
    <row r="1834" spans="1:1" x14ac:dyDescent="0.2">
      <c r="A1834" s="68"/>
    </row>
    <row r="1835" spans="1:1" x14ac:dyDescent="0.2">
      <c r="A1835" s="68"/>
    </row>
    <row r="1836" spans="1:1" x14ac:dyDescent="0.2">
      <c r="A1836" s="68"/>
    </row>
    <row r="1837" spans="1:1" x14ac:dyDescent="0.2">
      <c r="A1837" s="68"/>
    </row>
    <row r="1838" spans="1:1" x14ac:dyDescent="0.2">
      <c r="A1838" s="68"/>
    </row>
    <row r="1839" spans="1:1" x14ac:dyDescent="0.2">
      <c r="A1839" s="68"/>
    </row>
    <row r="1840" spans="1:1" x14ac:dyDescent="0.2">
      <c r="A1840" s="68"/>
    </row>
    <row r="1841" spans="1:1" x14ac:dyDescent="0.2">
      <c r="A1841" s="68"/>
    </row>
    <row r="1842" spans="1:1" x14ac:dyDescent="0.2">
      <c r="A1842" s="68"/>
    </row>
    <row r="1843" spans="1:1" x14ac:dyDescent="0.2">
      <c r="A1843" s="68"/>
    </row>
    <row r="1844" spans="1:1" x14ac:dyDescent="0.2">
      <c r="A1844" s="68"/>
    </row>
    <row r="1845" spans="1:1" x14ac:dyDescent="0.2">
      <c r="A1845" s="68"/>
    </row>
    <row r="1846" spans="1:1" x14ac:dyDescent="0.2">
      <c r="A1846" s="68"/>
    </row>
    <row r="1847" spans="1:1" x14ac:dyDescent="0.2">
      <c r="A1847" s="68"/>
    </row>
    <row r="1848" spans="1:1" x14ac:dyDescent="0.2">
      <c r="A1848" s="68"/>
    </row>
    <row r="1849" spans="1:1" x14ac:dyDescent="0.2">
      <c r="A1849" s="68"/>
    </row>
    <row r="1850" spans="1:1" x14ac:dyDescent="0.2">
      <c r="A1850" s="68"/>
    </row>
    <row r="1851" spans="1:1" x14ac:dyDescent="0.2">
      <c r="A1851" s="68"/>
    </row>
    <row r="1852" spans="1:1" x14ac:dyDescent="0.2">
      <c r="A1852" s="68"/>
    </row>
    <row r="1853" spans="1:1" x14ac:dyDescent="0.2">
      <c r="A1853" s="68"/>
    </row>
    <row r="1854" spans="1:1" x14ac:dyDescent="0.2">
      <c r="A1854" s="68"/>
    </row>
    <row r="1855" spans="1:1" x14ac:dyDescent="0.2">
      <c r="A1855" s="68"/>
    </row>
    <row r="1856" spans="1:1" x14ac:dyDescent="0.2">
      <c r="A1856" s="68"/>
    </row>
    <row r="1857" spans="1:1" x14ac:dyDescent="0.2">
      <c r="A1857" s="68"/>
    </row>
    <row r="1858" spans="1:1" x14ac:dyDescent="0.2">
      <c r="A1858" s="68"/>
    </row>
    <row r="1859" spans="1:1" x14ac:dyDescent="0.2">
      <c r="A1859" s="68"/>
    </row>
    <row r="1860" spans="1:1" x14ac:dyDescent="0.2">
      <c r="A1860" s="68"/>
    </row>
    <row r="1861" spans="1:1" x14ac:dyDescent="0.2">
      <c r="A1861" s="68"/>
    </row>
    <row r="1862" spans="1:1" x14ac:dyDescent="0.2">
      <c r="A1862" s="68"/>
    </row>
    <row r="1863" spans="1:1" x14ac:dyDescent="0.2">
      <c r="A1863" s="68"/>
    </row>
    <row r="1864" spans="1:1" x14ac:dyDescent="0.2">
      <c r="A1864" s="68"/>
    </row>
    <row r="1865" spans="1:1" x14ac:dyDescent="0.2">
      <c r="A1865" s="68"/>
    </row>
    <row r="1866" spans="1:1" x14ac:dyDescent="0.2">
      <c r="A1866" s="68"/>
    </row>
    <row r="1867" spans="1:1" x14ac:dyDescent="0.2">
      <c r="A1867" s="68"/>
    </row>
    <row r="1868" spans="1:1" x14ac:dyDescent="0.2">
      <c r="A1868" s="68"/>
    </row>
    <row r="1869" spans="1:1" x14ac:dyDescent="0.2">
      <c r="A1869" s="68"/>
    </row>
    <row r="1870" spans="1:1" x14ac:dyDescent="0.2">
      <c r="A1870" s="68"/>
    </row>
    <row r="1871" spans="1:1" x14ac:dyDescent="0.2">
      <c r="A1871" s="68"/>
    </row>
    <row r="1872" spans="1:1" x14ac:dyDescent="0.2">
      <c r="A1872" s="68"/>
    </row>
    <row r="1873" spans="1:1" x14ac:dyDescent="0.2">
      <c r="A1873" s="68"/>
    </row>
    <row r="1874" spans="1:1" x14ac:dyDescent="0.2">
      <c r="A1874" s="68"/>
    </row>
    <row r="1875" spans="1:1" x14ac:dyDescent="0.2">
      <c r="A1875" s="68"/>
    </row>
    <row r="1876" spans="1:1" x14ac:dyDescent="0.2">
      <c r="A1876" s="68"/>
    </row>
    <row r="1877" spans="1:1" x14ac:dyDescent="0.2">
      <c r="A1877" s="68"/>
    </row>
    <row r="1878" spans="1:1" x14ac:dyDescent="0.2">
      <c r="A1878" s="68"/>
    </row>
    <row r="1879" spans="1:1" x14ac:dyDescent="0.2">
      <c r="A1879" s="68"/>
    </row>
    <row r="1880" spans="1:1" x14ac:dyDescent="0.2">
      <c r="A1880" s="68"/>
    </row>
    <row r="1881" spans="1:1" x14ac:dyDescent="0.2">
      <c r="A1881" s="68"/>
    </row>
    <row r="1882" spans="1:1" x14ac:dyDescent="0.2">
      <c r="A1882" s="68"/>
    </row>
    <row r="1883" spans="1:1" x14ac:dyDescent="0.2">
      <c r="A1883" s="68"/>
    </row>
    <row r="1884" spans="1:1" x14ac:dyDescent="0.2">
      <c r="A1884" s="68"/>
    </row>
    <row r="1885" spans="1:1" x14ac:dyDescent="0.2">
      <c r="A1885" s="68"/>
    </row>
    <row r="1886" spans="1:1" x14ac:dyDescent="0.2">
      <c r="A1886" s="68"/>
    </row>
    <row r="1887" spans="1:1" x14ac:dyDescent="0.2">
      <c r="A1887" s="68"/>
    </row>
    <row r="1888" spans="1:1" x14ac:dyDescent="0.2">
      <c r="A1888" s="68"/>
    </row>
    <row r="1889" spans="1:1" x14ac:dyDescent="0.2">
      <c r="A1889" s="68"/>
    </row>
    <row r="1890" spans="1:1" x14ac:dyDescent="0.2">
      <c r="A1890" s="68"/>
    </row>
    <row r="1891" spans="1:1" x14ac:dyDescent="0.2">
      <c r="A1891" s="68"/>
    </row>
    <row r="1892" spans="1:1" x14ac:dyDescent="0.2">
      <c r="A1892" s="68"/>
    </row>
    <row r="1893" spans="1:1" x14ac:dyDescent="0.2">
      <c r="A1893" s="68"/>
    </row>
    <row r="1894" spans="1:1" x14ac:dyDescent="0.2">
      <c r="A1894" s="68"/>
    </row>
    <row r="1895" spans="1:1" x14ac:dyDescent="0.2">
      <c r="A1895" s="68"/>
    </row>
    <row r="1896" spans="1:1" x14ac:dyDescent="0.2">
      <c r="A1896" s="68"/>
    </row>
    <row r="1897" spans="1:1" x14ac:dyDescent="0.2">
      <c r="A1897" s="68"/>
    </row>
    <row r="1898" spans="1:1" x14ac:dyDescent="0.2">
      <c r="A1898" s="68"/>
    </row>
    <row r="1899" spans="1:1" x14ac:dyDescent="0.2">
      <c r="A1899" s="68"/>
    </row>
    <row r="1900" spans="1:1" x14ac:dyDescent="0.2">
      <c r="A1900" s="68"/>
    </row>
    <row r="1901" spans="1:1" x14ac:dyDescent="0.2">
      <c r="A1901" s="68"/>
    </row>
    <row r="1902" spans="1:1" x14ac:dyDescent="0.2">
      <c r="A1902" s="68"/>
    </row>
    <row r="1903" spans="1:1" x14ac:dyDescent="0.2">
      <c r="A1903" s="68"/>
    </row>
    <row r="1904" spans="1:1" x14ac:dyDescent="0.2">
      <c r="A1904" s="68"/>
    </row>
    <row r="1905" spans="1:1" x14ac:dyDescent="0.2">
      <c r="A1905" s="68"/>
    </row>
    <row r="1906" spans="1:1" x14ac:dyDescent="0.2">
      <c r="A1906" s="68"/>
    </row>
    <row r="1907" spans="1:1" x14ac:dyDescent="0.2">
      <c r="A1907" s="68"/>
    </row>
    <row r="1908" spans="1:1" x14ac:dyDescent="0.2">
      <c r="A1908" s="68"/>
    </row>
    <row r="1909" spans="1:1" x14ac:dyDescent="0.2">
      <c r="A1909" s="68"/>
    </row>
    <row r="1910" spans="1:1" x14ac:dyDescent="0.2">
      <c r="A1910" s="68"/>
    </row>
    <row r="1911" spans="1:1" x14ac:dyDescent="0.2">
      <c r="A1911" s="68"/>
    </row>
    <row r="1912" spans="1:1" x14ac:dyDescent="0.2">
      <c r="A1912" s="68"/>
    </row>
    <row r="1913" spans="1:1" x14ac:dyDescent="0.2">
      <c r="A1913" s="68"/>
    </row>
    <row r="1914" spans="1:1" x14ac:dyDescent="0.2">
      <c r="A1914" s="68"/>
    </row>
    <row r="1915" spans="1:1" x14ac:dyDescent="0.2">
      <c r="A1915" s="68"/>
    </row>
    <row r="1916" spans="1:1" x14ac:dyDescent="0.2">
      <c r="A1916" s="68"/>
    </row>
    <row r="1917" spans="1:1" x14ac:dyDescent="0.2">
      <c r="A1917" s="68"/>
    </row>
    <row r="1918" spans="1:1" x14ac:dyDescent="0.2">
      <c r="A1918" s="68"/>
    </row>
    <row r="1919" spans="1:1" x14ac:dyDescent="0.2">
      <c r="A1919" s="68"/>
    </row>
    <row r="1920" spans="1:1" x14ac:dyDescent="0.2">
      <c r="A1920" s="68"/>
    </row>
    <row r="1921" spans="1:1" x14ac:dyDescent="0.2">
      <c r="A1921" s="68"/>
    </row>
    <row r="1922" spans="1:1" x14ac:dyDescent="0.2">
      <c r="A1922" s="68"/>
    </row>
    <row r="1923" spans="1:1" x14ac:dyDescent="0.2">
      <c r="A1923" s="68"/>
    </row>
    <row r="1924" spans="1:1" x14ac:dyDescent="0.2">
      <c r="A1924" s="68"/>
    </row>
    <row r="1925" spans="1:1" x14ac:dyDescent="0.2">
      <c r="A1925" s="68"/>
    </row>
    <row r="1926" spans="1:1" x14ac:dyDescent="0.2">
      <c r="A1926" s="68"/>
    </row>
    <row r="1927" spans="1:1" x14ac:dyDescent="0.2">
      <c r="A1927" s="68"/>
    </row>
    <row r="1928" spans="1:1" x14ac:dyDescent="0.2">
      <c r="A1928" s="68"/>
    </row>
    <row r="1929" spans="1:1" x14ac:dyDescent="0.2">
      <c r="A1929" s="68"/>
    </row>
    <row r="1930" spans="1:1" x14ac:dyDescent="0.2">
      <c r="A1930" s="68"/>
    </row>
    <row r="1931" spans="1:1" x14ac:dyDescent="0.2">
      <c r="A1931" s="68"/>
    </row>
    <row r="1932" spans="1:1" x14ac:dyDescent="0.2">
      <c r="A1932" s="68"/>
    </row>
    <row r="1933" spans="1:1" x14ac:dyDescent="0.2">
      <c r="A1933" s="68"/>
    </row>
    <row r="1934" spans="1:1" x14ac:dyDescent="0.2">
      <c r="A1934" s="68"/>
    </row>
    <row r="1935" spans="1:1" x14ac:dyDescent="0.2">
      <c r="A1935" s="68"/>
    </row>
    <row r="1936" spans="1:1" x14ac:dyDescent="0.2">
      <c r="A1936" s="68"/>
    </row>
    <row r="1937" spans="1:1" x14ac:dyDescent="0.2">
      <c r="A1937" s="68"/>
    </row>
    <row r="1938" spans="1:1" x14ac:dyDescent="0.2">
      <c r="A1938" s="68"/>
    </row>
    <row r="1939" spans="1:1" x14ac:dyDescent="0.2">
      <c r="A1939" s="68"/>
    </row>
    <row r="1940" spans="1:1" x14ac:dyDescent="0.2">
      <c r="A1940" s="68"/>
    </row>
    <row r="1941" spans="1:1" x14ac:dyDescent="0.2">
      <c r="A1941" s="68"/>
    </row>
    <row r="1942" spans="1:1" x14ac:dyDescent="0.2">
      <c r="A1942" s="68"/>
    </row>
    <row r="1943" spans="1:1" x14ac:dyDescent="0.2">
      <c r="A1943" s="68"/>
    </row>
    <row r="1944" spans="1:1" x14ac:dyDescent="0.2">
      <c r="A1944" s="68"/>
    </row>
    <row r="1945" spans="1:1" x14ac:dyDescent="0.2">
      <c r="A1945" s="68"/>
    </row>
    <row r="1946" spans="1:1" x14ac:dyDescent="0.2">
      <c r="A1946" s="68"/>
    </row>
    <row r="1947" spans="1:1" x14ac:dyDescent="0.2">
      <c r="A1947" s="68"/>
    </row>
    <row r="1948" spans="1:1" x14ac:dyDescent="0.2">
      <c r="A1948" s="68"/>
    </row>
    <row r="1949" spans="1:1" x14ac:dyDescent="0.2">
      <c r="A1949" s="68"/>
    </row>
    <row r="1950" spans="1:1" x14ac:dyDescent="0.2">
      <c r="A1950" s="68"/>
    </row>
    <row r="1951" spans="1:1" x14ac:dyDescent="0.2">
      <c r="A1951" s="68"/>
    </row>
    <row r="1952" spans="1:1" x14ac:dyDescent="0.2">
      <c r="A1952" s="68"/>
    </row>
    <row r="1953" spans="1:1" x14ac:dyDescent="0.2">
      <c r="A1953" s="68"/>
    </row>
    <row r="1954" spans="1:1" x14ac:dyDescent="0.2">
      <c r="A1954" s="68"/>
    </row>
    <row r="1955" spans="1:1" x14ac:dyDescent="0.2">
      <c r="A1955" s="68"/>
    </row>
    <row r="1956" spans="1:1" x14ac:dyDescent="0.2">
      <c r="A1956" s="68"/>
    </row>
    <row r="1957" spans="1:1" x14ac:dyDescent="0.2">
      <c r="A1957" s="68"/>
    </row>
    <row r="1958" spans="1:1" x14ac:dyDescent="0.2">
      <c r="A1958" s="68"/>
    </row>
    <row r="1959" spans="1:1" x14ac:dyDescent="0.2">
      <c r="A1959" s="68"/>
    </row>
    <row r="1960" spans="1:1" x14ac:dyDescent="0.2">
      <c r="A1960" s="68"/>
    </row>
    <row r="1961" spans="1:1" x14ac:dyDescent="0.2">
      <c r="A1961" s="68"/>
    </row>
    <row r="1962" spans="1:1" x14ac:dyDescent="0.2">
      <c r="A1962" s="68"/>
    </row>
    <row r="1963" spans="1:1" x14ac:dyDescent="0.2">
      <c r="A1963" s="68"/>
    </row>
    <row r="1964" spans="1:1" x14ac:dyDescent="0.2">
      <c r="A1964" s="68"/>
    </row>
    <row r="1965" spans="1:1" x14ac:dyDescent="0.2">
      <c r="A1965" s="68"/>
    </row>
    <row r="1966" spans="1:1" x14ac:dyDescent="0.2">
      <c r="A1966" s="68"/>
    </row>
    <row r="1967" spans="1:1" x14ac:dyDescent="0.2">
      <c r="A1967" s="68"/>
    </row>
    <row r="1968" spans="1:1" x14ac:dyDescent="0.2">
      <c r="A1968" s="68"/>
    </row>
    <row r="1969" spans="1:1" x14ac:dyDescent="0.2">
      <c r="A1969" s="68"/>
    </row>
    <row r="1970" spans="1:1" x14ac:dyDescent="0.2">
      <c r="A1970" s="68"/>
    </row>
    <row r="1971" spans="1:1" x14ac:dyDescent="0.2">
      <c r="A1971" s="68"/>
    </row>
    <row r="1972" spans="1:1" x14ac:dyDescent="0.2">
      <c r="A1972" s="68"/>
    </row>
    <row r="1973" spans="1:1" x14ac:dyDescent="0.2">
      <c r="A1973" s="68"/>
    </row>
    <row r="1974" spans="1:1" x14ac:dyDescent="0.2">
      <c r="A1974" s="68"/>
    </row>
    <row r="1975" spans="1:1" x14ac:dyDescent="0.2">
      <c r="A1975" s="68"/>
    </row>
    <row r="1976" spans="1:1" x14ac:dyDescent="0.2">
      <c r="A1976" s="68"/>
    </row>
    <row r="1977" spans="1:1" x14ac:dyDescent="0.2">
      <c r="A1977" s="68"/>
    </row>
    <row r="1978" spans="1:1" x14ac:dyDescent="0.2">
      <c r="A1978" s="68"/>
    </row>
    <row r="1979" spans="1:1" x14ac:dyDescent="0.2">
      <c r="A1979" s="68"/>
    </row>
    <row r="1980" spans="1:1" x14ac:dyDescent="0.2">
      <c r="A1980" s="68"/>
    </row>
    <row r="1981" spans="1:1" x14ac:dyDescent="0.2">
      <c r="A1981" s="68"/>
    </row>
    <row r="1982" spans="1:1" x14ac:dyDescent="0.2">
      <c r="A1982" s="68"/>
    </row>
    <row r="1983" spans="1:1" x14ac:dyDescent="0.2">
      <c r="A1983" s="68"/>
    </row>
    <row r="1984" spans="1:1" x14ac:dyDescent="0.2">
      <c r="A1984" s="68"/>
    </row>
    <row r="1985" spans="1:1" x14ac:dyDescent="0.2">
      <c r="A1985" s="68"/>
    </row>
    <row r="1986" spans="1:1" x14ac:dyDescent="0.2">
      <c r="A1986" s="68"/>
    </row>
    <row r="1987" spans="1:1" x14ac:dyDescent="0.2">
      <c r="A1987" s="68"/>
    </row>
    <row r="1988" spans="1:1" x14ac:dyDescent="0.2">
      <c r="A1988" s="68"/>
    </row>
    <row r="1989" spans="1:1" x14ac:dyDescent="0.2">
      <c r="A1989" s="68"/>
    </row>
    <row r="1990" spans="1:1" x14ac:dyDescent="0.2">
      <c r="A1990" s="68"/>
    </row>
    <row r="1991" spans="1:1" x14ac:dyDescent="0.2">
      <c r="A1991" s="68"/>
    </row>
    <row r="1992" spans="1:1" x14ac:dyDescent="0.2">
      <c r="A1992" s="68"/>
    </row>
    <row r="1993" spans="1:1" x14ac:dyDescent="0.2">
      <c r="A1993" s="68"/>
    </row>
    <row r="1994" spans="1:1" x14ac:dyDescent="0.2">
      <c r="A1994" s="68"/>
    </row>
    <row r="1995" spans="1:1" x14ac:dyDescent="0.2">
      <c r="A1995" s="68"/>
    </row>
    <row r="1996" spans="1:1" x14ac:dyDescent="0.2">
      <c r="A1996" s="68"/>
    </row>
    <row r="1997" spans="1:1" x14ac:dyDescent="0.2">
      <c r="A1997" s="68"/>
    </row>
    <row r="1998" spans="1:1" x14ac:dyDescent="0.2">
      <c r="A1998" s="68"/>
    </row>
    <row r="1999" spans="1:1" x14ac:dyDescent="0.2">
      <c r="A1999" s="68"/>
    </row>
    <row r="2000" spans="1:1" x14ac:dyDescent="0.2">
      <c r="A2000" s="68"/>
    </row>
    <row r="2001" spans="1:1" x14ac:dyDescent="0.2">
      <c r="A2001" s="68"/>
    </row>
    <row r="2002" spans="1:1" x14ac:dyDescent="0.2">
      <c r="A2002" s="68"/>
    </row>
    <row r="2003" spans="1:1" x14ac:dyDescent="0.2">
      <c r="A2003" s="68"/>
    </row>
    <row r="2004" spans="1:1" x14ac:dyDescent="0.2">
      <c r="A2004" s="68"/>
    </row>
    <row r="2005" spans="1:1" x14ac:dyDescent="0.2">
      <c r="A2005" s="68"/>
    </row>
    <row r="2006" spans="1:1" x14ac:dyDescent="0.2">
      <c r="A2006" s="68"/>
    </row>
    <row r="2007" spans="1:1" x14ac:dyDescent="0.2">
      <c r="A2007" s="68"/>
    </row>
    <row r="2008" spans="1:1" x14ac:dyDescent="0.2">
      <c r="A2008" s="68"/>
    </row>
    <row r="2009" spans="1:1" x14ac:dyDescent="0.2">
      <c r="A2009" s="68"/>
    </row>
    <row r="2010" spans="1:1" x14ac:dyDescent="0.2">
      <c r="A2010" s="68"/>
    </row>
    <row r="2011" spans="1:1" x14ac:dyDescent="0.2">
      <c r="A2011" s="68"/>
    </row>
    <row r="2012" spans="1:1" x14ac:dyDescent="0.2">
      <c r="A2012" s="68"/>
    </row>
    <row r="2013" spans="1:1" x14ac:dyDescent="0.2">
      <c r="A2013" s="68"/>
    </row>
    <row r="2014" spans="1:1" x14ac:dyDescent="0.2">
      <c r="A2014" s="68"/>
    </row>
    <row r="2015" spans="1:1" x14ac:dyDescent="0.2">
      <c r="A2015" s="68"/>
    </row>
    <row r="2016" spans="1:1" x14ac:dyDescent="0.2">
      <c r="A2016" s="68"/>
    </row>
    <row r="2017" spans="1:1" x14ac:dyDescent="0.2">
      <c r="A2017" s="68"/>
    </row>
    <row r="2018" spans="1:1" x14ac:dyDescent="0.2">
      <c r="A2018" s="68"/>
    </row>
    <row r="2019" spans="1:1" x14ac:dyDescent="0.2">
      <c r="A2019" s="68"/>
    </row>
    <row r="2020" spans="1:1" x14ac:dyDescent="0.2">
      <c r="A2020" s="68"/>
    </row>
    <row r="2021" spans="1:1" x14ac:dyDescent="0.2">
      <c r="A2021" s="68"/>
    </row>
    <row r="2022" spans="1:1" x14ac:dyDescent="0.2">
      <c r="A2022" s="68"/>
    </row>
    <row r="2023" spans="1:1" x14ac:dyDescent="0.2">
      <c r="A2023" s="68"/>
    </row>
    <row r="2024" spans="1:1" x14ac:dyDescent="0.2">
      <c r="A2024" s="68"/>
    </row>
    <row r="2025" spans="1:1" x14ac:dyDescent="0.2">
      <c r="A2025" s="68"/>
    </row>
    <row r="2026" spans="1:1" x14ac:dyDescent="0.2">
      <c r="A2026" s="68"/>
    </row>
    <row r="2027" spans="1:1" x14ac:dyDescent="0.2">
      <c r="A2027" s="68"/>
    </row>
    <row r="2028" spans="1:1" x14ac:dyDescent="0.2">
      <c r="A2028" s="68"/>
    </row>
    <row r="2029" spans="1:1" x14ac:dyDescent="0.2">
      <c r="A2029" s="68"/>
    </row>
    <row r="2030" spans="1:1" x14ac:dyDescent="0.2">
      <c r="A2030" s="68"/>
    </row>
    <row r="2031" spans="1:1" x14ac:dyDescent="0.2">
      <c r="A2031" s="68"/>
    </row>
    <row r="2032" spans="1:1" x14ac:dyDescent="0.2">
      <c r="A2032" s="68"/>
    </row>
    <row r="2033" spans="1:1" x14ac:dyDescent="0.2">
      <c r="A2033" s="68"/>
    </row>
    <row r="2034" spans="1:1" x14ac:dyDescent="0.2">
      <c r="A2034" s="68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009900"/>
  </sheetPr>
  <dimension ref="A1:J2"/>
  <sheetViews>
    <sheetView showGridLines="0" workbookViewId="0">
      <selection activeCell="A2" sqref="A2:D33"/>
    </sheetView>
  </sheetViews>
  <sheetFormatPr baseColWidth="10" defaultColWidth="11.42578125" defaultRowHeight="12.75" x14ac:dyDescent="0.2"/>
  <cols>
    <col min="1" max="1" width="10.7109375" bestFit="1" customWidth="1"/>
    <col min="2" max="2" width="34.5703125" bestFit="1" customWidth="1"/>
    <col min="3" max="3" width="12.7109375" bestFit="1" customWidth="1"/>
    <col min="4" max="4" width="44.140625" bestFit="1" customWidth="1"/>
    <col min="7" max="7" width="10.7109375" customWidth="1"/>
    <col min="8" max="8" width="30.28515625" customWidth="1"/>
    <col min="9" max="9" width="12.7109375" customWidth="1"/>
    <col min="10" max="10" width="39.85546875" customWidth="1"/>
  </cols>
  <sheetData>
    <row r="1" spans="1:10" x14ac:dyDescent="0.2">
      <c r="A1" t="s">
        <v>3</v>
      </c>
      <c r="B1" t="s">
        <v>54</v>
      </c>
      <c r="C1" t="s">
        <v>38</v>
      </c>
      <c r="D1" t="s">
        <v>55</v>
      </c>
      <c r="G1" t="s">
        <v>3</v>
      </c>
      <c r="H1" t="s">
        <v>57</v>
      </c>
      <c r="I1" t="s">
        <v>38</v>
      </c>
      <c r="J1" s="1" t="s">
        <v>55</v>
      </c>
    </row>
    <row r="2" spans="1:10" x14ac:dyDescent="0.2">
      <c r="A2" s="68"/>
      <c r="B2" s="68"/>
      <c r="C2" s="68"/>
      <c r="D2" s="13"/>
      <c r="G2" s="68"/>
      <c r="H2" s="68"/>
      <c r="I2" s="14"/>
      <c r="J2" s="13"/>
    </row>
  </sheetData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9900"/>
  </sheetPr>
  <dimension ref="A1:C2"/>
  <sheetViews>
    <sheetView showGridLines="0" workbookViewId="0">
      <selection activeCell="A2" sqref="A2:C2"/>
    </sheetView>
  </sheetViews>
  <sheetFormatPr baseColWidth="10" defaultColWidth="11.42578125" defaultRowHeight="12.75" x14ac:dyDescent="0.2"/>
  <cols>
    <col min="1" max="1" width="17.28515625" bestFit="1" customWidth="1"/>
    <col min="2" max="2" width="17.7109375" customWidth="1"/>
    <col min="3" max="3" width="22" customWidth="1"/>
    <col min="4" max="4" width="9.140625" bestFit="1" customWidth="1"/>
    <col min="5" max="6" width="16.140625" bestFit="1" customWidth="1"/>
    <col min="7" max="7" width="11.28515625" customWidth="1"/>
    <col min="8" max="8" width="24.5703125" customWidth="1"/>
    <col min="9" max="9" width="15.140625" customWidth="1"/>
    <col min="10" max="10" width="22.140625" customWidth="1"/>
    <col min="11" max="11" width="11.85546875" customWidth="1"/>
    <col min="12" max="12" width="18.85546875" customWidth="1"/>
    <col min="13" max="13" width="9.140625" customWidth="1"/>
    <col min="14" max="14" width="16.140625" customWidth="1"/>
    <col min="15" max="15" width="11.28515625" customWidth="1"/>
    <col min="16" max="16" width="9.140625" customWidth="1"/>
    <col min="17" max="17" width="16.140625" customWidth="1"/>
    <col min="18" max="18" width="11.28515625" customWidth="1"/>
    <col min="19" max="19" width="9.140625" customWidth="1"/>
    <col min="20" max="20" width="16.140625" customWidth="1"/>
  </cols>
  <sheetData>
    <row r="1" spans="1:3" x14ac:dyDescent="0.2">
      <c r="A1" s="1" t="s">
        <v>63</v>
      </c>
      <c r="B1" s="1" t="s">
        <v>3</v>
      </c>
      <c r="C1" s="1" t="s">
        <v>38</v>
      </c>
    </row>
    <row r="2" spans="1:3" x14ac:dyDescent="0.2">
      <c r="A2" s="68"/>
      <c r="B2" s="1"/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9900"/>
  </sheetPr>
  <dimension ref="A1:C2"/>
  <sheetViews>
    <sheetView showGridLines="0" workbookViewId="0">
      <selection activeCell="A2" sqref="A2:C2"/>
    </sheetView>
  </sheetViews>
  <sheetFormatPr baseColWidth="10" defaultColWidth="11.42578125" defaultRowHeight="12.75" x14ac:dyDescent="0.2"/>
  <cols>
    <col min="1" max="1" width="20" customWidth="1"/>
    <col min="2" max="2" width="24.140625" customWidth="1"/>
  </cols>
  <sheetData>
    <row r="1" spans="1:3" x14ac:dyDescent="0.2">
      <c r="A1" s="1" t="s">
        <v>63</v>
      </c>
      <c r="B1" s="1" t="s">
        <v>3</v>
      </c>
      <c r="C1" t="s">
        <v>38</v>
      </c>
    </row>
    <row r="2" spans="1:3" x14ac:dyDescent="0.2">
      <c r="A2" s="13"/>
      <c r="B2" s="13"/>
      <c r="C2" s="1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009900"/>
  </sheetPr>
  <dimension ref="A1:H2"/>
  <sheetViews>
    <sheetView showGridLines="0" workbookViewId="0">
      <selection activeCell="F9" sqref="F9"/>
    </sheetView>
  </sheetViews>
  <sheetFormatPr baseColWidth="10" defaultColWidth="11.42578125" defaultRowHeight="12.75" x14ac:dyDescent="0.2"/>
  <cols>
    <col min="1" max="1" width="10.7109375" bestFit="1" customWidth="1"/>
    <col min="2" max="2" width="13.42578125" bestFit="1" customWidth="1"/>
    <col min="3" max="3" width="15.140625" customWidth="1"/>
    <col min="4" max="4" width="11.85546875" bestFit="1" customWidth="1"/>
    <col min="5" max="5" width="12" bestFit="1" customWidth="1"/>
    <col min="6" max="6" width="12.7109375" customWidth="1"/>
    <col min="7" max="7" width="11.85546875" customWidth="1"/>
    <col min="8" max="8" width="13" customWidth="1"/>
    <col min="9" max="9" width="10.7109375" customWidth="1"/>
    <col min="10" max="10" width="14.28515625" customWidth="1"/>
    <col min="11" max="11" width="11.5703125" bestFit="1" customWidth="1"/>
    <col min="12" max="12" width="12" bestFit="1" customWidth="1"/>
  </cols>
  <sheetData>
    <row r="1" spans="1:8" x14ac:dyDescent="0.2">
      <c r="A1" t="s">
        <v>3</v>
      </c>
      <c r="B1" t="s">
        <v>167</v>
      </c>
      <c r="D1" t="s">
        <v>3</v>
      </c>
      <c r="E1" t="s">
        <v>133</v>
      </c>
      <c r="G1" t="s">
        <v>3</v>
      </c>
      <c r="H1" t="s">
        <v>133</v>
      </c>
    </row>
    <row r="2" spans="1:8" x14ac:dyDescent="0.2">
      <c r="A2" s="68"/>
      <c r="B2" s="68"/>
      <c r="D2" s="68"/>
      <c r="E2" s="68"/>
      <c r="G2" s="68"/>
      <c r="H2" s="68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009900"/>
  </sheetPr>
  <dimension ref="A1:I2"/>
  <sheetViews>
    <sheetView showGridLines="0" zoomScale="85" zoomScaleNormal="85" workbookViewId="0">
      <selection activeCell="A2" sqref="A2:C22"/>
    </sheetView>
  </sheetViews>
  <sheetFormatPr baseColWidth="10" defaultColWidth="11.42578125" defaultRowHeight="12.75" x14ac:dyDescent="0.2"/>
  <cols>
    <col min="1" max="1" width="12.140625" bestFit="1" customWidth="1"/>
    <col min="2" max="2" width="35.42578125" bestFit="1" customWidth="1"/>
    <col min="3" max="3" width="16.140625" bestFit="1" customWidth="1"/>
    <col min="4" max="4" width="8.42578125" bestFit="1" customWidth="1"/>
    <col min="5" max="5" width="24.28515625" customWidth="1"/>
    <col min="6" max="6" width="48.140625" customWidth="1"/>
    <col min="7" max="7" width="10.140625" bestFit="1" customWidth="1"/>
    <col min="8" max="8" width="28.42578125" customWidth="1"/>
    <col min="9" max="9" width="52.7109375" customWidth="1"/>
  </cols>
  <sheetData>
    <row r="1" spans="1:9" x14ac:dyDescent="0.2">
      <c r="A1" t="s">
        <v>31</v>
      </c>
      <c r="B1" t="s">
        <v>48</v>
      </c>
      <c r="C1" t="s">
        <v>109</v>
      </c>
      <c r="E1" t="s">
        <v>129</v>
      </c>
      <c r="F1" t="s">
        <v>130</v>
      </c>
      <c r="H1" t="s">
        <v>129</v>
      </c>
      <c r="I1" t="s">
        <v>130</v>
      </c>
    </row>
    <row r="2" spans="1:9" x14ac:dyDescent="0.2">
      <c r="A2" s="68"/>
      <c r="B2" s="68"/>
      <c r="C2" s="68"/>
      <c r="E2" s="68"/>
      <c r="F2" s="68"/>
      <c r="H2" s="68"/>
      <c r="I2" s="68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9900"/>
  </sheetPr>
  <dimension ref="A1:F3"/>
  <sheetViews>
    <sheetView showGridLines="0" workbookViewId="0">
      <selection activeCell="A2" sqref="A2:B457"/>
    </sheetView>
  </sheetViews>
  <sheetFormatPr baseColWidth="10" defaultColWidth="11.42578125" defaultRowHeight="12.75" x14ac:dyDescent="0.2"/>
  <cols>
    <col min="1" max="1" width="25.42578125" bestFit="1" customWidth="1"/>
    <col min="6" max="6" width="20.42578125" bestFit="1" customWidth="1"/>
    <col min="7" max="7" width="10.140625" customWidth="1"/>
  </cols>
  <sheetData>
    <row r="1" spans="1:6" ht="13.5" thickBot="1" x14ac:dyDescent="0.25">
      <c r="A1" s="25" t="s">
        <v>546</v>
      </c>
      <c r="B1" s="26" t="s">
        <v>98</v>
      </c>
      <c r="E1" t="s">
        <v>3</v>
      </c>
      <c r="F1" t="s">
        <v>98</v>
      </c>
    </row>
    <row r="2" spans="1:6" ht="13.5" thickTop="1" x14ac:dyDescent="0.2">
      <c r="A2" s="51"/>
      <c r="B2" s="90"/>
      <c r="E2" s="13">
        <v>1</v>
      </c>
      <c r="F2" s="12"/>
    </row>
    <row r="3" spans="1:6" x14ac:dyDescent="0.2">
      <c r="E3" s="19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9900"/>
  </sheetPr>
  <dimension ref="A1:D2"/>
  <sheetViews>
    <sheetView showGridLines="0" workbookViewId="0">
      <selection activeCell="A2" sqref="A2:D2"/>
    </sheetView>
  </sheetViews>
  <sheetFormatPr baseColWidth="10" defaultColWidth="11.42578125" defaultRowHeight="12.75" x14ac:dyDescent="0.2"/>
  <cols>
    <col min="1" max="1" width="29.42578125" bestFit="1" customWidth="1"/>
    <col min="2" max="2" width="20.42578125" bestFit="1" customWidth="1"/>
    <col min="5" max="5" width="15.140625" bestFit="1" customWidth="1"/>
    <col min="6" max="6" width="11.28515625" customWidth="1"/>
    <col min="7" max="7" width="15" customWidth="1"/>
    <col min="8" max="8" width="14.42578125" customWidth="1"/>
    <col min="9" max="10" width="10.140625" customWidth="1"/>
    <col min="11" max="11" width="10.5703125" customWidth="1"/>
    <col min="12" max="12" width="14" customWidth="1"/>
    <col min="13" max="13" width="16.85546875" customWidth="1"/>
    <col min="14" max="14" width="13.28515625" customWidth="1"/>
    <col min="15" max="15" width="12.140625" customWidth="1"/>
    <col min="16" max="16" width="13" customWidth="1"/>
    <col min="17" max="17" width="13.85546875" customWidth="1"/>
    <col min="18" max="18" width="13.5703125" customWidth="1"/>
    <col min="19" max="19" width="12.140625" customWidth="1"/>
    <col min="20" max="20" width="12.7109375" customWidth="1"/>
    <col min="21" max="21" width="40.7109375" customWidth="1"/>
    <col min="22" max="22" width="36.85546875" customWidth="1"/>
    <col min="23" max="23" width="15.7109375" customWidth="1"/>
  </cols>
  <sheetData>
    <row r="1" spans="1:4" x14ac:dyDescent="0.2">
      <c r="A1" s="1" t="s">
        <v>546</v>
      </c>
      <c r="B1" s="1" t="s">
        <v>78</v>
      </c>
      <c r="C1" s="14" t="s">
        <v>410</v>
      </c>
      <c r="D1" s="14" t="s">
        <v>411</v>
      </c>
    </row>
    <row r="2" spans="1:4" x14ac:dyDescent="0.2">
      <c r="A2" s="13"/>
      <c r="C2" s="90"/>
      <c r="D2" s="9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rgb="FF009900"/>
  </sheetPr>
  <dimension ref="A1:A21"/>
  <sheetViews>
    <sheetView showGridLines="0" workbookViewId="0">
      <selection activeCell="A10" sqref="A10"/>
    </sheetView>
  </sheetViews>
  <sheetFormatPr baseColWidth="10" defaultColWidth="11.42578125" defaultRowHeight="12.75" x14ac:dyDescent="0.2"/>
  <cols>
    <col min="1" max="1" width="57" bestFit="1" customWidth="1"/>
  </cols>
  <sheetData>
    <row r="1" spans="1:1" x14ac:dyDescent="0.2">
      <c r="A1" t="s">
        <v>232</v>
      </c>
    </row>
    <row r="2" spans="1:1" x14ac:dyDescent="0.2">
      <c r="A2" s="68" t="s">
        <v>412</v>
      </c>
    </row>
    <row r="3" spans="1:1" x14ac:dyDescent="0.2">
      <c r="A3" s="68" t="s">
        <v>266</v>
      </c>
    </row>
    <row r="4" spans="1:1" x14ac:dyDescent="0.2">
      <c r="A4" s="68" t="s">
        <v>363</v>
      </c>
    </row>
    <row r="5" spans="1:1" x14ac:dyDescent="0.2">
      <c r="A5" s="68" t="s">
        <v>364</v>
      </c>
    </row>
    <row r="6" spans="1:1" x14ac:dyDescent="0.2">
      <c r="A6" s="68" t="s">
        <v>407</v>
      </c>
    </row>
    <row r="7" spans="1:1" x14ac:dyDescent="0.2">
      <c r="A7" s="68" t="s">
        <v>408</v>
      </c>
    </row>
    <row r="8" spans="1:1" x14ac:dyDescent="0.2">
      <c r="A8" s="68" t="s">
        <v>389</v>
      </c>
    </row>
    <row r="9" spans="1:1" x14ac:dyDescent="0.2">
      <c r="A9" s="68" t="s">
        <v>365</v>
      </c>
    </row>
    <row r="10" spans="1:1" x14ac:dyDescent="0.2">
      <c r="A10" s="68" t="s">
        <v>413</v>
      </c>
    </row>
    <row r="11" spans="1:1" x14ac:dyDescent="0.2">
      <c r="A11" s="68" t="s">
        <v>414</v>
      </c>
    </row>
    <row r="12" spans="1:1" x14ac:dyDescent="0.2">
      <c r="A12" s="68" t="s">
        <v>270</v>
      </c>
    </row>
    <row r="13" spans="1:1" x14ac:dyDescent="0.2">
      <c r="A13" s="68" t="s">
        <v>415</v>
      </c>
    </row>
    <row r="14" spans="1:1" x14ac:dyDescent="0.2">
      <c r="A14" s="68" t="s">
        <v>233</v>
      </c>
    </row>
    <row r="15" spans="1:1" x14ac:dyDescent="0.2">
      <c r="A15" s="68" t="s">
        <v>271</v>
      </c>
    </row>
    <row r="16" spans="1:1" x14ac:dyDescent="0.2">
      <c r="A16" s="68" t="s">
        <v>416</v>
      </c>
    </row>
    <row r="17" spans="1:1" x14ac:dyDescent="0.2">
      <c r="A17" s="68" t="s">
        <v>366</v>
      </c>
    </row>
    <row r="18" spans="1:1" x14ac:dyDescent="0.2">
      <c r="A18" s="68" t="s">
        <v>367</v>
      </c>
    </row>
    <row r="19" spans="1:1" x14ac:dyDescent="0.2">
      <c r="A19" s="68" t="s">
        <v>368</v>
      </c>
    </row>
    <row r="20" spans="1:1" x14ac:dyDescent="0.2">
      <c r="A20" s="68" t="s">
        <v>269</v>
      </c>
    </row>
    <row r="21" spans="1:1" x14ac:dyDescent="0.2">
      <c r="A21" s="68" t="s">
        <v>272</v>
      </c>
    </row>
  </sheetData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>
    <tabColor rgb="FF009900"/>
  </sheetPr>
  <dimension ref="A1:B2"/>
  <sheetViews>
    <sheetView showGridLines="0" workbookViewId="0">
      <selection activeCell="A2" sqref="A2:B77"/>
    </sheetView>
  </sheetViews>
  <sheetFormatPr baseColWidth="10" defaultColWidth="11.42578125" defaultRowHeight="12.75" x14ac:dyDescent="0.2"/>
  <cols>
    <col min="1" max="1" width="17.28515625" bestFit="1" customWidth="1"/>
    <col min="3" max="3" width="12.7109375" customWidth="1"/>
  </cols>
  <sheetData>
    <row r="1" spans="1:2" x14ac:dyDescent="0.2">
      <c r="A1" s="68" t="s">
        <v>550</v>
      </c>
      <c r="B1" s="68" t="s">
        <v>258</v>
      </c>
    </row>
    <row r="2" spans="1:2" x14ac:dyDescent="0.2">
      <c r="A2" s="68"/>
      <c r="B2" s="6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rgb="FF009900"/>
  </sheetPr>
  <dimension ref="A1:A197"/>
  <sheetViews>
    <sheetView showGridLines="0" workbookViewId="0">
      <selection activeCell="A2" sqref="A2:A197"/>
    </sheetView>
  </sheetViews>
  <sheetFormatPr baseColWidth="10" defaultColWidth="11.42578125" defaultRowHeight="12.75" x14ac:dyDescent="0.2"/>
  <cols>
    <col min="1" max="1" width="13.5703125" customWidth="1"/>
  </cols>
  <sheetData>
    <row r="1" spans="1:1" x14ac:dyDescent="0.2">
      <c r="A1" t="s">
        <v>114</v>
      </c>
    </row>
    <row r="2" spans="1:1" ht="53.25" thickBot="1" x14ac:dyDescent="0.25">
      <c r="A2" s="173" t="s">
        <v>1406</v>
      </c>
    </row>
    <row r="3" spans="1:1" ht="52.5" x14ac:dyDescent="0.2">
      <c r="A3" s="174" t="s">
        <v>1407</v>
      </c>
    </row>
    <row r="4" spans="1:1" ht="52.5" x14ac:dyDescent="0.2">
      <c r="A4" s="174" t="s">
        <v>1408</v>
      </c>
    </row>
    <row r="5" spans="1:1" ht="52.5" x14ac:dyDescent="0.2">
      <c r="A5" s="174" t="s">
        <v>1409</v>
      </c>
    </row>
    <row r="6" spans="1:1" ht="52.5" x14ac:dyDescent="0.2">
      <c r="A6" s="174" t="s">
        <v>1410</v>
      </c>
    </row>
    <row r="7" spans="1:1" ht="52.5" x14ac:dyDescent="0.2">
      <c r="A7" s="174" t="s">
        <v>1411</v>
      </c>
    </row>
    <row r="8" spans="1:1" ht="52.5" x14ac:dyDescent="0.2">
      <c r="A8" s="174" t="s">
        <v>1412</v>
      </c>
    </row>
    <row r="9" spans="1:1" ht="52.5" x14ac:dyDescent="0.2">
      <c r="A9" s="174" t="s">
        <v>1413</v>
      </c>
    </row>
    <row r="10" spans="1:1" ht="52.5" x14ac:dyDescent="0.2">
      <c r="A10" s="174" t="s">
        <v>1414</v>
      </c>
    </row>
    <row r="11" spans="1:1" ht="52.5" x14ac:dyDescent="0.2">
      <c r="A11" s="174" t="s">
        <v>1415</v>
      </c>
    </row>
    <row r="12" spans="1:1" ht="52.5" x14ac:dyDescent="0.2">
      <c r="A12" s="174" t="s">
        <v>1416</v>
      </c>
    </row>
    <row r="13" spans="1:1" ht="52.5" x14ac:dyDescent="0.2">
      <c r="A13" s="174" t="s">
        <v>1417</v>
      </c>
    </row>
    <row r="14" spans="1:1" ht="52.5" x14ac:dyDescent="0.2">
      <c r="A14" s="174" t="s">
        <v>1418</v>
      </c>
    </row>
    <row r="15" spans="1:1" ht="52.5" x14ac:dyDescent="0.2">
      <c r="A15" s="174" t="s">
        <v>623</v>
      </c>
    </row>
    <row r="16" spans="1:1" ht="52.5" x14ac:dyDescent="0.2">
      <c r="A16" s="174" t="s">
        <v>642</v>
      </c>
    </row>
    <row r="17" spans="1:1" ht="52.5" x14ac:dyDescent="0.2">
      <c r="A17" s="174" t="s">
        <v>643</v>
      </c>
    </row>
    <row r="18" spans="1:1" ht="52.5" x14ac:dyDescent="0.2">
      <c r="A18" s="174" t="s">
        <v>624</v>
      </c>
    </row>
    <row r="19" spans="1:1" ht="52.5" x14ac:dyDescent="0.2">
      <c r="A19" s="174" t="s">
        <v>625</v>
      </c>
    </row>
    <row r="20" spans="1:1" ht="52.5" x14ac:dyDescent="0.2">
      <c r="A20" s="174" t="s">
        <v>626</v>
      </c>
    </row>
    <row r="21" spans="1:1" ht="52.5" x14ac:dyDescent="0.2">
      <c r="A21" s="174" t="s">
        <v>627</v>
      </c>
    </row>
    <row r="22" spans="1:1" ht="52.5" x14ac:dyDescent="0.2">
      <c r="A22" s="174" t="s">
        <v>628</v>
      </c>
    </row>
    <row r="23" spans="1:1" ht="52.5" x14ac:dyDescent="0.2">
      <c r="A23" s="174" t="s">
        <v>644</v>
      </c>
    </row>
    <row r="24" spans="1:1" ht="52.5" x14ac:dyDescent="0.2">
      <c r="A24" s="174" t="s">
        <v>629</v>
      </c>
    </row>
    <row r="25" spans="1:1" ht="52.5" x14ac:dyDescent="0.2">
      <c r="A25" s="174" t="s">
        <v>630</v>
      </c>
    </row>
    <row r="26" spans="1:1" ht="52.5" x14ac:dyDescent="0.2">
      <c r="A26" s="174" t="s">
        <v>631</v>
      </c>
    </row>
    <row r="27" spans="1:1" ht="52.5" x14ac:dyDescent="0.2">
      <c r="A27" s="174" t="s">
        <v>632</v>
      </c>
    </row>
    <row r="28" spans="1:1" ht="52.5" x14ac:dyDescent="0.2">
      <c r="A28" s="174" t="s">
        <v>645</v>
      </c>
    </row>
    <row r="29" spans="1:1" ht="52.5" x14ac:dyDescent="0.2">
      <c r="A29" s="174" t="s">
        <v>646</v>
      </c>
    </row>
    <row r="30" spans="1:1" ht="52.5" x14ac:dyDescent="0.2">
      <c r="A30" s="174" t="s">
        <v>567</v>
      </c>
    </row>
    <row r="31" spans="1:1" ht="52.5" x14ac:dyDescent="0.2">
      <c r="A31" s="174" t="s">
        <v>568</v>
      </c>
    </row>
    <row r="32" spans="1:1" ht="52.5" x14ac:dyDescent="0.2">
      <c r="A32" s="174" t="s">
        <v>569</v>
      </c>
    </row>
    <row r="33" spans="1:1" ht="52.5" x14ac:dyDescent="0.2">
      <c r="A33" s="174" t="s">
        <v>570</v>
      </c>
    </row>
    <row r="34" spans="1:1" ht="52.5" x14ac:dyDescent="0.2">
      <c r="A34" s="174" t="s">
        <v>571</v>
      </c>
    </row>
    <row r="35" spans="1:1" ht="52.5" x14ac:dyDescent="0.2">
      <c r="A35" s="174" t="s">
        <v>612</v>
      </c>
    </row>
    <row r="36" spans="1:1" ht="52.5" x14ac:dyDescent="0.2">
      <c r="A36" s="174" t="s">
        <v>633</v>
      </c>
    </row>
    <row r="37" spans="1:1" ht="52.5" x14ac:dyDescent="0.2">
      <c r="A37" s="174" t="s">
        <v>634</v>
      </c>
    </row>
    <row r="38" spans="1:1" ht="52.5" x14ac:dyDescent="0.2">
      <c r="A38" s="174" t="s">
        <v>635</v>
      </c>
    </row>
    <row r="39" spans="1:1" ht="52.5" x14ac:dyDescent="0.2">
      <c r="A39" s="174" t="s">
        <v>636</v>
      </c>
    </row>
    <row r="40" spans="1:1" ht="52.5" x14ac:dyDescent="0.2">
      <c r="A40" s="174" t="s">
        <v>637</v>
      </c>
    </row>
    <row r="41" spans="1:1" ht="52.5" x14ac:dyDescent="0.2">
      <c r="A41" s="174" t="s">
        <v>647</v>
      </c>
    </row>
    <row r="42" spans="1:1" ht="52.5" x14ac:dyDescent="0.2">
      <c r="A42" s="174" t="s">
        <v>638</v>
      </c>
    </row>
    <row r="43" spans="1:1" ht="52.5" x14ac:dyDescent="0.2">
      <c r="A43" s="174" t="s">
        <v>639</v>
      </c>
    </row>
    <row r="44" spans="1:1" ht="52.5" x14ac:dyDescent="0.2">
      <c r="A44" s="174" t="s">
        <v>640</v>
      </c>
    </row>
    <row r="45" spans="1:1" ht="52.5" x14ac:dyDescent="0.2">
      <c r="A45" s="174" t="s">
        <v>648</v>
      </c>
    </row>
    <row r="46" spans="1:1" ht="52.5" x14ac:dyDescent="0.2">
      <c r="A46" s="174" t="s">
        <v>649</v>
      </c>
    </row>
    <row r="47" spans="1:1" ht="52.5" x14ac:dyDescent="0.2">
      <c r="A47" s="174" t="s">
        <v>641</v>
      </c>
    </row>
    <row r="48" spans="1:1" ht="52.5" x14ac:dyDescent="0.2">
      <c r="A48" s="174" t="s">
        <v>572</v>
      </c>
    </row>
    <row r="49" spans="1:1" ht="52.5" x14ac:dyDescent="0.2">
      <c r="A49" s="174" t="s">
        <v>573</v>
      </c>
    </row>
    <row r="50" spans="1:1" ht="52.5" x14ac:dyDescent="0.2">
      <c r="A50" s="174" t="s">
        <v>574</v>
      </c>
    </row>
    <row r="51" spans="1:1" ht="52.5" x14ac:dyDescent="0.2">
      <c r="A51" s="174" t="s">
        <v>575</v>
      </c>
    </row>
    <row r="52" spans="1:1" ht="52.5" x14ac:dyDescent="0.2">
      <c r="A52" s="174" t="s">
        <v>819</v>
      </c>
    </row>
    <row r="53" spans="1:1" ht="52.5" x14ac:dyDescent="0.2">
      <c r="A53" s="174" t="s">
        <v>820</v>
      </c>
    </row>
    <row r="54" spans="1:1" ht="52.5" x14ac:dyDescent="0.2">
      <c r="A54" s="174" t="s">
        <v>576</v>
      </c>
    </row>
    <row r="55" spans="1:1" ht="52.5" x14ac:dyDescent="0.2">
      <c r="A55" s="174" t="s">
        <v>577</v>
      </c>
    </row>
    <row r="56" spans="1:1" ht="52.5" x14ac:dyDescent="0.2">
      <c r="A56" s="174" t="s">
        <v>578</v>
      </c>
    </row>
    <row r="57" spans="1:1" ht="52.5" x14ac:dyDescent="0.2">
      <c r="A57" s="174" t="s">
        <v>579</v>
      </c>
    </row>
    <row r="58" spans="1:1" ht="52.5" x14ac:dyDescent="0.2">
      <c r="A58" s="174" t="s">
        <v>580</v>
      </c>
    </row>
    <row r="59" spans="1:1" ht="52.5" x14ac:dyDescent="0.2">
      <c r="A59" s="174" t="s">
        <v>821</v>
      </c>
    </row>
    <row r="60" spans="1:1" ht="52.5" x14ac:dyDescent="0.2">
      <c r="A60" s="174" t="s">
        <v>822</v>
      </c>
    </row>
    <row r="61" spans="1:1" ht="52.5" x14ac:dyDescent="0.2">
      <c r="A61" s="174" t="s">
        <v>581</v>
      </c>
    </row>
    <row r="62" spans="1:1" ht="52.5" x14ac:dyDescent="0.2">
      <c r="A62" s="174" t="s">
        <v>582</v>
      </c>
    </row>
    <row r="63" spans="1:1" ht="52.5" x14ac:dyDescent="0.2">
      <c r="A63" s="174" t="s">
        <v>583</v>
      </c>
    </row>
    <row r="64" spans="1:1" ht="52.5" x14ac:dyDescent="0.2">
      <c r="A64" s="174" t="s">
        <v>584</v>
      </c>
    </row>
    <row r="65" spans="1:1" ht="52.5" x14ac:dyDescent="0.2">
      <c r="A65" s="174" t="s">
        <v>589</v>
      </c>
    </row>
    <row r="66" spans="1:1" ht="52.5" x14ac:dyDescent="0.2">
      <c r="A66" s="174" t="s">
        <v>823</v>
      </c>
    </row>
    <row r="67" spans="1:1" ht="52.5" x14ac:dyDescent="0.2">
      <c r="A67" s="174" t="s">
        <v>824</v>
      </c>
    </row>
    <row r="68" spans="1:1" ht="52.5" x14ac:dyDescent="0.2">
      <c r="A68" s="174" t="s">
        <v>590</v>
      </c>
    </row>
    <row r="69" spans="1:1" ht="52.5" x14ac:dyDescent="0.2">
      <c r="A69" s="174" t="s">
        <v>591</v>
      </c>
    </row>
    <row r="70" spans="1:1" ht="52.5" x14ac:dyDescent="0.2">
      <c r="A70" s="174" t="s">
        <v>592</v>
      </c>
    </row>
    <row r="71" spans="1:1" ht="52.5" x14ac:dyDescent="0.2">
      <c r="A71" s="174" t="s">
        <v>593</v>
      </c>
    </row>
    <row r="72" spans="1:1" ht="52.5" x14ac:dyDescent="0.2">
      <c r="A72" s="174" t="s">
        <v>594</v>
      </c>
    </row>
    <row r="73" spans="1:1" ht="52.5" x14ac:dyDescent="0.2">
      <c r="A73" s="174" t="s">
        <v>825</v>
      </c>
    </row>
    <row r="74" spans="1:1" ht="52.5" x14ac:dyDescent="0.2">
      <c r="A74" s="174" t="s">
        <v>826</v>
      </c>
    </row>
    <row r="75" spans="1:1" ht="52.5" x14ac:dyDescent="0.2">
      <c r="A75" s="174" t="s">
        <v>595</v>
      </c>
    </row>
    <row r="76" spans="1:1" ht="52.5" x14ac:dyDescent="0.2">
      <c r="A76" s="174" t="s">
        <v>596</v>
      </c>
    </row>
    <row r="77" spans="1:1" ht="52.5" x14ac:dyDescent="0.2">
      <c r="A77" s="174" t="s">
        <v>597</v>
      </c>
    </row>
    <row r="78" spans="1:1" ht="52.5" x14ac:dyDescent="0.2">
      <c r="A78" s="174" t="s">
        <v>598</v>
      </c>
    </row>
    <row r="79" spans="1:1" ht="52.5" x14ac:dyDescent="0.2">
      <c r="A79" s="174" t="s">
        <v>599</v>
      </c>
    </row>
    <row r="80" spans="1:1" ht="52.5" x14ac:dyDescent="0.2">
      <c r="A80" s="174" t="s">
        <v>827</v>
      </c>
    </row>
    <row r="81" spans="1:1" ht="52.5" x14ac:dyDescent="0.2">
      <c r="A81" s="174" t="s">
        <v>828</v>
      </c>
    </row>
    <row r="82" spans="1:1" ht="52.5" x14ac:dyDescent="0.2">
      <c r="A82" s="174" t="s">
        <v>600</v>
      </c>
    </row>
    <row r="83" spans="1:1" ht="52.5" x14ac:dyDescent="0.2">
      <c r="A83" s="174" t="s">
        <v>650</v>
      </c>
    </row>
    <row r="84" spans="1:1" ht="52.5" x14ac:dyDescent="0.2">
      <c r="A84" s="174" t="s">
        <v>651</v>
      </c>
    </row>
    <row r="85" spans="1:1" ht="52.5" x14ac:dyDescent="0.2">
      <c r="A85" s="174" t="s">
        <v>652</v>
      </c>
    </row>
    <row r="86" spans="1:1" ht="52.5" x14ac:dyDescent="0.2">
      <c r="A86" s="174" t="s">
        <v>653</v>
      </c>
    </row>
    <row r="87" spans="1:1" ht="52.5" x14ac:dyDescent="0.2">
      <c r="A87" s="174" t="s">
        <v>829</v>
      </c>
    </row>
    <row r="88" spans="1:1" ht="52.5" x14ac:dyDescent="0.2">
      <c r="A88" s="174" t="s">
        <v>1419</v>
      </c>
    </row>
    <row r="89" spans="1:1" ht="52.5" x14ac:dyDescent="0.2">
      <c r="A89" s="174" t="s">
        <v>654</v>
      </c>
    </row>
    <row r="90" spans="1:1" ht="52.5" x14ac:dyDescent="0.2">
      <c r="A90" s="174" t="s">
        <v>655</v>
      </c>
    </row>
    <row r="91" spans="1:1" ht="52.5" x14ac:dyDescent="0.2">
      <c r="A91" s="174" t="s">
        <v>656</v>
      </c>
    </row>
    <row r="92" spans="1:1" ht="52.5" x14ac:dyDescent="0.2">
      <c r="A92" s="174" t="s">
        <v>657</v>
      </c>
    </row>
    <row r="93" spans="1:1" ht="52.5" x14ac:dyDescent="0.2">
      <c r="A93" s="174" t="s">
        <v>830</v>
      </c>
    </row>
    <row r="94" spans="1:1" ht="52.5" x14ac:dyDescent="0.2">
      <c r="A94" s="174" t="s">
        <v>1420</v>
      </c>
    </row>
    <row r="95" spans="1:1" ht="52.5" x14ac:dyDescent="0.2">
      <c r="A95" s="174" t="s">
        <v>658</v>
      </c>
    </row>
    <row r="96" spans="1:1" ht="52.5" x14ac:dyDescent="0.2">
      <c r="A96" s="174" t="s">
        <v>659</v>
      </c>
    </row>
    <row r="97" spans="1:1" ht="52.5" x14ac:dyDescent="0.2">
      <c r="A97" s="174" t="s">
        <v>660</v>
      </c>
    </row>
    <row r="98" spans="1:1" ht="52.5" x14ac:dyDescent="0.2">
      <c r="A98" s="174" t="s">
        <v>661</v>
      </c>
    </row>
    <row r="99" spans="1:1" ht="52.5" x14ac:dyDescent="0.2">
      <c r="A99" s="174" t="s">
        <v>1421</v>
      </c>
    </row>
    <row r="100" spans="1:1" ht="52.5" x14ac:dyDescent="0.2">
      <c r="A100" s="174" t="s">
        <v>831</v>
      </c>
    </row>
    <row r="101" spans="1:1" ht="52.5" x14ac:dyDescent="0.2">
      <c r="A101" s="174" t="s">
        <v>832</v>
      </c>
    </row>
    <row r="102" spans="1:1" ht="52.5" x14ac:dyDescent="0.2">
      <c r="A102" s="174" t="s">
        <v>662</v>
      </c>
    </row>
    <row r="103" spans="1:1" ht="52.5" x14ac:dyDescent="0.2">
      <c r="A103" s="174" t="s">
        <v>663</v>
      </c>
    </row>
    <row r="104" spans="1:1" ht="52.5" x14ac:dyDescent="0.2">
      <c r="A104" s="174" t="s">
        <v>664</v>
      </c>
    </row>
    <row r="105" spans="1:1" ht="52.5" x14ac:dyDescent="0.2">
      <c r="A105" s="174" t="s">
        <v>665</v>
      </c>
    </row>
    <row r="106" spans="1:1" ht="52.5" x14ac:dyDescent="0.2">
      <c r="A106" s="174" t="s">
        <v>666</v>
      </c>
    </row>
    <row r="107" spans="1:1" ht="52.5" x14ac:dyDescent="0.2">
      <c r="A107" s="174" t="s">
        <v>818</v>
      </c>
    </row>
    <row r="108" spans="1:1" ht="52.5" x14ac:dyDescent="0.2">
      <c r="A108" s="174" t="s">
        <v>840</v>
      </c>
    </row>
    <row r="109" spans="1:1" ht="52.5" x14ac:dyDescent="0.2">
      <c r="A109" s="174" t="s">
        <v>667</v>
      </c>
    </row>
    <row r="110" spans="1:1" ht="52.5" x14ac:dyDescent="0.2">
      <c r="A110" s="174" t="s">
        <v>668</v>
      </c>
    </row>
    <row r="111" spans="1:1" ht="52.5" x14ac:dyDescent="0.2">
      <c r="A111" s="174" t="s">
        <v>669</v>
      </c>
    </row>
    <row r="112" spans="1:1" ht="52.5" x14ac:dyDescent="0.2">
      <c r="A112" s="174" t="s">
        <v>670</v>
      </c>
    </row>
    <row r="113" spans="1:1" ht="52.5" x14ac:dyDescent="0.2">
      <c r="A113" s="174" t="s">
        <v>671</v>
      </c>
    </row>
    <row r="114" spans="1:1" ht="52.5" x14ac:dyDescent="0.2">
      <c r="A114" s="174" t="s">
        <v>672</v>
      </c>
    </row>
    <row r="115" spans="1:1" ht="52.5" x14ac:dyDescent="0.2">
      <c r="A115" s="174" t="s">
        <v>673</v>
      </c>
    </row>
    <row r="116" spans="1:1" ht="52.5" x14ac:dyDescent="0.2">
      <c r="A116" s="174" t="s">
        <v>674</v>
      </c>
    </row>
    <row r="117" spans="1:1" ht="52.5" x14ac:dyDescent="0.2">
      <c r="A117" s="174" t="s">
        <v>675</v>
      </c>
    </row>
    <row r="118" spans="1:1" ht="52.5" x14ac:dyDescent="0.2">
      <c r="A118" s="174" t="s">
        <v>676</v>
      </c>
    </row>
    <row r="119" spans="1:1" ht="52.5" x14ac:dyDescent="0.2">
      <c r="A119" s="174" t="s">
        <v>677</v>
      </c>
    </row>
    <row r="120" spans="1:1" ht="52.5" x14ac:dyDescent="0.2">
      <c r="A120" s="174" t="s">
        <v>678</v>
      </c>
    </row>
    <row r="121" spans="1:1" ht="52.5" x14ac:dyDescent="0.2">
      <c r="A121" s="174" t="s">
        <v>679</v>
      </c>
    </row>
    <row r="122" spans="1:1" ht="52.5" x14ac:dyDescent="0.2">
      <c r="A122" s="174" t="s">
        <v>680</v>
      </c>
    </row>
    <row r="123" spans="1:1" ht="52.5" x14ac:dyDescent="0.2">
      <c r="A123" s="174" t="s">
        <v>681</v>
      </c>
    </row>
    <row r="124" spans="1:1" ht="52.5" x14ac:dyDescent="0.2">
      <c r="A124" s="174" t="s">
        <v>682</v>
      </c>
    </row>
    <row r="125" spans="1:1" ht="52.5" x14ac:dyDescent="0.2">
      <c r="A125" s="174" t="s">
        <v>683</v>
      </c>
    </row>
    <row r="126" spans="1:1" ht="52.5" x14ac:dyDescent="0.2">
      <c r="A126" s="174" t="s">
        <v>684</v>
      </c>
    </row>
    <row r="127" spans="1:1" ht="52.5" x14ac:dyDescent="0.2">
      <c r="A127" s="174" t="s">
        <v>685</v>
      </c>
    </row>
    <row r="128" spans="1:1" ht="52.5" x14ac:dyDescent="0.2">
      <c r="A128" s="174" t="s">
        <v>686</v>
      </c>
    </row>
    <row r="129" spans="1:1" ht="52.5" x14ac:dyDescent="0.2">
      <c r="A129" s="174" t="s">
        <v>687</v>
      </c>
    </row>
    <row r="130" spans="1:1" ht="52.5" x14ac:dyDescent="0.2">
      <c r="A130" s="174" t="s">
        <v>688</v>
      </c>
    </row>
    <row r="131" spans="1:1" ht="52.5" x14ac:dyDescent="0.2">
      <c r="A131" s="174" t="s">
        <v>689</v>
      </c>
    </row>
    <row r="132" spans="1:1" ht="52.5" x14ac:dyDescent="0.2">
      <c r="A132" s="174" t="s">
        <v>690</v>
      </c>
    </row>
    <row r="133" spans="1:1" ht="52.5" x14ac:dyDescent="0.2">
      <c r="A133" s="174" t="s">
        <v>691</v>
      </c>
    </row>
    <row r="134" spans="1:1" ht="52.5" x14ac:dyDescent="0.2">
      <c r="A134" s="174" t="s">
        <v>692</v>
      </c>
    </row>
    <row r="135" spans="1:1" ht="52.5" x14ac:dyDescent="0.2">
      <c r="A135" s="174" t="s">
        <v>693</v>
      </c>
    </row>
    <row r="136" spans="1:1" ht="52.5" x14ac:dyDescent="0.2">
      <c r="A136" s="174" t="s">
        <v>694</v>
      </c>
    </row>
    <row r="137" spans="1:1" ht="52.5" x14ac:dyDescent="0.2">
      <c r="A137" s="174" t="s">
        <v>695</v>
      </c>
    </row>
    <row r="138" spans="1:1" ht="52.5" x14ac:dyDescent="0.2">
      <c r="A138" s="174" t="s">
        <v>696</v>
      </c>
    </row>
    <row r="139" spans="1:1" ht="52.5" x14ac:dyDescent="0.2">
      <c r="A139" s="174" t="s">
        <v>697</v>
      </c>
    </row>
    <row r="140" spans="1:1" ht="52.5" x14ac:dyDescent="0.2">
      <c r="A140" s="174" t="s">
        <v>698</v>
      </c>
    </row>
    <row r="141" spans="1:1" ht="52.5" x14ac:dyDescent="0.2">
      <c r="A141" s="174" t="s">
        <v>699</v>
      </c>
    </row>
    <row r="142" spans="1:1" ht="52.5" x14ac:dyDescent="0.2">
      <c r="A142" s="174" t="s">
        <v>700</v>
      </c>
    </row>
    <row r="143" spans="1:1" ht="52.5" x14ac:dyDescent="0.2">
      <c r="A143" s="174" t="s">
        <v>701</v>
      </c>
    </row>
    <row r="144" spans="1:1" ht="52.5" x14ac:dyDescent="0.2">
      <c r="A144" s="174" t="s">
        <v>702</v>
      </c>
    </row>
    <row r="145" spans="1:1" ht="52.5" x14ac:dyDescent="0.2">
      <c r="A145" s="174" t="s">
        <v>703</v>
      </c>
    </row>
    <row r="146" spans="1:1" ht="52.5" x14ac:dyDescent="0.2">
      <c r="A146" s="174" t="s">
        <v>704</v>
      </c>
    </row>
    <row r="147" spans="1:1" ht="52.5" x14ac:dyDescent="0.2">
      <c r="A147" s="174" t="s">
        <v>705</v>
      </c>
    </row>
    <row r="148" spans="1:1" ht="52.5" x14ac:dyDescent="0.2">
      <c r="A148" s="174" t="s">
        <v>706</v>
      </c>
    </row>
    <row r="149" spans="1:1" ht="52.5" x14ac:dyDescent="0.2">
      <c r="A149" s="174" t="s">
        <v>707</v>
      </c>
    </row>
    <row r="150" spans="1:1" ht="52.5" x14ac:dyDescent="0.2">
      <c r="A150" s="174" t="s">
        <v>708</v>
      </c>
    </row>
    <row r="151" spans="1:1" ht="52.5" x14ac:dyDescent="0.2">
      <c r="A151" s="174" t="s">
        <v>709</v>
      </c>
    </row>
    <row r="152" spans="1:1" ht="52.5" x14ac:dyDescent="0.2">
      <c r="A152" s="174" t="s">
        <v>710</v>
      </c>
    </row>
    <row r="153" spans="1:1" ht="52.5" x14ac:dyDescent="0.2">
      <c r="A153" s="174" t="s">
        <v>711</v>
      </c>
    </row>
    <row r="154" spans="1:1" ht="52.5" x14ac:dyDescent="0.2">
      <c r="A154" s="174" t="s">
        <v>712</v>
      </c>
    </row>
    <row r="155" spans="1:1" ht="52.5" x14ac:dyDescent="0.2">
      <c r="A155" s="174" t="s">
        <v>713</v>
      </c>
    </row>
    <row r="156" spans="1:1" ht="52.5" x14ac:dyDescent="0.2">
      <c r="A156" s="174" t="s">
        <v>714</v>
      </c>
    </row>
    <row r="157" spans="1:1" ht="52.5" x14ac:dyDescent="0.2">
      <c r="A157" s="174" t="s">
        <v>715</v>
      </c>
    </row>
    <row r="158" spans="1:1" ht="52.5" x14ac:dyDescent="0.2">
      <c r="A158" s="174" t="s">
        <v>716</v>
      </c>
    </row>
    <row r="159" spans="1:1" ht="52.5" x14ac:dyDescent="0.2">
      <c r="A159" s="174" t="s">
        <v>717</v>
      </c>
    </row>
    <row r="160" spans="1:1" ht="52.5" x14ac:dyDescent="0.2">
      <c r="A160" s="174" t="s">
        <v>718</v>
      </c>
    </row>
    <row r="161" spans="1:1" ht="52.5" x14ac:dyDescent="0.2">
      <c r="A161" s="174" t="s">
        <v>719</v>
      </c>
    </row>
    <row r="162" spans="1:1" ht="52.5" x14ac:dyDescent="0.2">
      <c r="A162" s="174" t="s">
        <v>720</v>
      </c>
    </row>
    <row r="163" spans="1:1" ht="52.5" x14ac:dyDescent="0.2">
      <c r="A163" s="174" t="s">
        <v>721</v>
      </c>
    </row>
    <row r="164" spans="1:1" ht="52.5" x14ac:dyDescent="0.2">
      <c r="A164" s="174" t="s">
        <v>722</v>
      </c>
    </row>
    <row r="165" spans="1:1" ht="52.5" x14ac:dyDescent="0.2">
      <c r="A165" s="174" t="s">
        <v>723</v>
      </c>
    </row>
    <row r="166" spans="1:1" ht="52.5" x14ac:dyDescent="0.2">
      <c r="A166" s="174" t="s">
        <v>724</v>
      </c>
    </row>
    <row r="167" spans="1:1" ht="52.5" x14ac:dyDescent="0.2">
      <c r="A167" s="174" t="s">
        <v>725</v>
      </c>
    </row>
    <row r="168" spans="1:1" ht="52.5" x14ac:dyDescent="0.2">
      <c r="A168" s="174" t="s">
        <v>726</v>
      </c>
    </row>
    <row r="169" spans="1:1" ht="52.5" x14ac:dyDescent="0.2">
      <c r="A169" s="174" t="s">
        <v>727</v>
      </c>
    </row>
    <row r="170" spans="1:1" ht="52.5" x14ac:dyDescent="0.2">
      <c r="A170" s="174" t="s">
        <v>728</v>
      </c>
    </row>
    <row r="171" spans="1:1" ht="52.5" x14ac:dyDescent="0.2">
      <c r="A171" s="174" t="s">
        <v>729</v>
      </c>
    </row>
    <row r="172" spans="1:1" ht="52.5" x14ac:dyDescent="0.2">
      <c r="A172" s="174" t="s">
        <v>730</v>
      </c>
    </row>
    <row r="173" spans="1:1" ht="52.5" x14ac:dyDescent="0.2">
      <c r="A173" s="174" t="s">
        <v>731</v>
      </c>
    </row>
    <row r="174" spans="1:1" ht="52.5" x14ac:dyDescent="0.2">
      <c r="A174" s="174" t="s">
        <v>732</v>
      </c>
    </row>
    <row r="175" spans="1:1" ht="52.5" x14ac:dyDescent="0.2">
      <c r="A175" s="174" t="s">
        <v>733</v>
      </c>
    </row>
    <row r="176" spans="1:1" ht="52.5" x14ac:dyDescent="0.2">
      <c r="A176" s="174" t="s">
        <v>734</v>
      </c>
    </row>
    <row r="177" spans="1:1" ht="52.5" x14ac:dyDescent="0.2">
      <c r="A177" s="174" t="s">
        <v>735</v>
      </c>
    </row>
    <row r="178" spans="1:1" ht="52.5" x14ac:dyDescent="0.2">
      <c r="A178" s="174" t="s">
        <v>736</v>
      </c>
    </row>
    <row r="179" spans="1:1" ht="52.5" x14ac:dyDescent="0.2">
      <c r="A179" s="174" t="s">
        <v>737</v>
      </c>
    </row>
    <row r="180" spans="1:1" ht="52.5" x14ac:dyDescent="0.2">
      <c r="A180" s="174" t="s">
        <v>738</v>
      </c>
    </row>
    <row r="181" spans="1:1" ht="52.5" x14ac:dyDescent="0.2">
      <c r="A181" s="174" t="s">
        <v>739</v>
      </c>
    </row>
    <row r="182" spans="1:1" ht="52.5" x14ac:dyDescent="0.2">
      <c r="A182" s="174" t="s">
        <v>1422</v>
      </c>
    </row>
    <row r="183" spans="1:1" ht="52.5" x14ac:dyDescent="0.2">
      <c r="A183" s="174" t="s">
        <v>1423</v>
      </c>
    </row>
    <row r="184" spans="1:1" ht="52.5" x14ac:dyDescent="0.2">
      <c r="A184" s="174" t="s">
        <v>1424</v>
      </c>
    </row>
    <row r="185" spans="1:1" ht="52.5" x14ac:dyDescent="0.2">
      <c r="A185" s="174" t="s">
        <v>1425</v>
      </c>
    </row>
    <row r="186" spans="1:1" ht="52.5" x14ac:dyDescent="0.2">
      <c r="A186" s="174" t="s">
        <v>1426</v>
      </c>
    </row>
    <row r="187" spans="1:1" ht="52.5" x14ac:dyDescent="0.2">
      <c r="A187" s="174" t="s">
        <v>1427</v>
      </c>
    </row>
    <row r="188" spans="1:1" ht="52.5" x14ac:dyDescent="0.2">
      <c r="A188" s="174" t="s">
        <v>1428</v>
      </c>
    </row>
    <row r="189" spans="1:1" ht="52.5" x14ac:dyDescent="0.2">
      <c r="A189" s="174" t="s">
        <v>1429</v>
      </c>
    </row>
    <row r="190" spans="1:1" ht="52.5" x14ac:dyDescent="0.2">
      <c r="A190" s="174" t="s">
        <v>1430</v>
      </c>
    </row>
    <row r="191" spans="1:1" ht="52.5" x14ac:dyDescent="0.2">
      <c r="A191" s="174" t="s">
        <v>1431</v>
      </c>
    </row>
    <row r="192" spans="1:1" ht="52.5" x14ac:dyDescent="0.2">
      <c r="A192" s="174" t="s">
        <v>1432</v>
      </c>
    </row>
    <row r="193" spans="1:1" ht="52.5" x14ac:dyDescent="0.2">
      <c r="A193" s="174" t="s">
        <v>1433</v>
      </c>
    </row>
    <row r="194" spans="1:1" ht="52.5" x14ac:dyDescent="0.2">
      <c r="A194" s="174" t="s">
        <v>1434</v>
      </c>
    </row>
    <row r="195" spans="1:1" ht="52.5" x14ac:dyDescent="0.2">
      <c r="A195" s="174" t="s">
        <v>1435</v>
      </c>
    </row>
    <row r="196" spans="1:1" ht="52.5" x14ac:dyDescent="0.2">
      <c r="A196" s="174" t="s">
        <v>1436</v>
      </c>
    </row>
    <row r="197" spans="1:1" ht="53.25" thickBot="1" x14ac:dyDescent="0.25">
      <c r="A197" s="175" t="s">
        <v>1437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>
    <tabColor rgb="FF009900"/>
  </sheetPr>
  <dimension ref="A1:AO29"/>
  <sheetViews>
    <sheetView showGridLines="0" zoomScale="70" zoomScaleNormal="70" workbookViewId="0">
      <selection activeCell="A2" sqref="A2:H2"/>
    </sheetView>
  </sheetViews>
  <sheetFormatPr baseColWidth="10" defaultColWidth="11.42578125" defaultRowHeight="12.75" x14ac:dyDescent="0.2"/>
  <cols>
    <col min="1" max="1" width="31.42578125" customWidth="1"/>
    <col min="2" max="2" width="15" customWidth="1"/>
    <col min="3" max="3" width="13.85546875" customWidth="1"/>
    <col min="4" max="4" width="17.7109375" customWidth="1"/>
    <col min="5" max="5" width="18.140625" customWidth="1"/>
    <col min="6" max="6" width="19.7109375" customWidth="1"/>
    <col min="7" max="7" width="23.85546875" customWidth="1"/>
    <col min="8" max="8" width="24.85546875" customWidth="1"/>
    <col min="9" max="9" width="19.7109375" customWidth="1"/>
    <col min="10" max="10" width="15.42578125" customWidth="1"/>
    <col min="11" max="11" width="20" customWidth="1"/>
    <col min="12" max="15" width="18.140625" customWidth="1"/>
    <col min="16" max="16" width="25.28515625" customWidth="1"/>
    <col min="17" max="17" width="27.28515625" customWidth="1"/>
    <col min="18" max="18" width="22.85546875" customWidth="1"/>
    <col min="19" max="19" width="24.85546875" customWidth="1"/>
    <col min="20" max="20" width="27.42578125" customWidth="1"/>
    <col min="21" max="21" width="31.140625" customWidth="1"/>
    <col min="22" max="22" width="28.7109375" customWidth="1"/>
    <col min="23" max="23" width="27.7109375" customWidth="1"/>
    <col min="24" max="24" width="21.85546875" customWidth="1"/>
    <col min="25" max="25" width="18.85546875" customWidth="1"/>
    <col min="26" max="26" width="35.7109375" customWidth="1"/>
    <col min="27" max="27" width="42.42578125" customWidth="1"/>
    <col min="28" max="28" width="32.42578125" customWidth="1"/>
    <col min="29" max="29" width="35.85546875" customWidth="1"/>
    <col min="30" max="30" width="26.42578125" customWidth="1"/>
    <col min="31" max="31" width="31.42578125" customWidth="1"/>
    <col min="32" max="32" width="31.5703125" customWidth="1"/>
    <col min="33" max="33" width="36.28515625" customWidth="1"/>
    <col min="34" max="34" width="37.42578125" customWidth="1"/>
    <col min="35" max="35" width="42.140625" customWidth="1"/>
    <col min="36" max="36" width="26.85546875" customWidth="1"/>
    <col min="37" max="37" width="31.7109375" customWidth="1"/>
    <col min="38" max="38" width="34.42578125" customWidth="1"/>
    <col min="39" max="39" width="38.140625" customWidth="1"/>
    <col min="40" max="40" width="23" customWidth="1"/>
    <col min="41" max="41" width="35.85546875" customWidth="1"/>
    <col min="42" max="42" width="20.28515625" customWidth="1"/>
    <col min="43" max="43" width="29.7109375" customWidth="1"/>
    <col min="44" max="44" width="35" customWidth="1"/>
    <col min="45" max="45" width="41" customWidth="1"/>
    <col min="46" max="46" width="33.85546875" customWidth="1"/>
    <col min="47" max="47" width="21.140625" customWidth="1"/>
    <col min="48" max="48" width="34" customWidth="1"/>
    <col min="49" max="49" width="50.140625" customWidth="1"/>
    <col min="50" max="50" width="24.85546875" customWidth="1"/>
    <col min="51" max="51" width="27.42578125" customWidth="1"/>
    <col min="52" max="52" width="28.85546875" customWidth="1"/>
    <col min="53" max="53" width="21.42578125" customWidth="1"/>
    <col min="54" max="54" width="22.5703125" customWidth="1"/>
    <col min="55" max="55" width="39.28515625" customWidth="1"/>
    <col min="56" max="56" width="29.28515625" customWidth="1"/>
    <col min="57" max="57" width="31.5703125" customWidth="1"/>
    <col min="58" max="58" width="27.85546875" customWidth="1"/>
    <col min="59" max="59" width="22.140625" customWidth="1"/>
    <col min="60" max="60" width="26.42578125" customWidth="1"/>
    <col min="61" max="61" width="22.28515625" bestFit="1" customWidth="1"/>
    <col min="62" max="62" width="26.5703125" bestFit="1" customWidth="1"/>
    <col min="63" max="63" width="18.7109375" bestFit="1" customWidth="1"/>
  </cols>
  <sheetData>
    <row r="1" spans="1:21" x14ac:dyDescent="0.2">
      <c r="A1" s="36" t="s">
        <v>138</v>
      </c>
      <c r="B1" s="36" t="s">
        <v>139</v>
      </c>
      <c r="C1" s="36" t="s">
        <v>140</v>
      </c>
      <c r="D1" s="36" t="s">
        <v>141</v>
      </c>
      <c r="E1" s="36" t="s">
        <v>142</v>
      </c>
      <c r="F1" s="36" t="s">
        <v>143</v>
      </c>
      <c r="G1" s="36" t="s">
        <v>170</v>
      </c>
      <c r="H1" s="36" t="s">
        <v>171</v>
      </c>
    </row>
    <row r="2" spans="1:21" x14ac:dyDescent="0.2">
      <c r="A2" s="68"/>
    </row>
    <row r="8" spans="1:21" x14ac:dyDescent="0.2">
      <c r="U8" s="13"/>
    </row>
    <row r="25" spans="41:41" ht="15" x14ac:dyDescent="0.3">
      <c r="AO25" s="38"/>
    </row>
    <row r="26" spans="41:41" ht="15" x14ac:dyDescent="0.3">
      <c r="AO26" s="38"/>
    </row>
    <row r="27" spans="41:41" ht="15" x14ac:dyDescent="0.3">
      <c r="AO27" s="38"/>
    </row>
    <row r="28" spans="41:41" ht="15" x14ac:dyDescent="0.3">
      <c r="AO28" s="38"/>
    </row>
    <row r="29" spans="41:41" ht="15" x14ac:dyDescent="0.3">
      <c r="AO29" s="3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>
    <tabColor rgb="FF009900"/>
  </sheetPr>
  <dimension ref="A1:BK2"/>
  <sheetViews>
    <sheetView showGridLines="0" topLeftCell="AZ1" zoomScale="70" zoomScaleNormal="70" workbookViewId="0">
      <selection activeCell="A2" sqref="A2:BK13"/>
    </sheetView>
  </sheetViews>
  <sheetFormatPr baseColWidth="10" defaultColWidth="11.42578125" defaultRowHeight="12.75" x14ac:dyDescent="0.2"/>
  <cols>
    <col min="1" max="1" width="23.42578125" customWidth="1"/>
    <col min="2" max="2" width="15" customWidth="1"/>
    <col min="3" max="3" width="13.85546875" customWidth="1"/>
    <col min="4" max="4" width="17.7109375" customWidth="1"/>
    <col min="5" max="5" width="18.140625" customWidth="1"/>
    <col min="6" max="6" width="19.7109375" customWidth="1"/>
    <col min="7" max="7" width="23.85546875" customWidth="1"/>
    <col min="8" max="8" width="24.85546875" customWidth="1"/>
    <col min="9" max="9" width="19.7109375" customWidth="1"/>
    <col min="10" max="10" width="15.42578125" customWidth="1"/>
    <col min="11" max="11" width="20" customWidth="1"/>
    <col min="12" max="15" width="18.140625" customWidth="1"/>
    <col min="16" max="16" width="25.28515625" customWidth="1"/>
    <col min="17" max="17" width="27.28515625" customWidth="1"/>
    <col min="18" max="18" width="22.85546875" customWidth="1"/>
    <col min="19" max="19" width="24.85546875" customWidth="1"/>
    <col min="20" max="20" width="27.42578125" customWidth="1"/>
    <col min="21" max="21" width="31.140625" customWidth="1"/>
    <col min="22" max="22" width="28.7109375" customWidth="1"/>
    <col min="23" max="23" width="27.7109375" customWidth="1"/>
    <col min="24" max="24" width="21.85546875" customWidth="1"/>
    <col min="25" max="25" width="18.85546875" customWidth="1"/>
    <col min="26" max="26" width="35.7109375" customWidth="1"/>
    <col min="27" max="27" width="42.42578125" customWidth="1"/>
    <col min="28" max="28" width="32.42578125" customWidth="1"/>
    <col min="29" max="29" width="35.85546875" customWidth="1"/>
    <col min="30" max="30" width="26.42578125" customWidth="1"/>
    <col min="31" max="31" width="31.42578125" customWidth="1"/>
    <col min="32" max="32" width="31.5703125" customWidth="1"/>
    <col min="33" max="33" width="36.28515625" customWidth="1"/>
    <col min="34" max="34" width="37.42578125" customWidth="1"/>
    <col min="35" max="35" width="42.140625" customWidth="1"/>
    <col min="36" max="36" width="26.85546875" customWidth="1"/>
    <col min="37" max="37" width="31.7109375" customWidth="1"/>
    <col min="38" max="38" width="34.42578125" customWidth="1"/>
    <col min="39" max="39" width="38.140625" customWidth="1"/>
    <col min="40" max="40" width="23" customWidth="1"/>
    <col min="41" max="41" width="35.85546875" customWidth="1"/>
    <col min="42" max="42" width="20.28515625" customWidth="1"/>
    <col min="43" max="43" width="29.7109375" customWidth="1"/>
    <col min="44" max="44" width="35" customWidth="1"/>
    <col min="45" max="45" width="41" customWidth="1"/>
    <col min="46" max="46" width="33.85546875" customWidth="1"/>
    <col min="47" max="47" width="21.140625" customWidth="1"/>
    <col min="48" max="48" width="34" customWidth="1"/>
    <col min="49" max="49" width="50.140625" customWidth="1"/>
    <col min="50" max="50" width="24.85546875" customWidth="1"/>
    <col min="51" max="51" width="27.42578125" customWidth="1"/>
    <col min="52" max="52" width="28.85546875" customWidth="1"/>
    <col min="53" max="53" width="21.42578125" customWidth="1"/>
    <col min="54" max="54" width="22.5703125" customWidth="1"/>
    <col min="55" max="55" width="39.28515625" customWidth="1"/>
    <col min="56" max="56" width="29.28515625" customWidth="1"/>
    <col min="57" max="57" width="31.5703125" customWidth="1"/>
    <col min="58" max="58" width="27.85546875" customWidth="1"/>
    <col min="59" max="59" width="22.140625" customWidth="1"/>
    <col min="60" max="60" width="26.42578125" customWidth="1"/>
    <col min="61" max="61" width="22.28515625" bestFit="1" customWidth="1"/>
    <col min="62" max="62" width="26.5703125" bestFit="1" customWidth="1"/>
    <col min="63" max="63" width="18.7109375" bestFit="1" customWidth="1"/>
  </cols>
  <sheetData>
    <row r="1" spans="1:63" ht="30" x14ac:dyDescent="0.2">
      <c r="A1" s="36" t="s">
        <v>138</v>
      </c>
      <c r="B1" s="36" t="s">
        <v>139</v>
      </c>
      <c r="C1" s="36" t="s">
        <v>140</v>
      </c>
      <c r="D1" s="36" t="s">
        <v>141</v>
      </c>
      <c r="E1" s="36" t="s">
        <v>142</v>
      </c>
      <c r="F1" s="36" t="s">
        <v>143</v>
      </c>
      <c r="G1" s="36" t="s">
        <v>170</v>
      </c>
      <c r="H1" s="36" t="s">
        <v>171</v>
      </c>
      <c r="I1" s="35" t="s">
        <v>184</v>
      </c>
      <c r="J1" s="35" t="s">
        <v>178</v>
      </c>
      <c r="K1" s="35" t="s">
        <v>179</v>
      </c>
      <c r="L1" s="35" t="s">
        <v>183</v>
      </c>
      <c r="M1" s="35" t="s">
        <v>182</v>
      </c>
      <c r="N1" s="35" t="s">
        <v>181</v>
      </c>
      <c r="O1" s="35" t="s">
        <v>180</v>
      </c>
      <c r="P1" s="35" t="s">
        <v>172</v>
      </c>
      <c r="Q1" s="37" t="s">
        <v>174</v>
      </c>
      <c r="R1" s="35" t="s">
        <v>175</v>
      </c>
      <c r="S1" s="37" t="s">
        <v>176</v>
      </c>
      <c r="T1" s="35" t="s">
        <v>173</v>
      </c>
      <c r="U1" s="37" t="s">
        <v>177</v>
      </c>
      <c r="V1" s="35" t="s">
        <v>193</v>
      </c>
      <c r="W1" s="37" t="s">
        <v>194</v>
      </c>
      <c r="X1" s="35" t="s">
        <v>186</v>
      </c>
      <c r="Y1" s="37" t="s">
        <v>187</v>
      </c>
      <c r="Z1" s="35" t="s">
        <v>185</v>
      </c>
      <c r="AA1" s="37" t="s">
        <v>188</v>
      </c>
      <c r="AB1" s="35" t="s">
        <v>190</v>
      </c>
      <c r="AC1" s="37" t="s">
        <v>189</v>
      </c>
      <c r="AD1" s="35" t="s">
        <v>191</v>
      </c>
      <c r="AE1" s="37" t="s">
        <v>192</v>
      </c>
      <c r="AF1" s="35" t="s">
        <v>195</v>
      </c>
      <c r="AG1" s="37" t="s">
        <v>197</v>
      </c>
      <c r="AH1" s="35" t="s">
        <v>203</v>
      </c>
      <c r="AI1" s="37" t="s">
        <v>204</v>
      </c>
      <c r="AJ1" s="35" t="s">
        <v>196</v>
      </c>
      <c r="AK1" s="37" t="s">
        <v>198</v>
      </c>
      <c r="AL1" s="35" t="s">
        <v>202</v>
      </c>
      <c r="AM1" s="37" t="s">
        <v>205</v>
      </c>
      <c r="AN1" s="37" t="s">
        <v>199</v>
      </c>
      <c r="AO1" s="29" t="s">
        <v>144</v>
      </c>
      <c r="AP1" s="29" t="s">
        <v>145</v>
      </c>
      <c r="AQ1" s="30" t="s">
        <v>146</v>
      </c>
      <c r="AR1" s="30" t="s">
        <v>147</v>
      </c>
      <c r="AS1" s="31" t="s">
        <v>148</v>
      </c>
      <c r="AT1" s="31" t="s">
        <v>149</v>
      </c>
      <c r="AU1" s="28" t="s">
        <v>150</v>
      </c>
      <c r="AV1" s="28" t="s">
        <v>151</v>
      </c>
      <c r="AW1" s="32" t="s">
        <v>152</v>
      </c>
      <c r="AX1" s="32" t="s">
        <v>153</v>
      </c>
      <c r="AY1" s="32" t="s">
        <v>154</v>
      </c>
      <c r="AZ1" s="33" t="s">
        <v>155</v>
      </c>
      <c r="BA1" s="33" t="s">
        <v>156</v>
      </c>
      <c r="BB1" s="33" t="s">
        <v>157</v>
      </c>
      <c r="BC1" s="34" t="s">
        <v>158</v>
      </c>
      <c r="BD1" s="34" t="s">
        <v>159</v>
      </c>
      <c r="BE1" s="34" t="s">
        <v>160</v>
      </c>
      <c r="BF1" s="28" t="s">
        <v>161</v>
      </c>
      <c r="BG1" s="28" t="s">
        <v>162</v>
      </c>
      <c r="BH1" s="28" t="s">
        <v>163</v>
      </c>
      <c r="BI1" s="65" t="s">
        <v>235</v>
      </c>
      <c r="BJ1" s="34" t="s">
        <v>554</v>
      </c>
      <c r="BK1" s="34" t="s">
        <v>555</v>
      </c>
    </row>
    <row r="2" spans="1:63" x14ac:dyDescent="0.2">
      <c r="A2" s="1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87"/>
      <c r="AK2" s="87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27"/>
      <c r="BG2" s="27"/>
      <c r="BH2" s="13"/>
      <c r="BI2" s="87"/>
      <c r="BJ2" s="13"/>
      <c r="BK2" s="13"/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E2"/>
  <sheetViews>
    <sheetView showGridLines="0" workbookViewId="0">
      <selection activeCell="B2" sqref="B2"/>
    </sheetView>
  </sheetViews>
  <sheetFormatPr baseColWidth="10" defaultColWidth="11.42578125" defaultRowHeight="12.75" x14ac:dyDescent="0.2"/>
  <sheetData>
    <row r="1" spans="1:5" x14ac:dyDescent="0.2">
      <c r="A1" s="1" t="s">
        <v>3</v>
      </c>
      <c r="B1" t="s">
        <v>98</v>
      </c>
      <c r="C1" t="s">
        <v>100</v>
      </c>
      <c r="D1" s="1" t="s">
        <v>99</v>
      </c>
      <c r="E1" s="19"/>
    </row>
    <row r="2" spans="1:5" x14ac:dyDescent="0.2">
      <c r="A2" s="1"/>
      <c r="B2" s="21"/>
      <c r="C2" s="20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B1"/>
  <sheetViews>
    <sheetView showGridLines="0" workbookViewId="0">
      <selection activeCell="B2" sqref="B2"/>
    </sheetView>
  </sheetViews>
  <sheetFormatPr baseColWidth="10" defaultColWidth="11.42578125" defaultRowHeight="12.75" x14ac:dyDescent="0.2"/>
  <cols>
    <col min="1" max="1" width="16.28515625" customWidth="1"/>
    <col min="2" max="2" width="17.7109375" customWidth="1"/>
  </cols>
  <sheetData>
    <row r="1" spans="1:2" x14ac:dyDescent="0.2">
      <c r="A1" t="s">
        <v>86</v>
      </c>
      <c r="B1" t="s">
        <v>87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>
    <tabColor rgb="FF7030A0"/>
  </sheetPr>
  <dimension ref="A1:AT70"/>
  <sheetViews>
    <sheetView showGridLines="0" zoomScale="80" zoomScaleNormal="80" workbookViewId="0"/>
  </sheetViews>
  <sheetFormatPr baseColWidth="10" defaultColWidth="11.42578125" defaultRowHeight="12.75" x14ac:dyDescent="0.2"/>
  <cols>
    <col min="1" max="1" width="17.7109375" customWidth="1"/>
    <col min="2" max="2" width="10.85546875" customWidth="1"/>
    <col min="3" max="3" width="11.28515625" customWidth="1"/>
    <col min="4" max="4" width="16.28515625" customWidth="1"/>
    <col min="5" max="5" width="8.28515625" customWidth="1"/>
    <col min="6" max="6" width="17.85546875" customWidth="1"/>
    <col min="7" max="7" width="11.28515625" bestFit="1" customWidth="1"/>
    <col min="8" max="8" width="12.7109375" customWidth="1"/>
    <col min="9" max="10" width="21.42578125" customWidth="1"/>
    <col min="11" max="11" width="27.7109375" bestFit="1" customWidth="1"/>
    <col min="12" max="12" width="22.5703125" style="68" customWidth="1"/>
    <col min="13" max="13" width="11" style="68" customWidth="1"/>
    <col min="14" max="14" width="22.42578125" bestFit="1" customWidth="1"/>
    <col min="15" max="15" width="12.140625" customWidth="1"/>
    <col min="16" max="16" width="39.140625" customWidth="1"/>
    <col min="17" max="18" width="13.7109375" customWidth="1"/>
    <col min="19" max="22" width="7.7109375" customWidth="1"/>
    <col min="23" max="30" width="7.7109375" style="68" customWidth="1"/>
    <col min="31" max="31" width="21.42578125" customWidth="1"/>
    <col min="32" max="32" width="19.5703125" customWidth="1"/>
    <col min="33" max="33" width="23.85546875" bestFit="1" customWidth="1"/>
    <col min="34" max="34" width="9.42578125" customWidth="1"/>
    <col min="35" max="35" width="5.5703125" customWidth="1"/>
    <col min="36" max="36" width="8.7109375" customWidth="1"/>
    <col min="37" max="37" width="10.28515625" customWidth="1"/>
    <col min="38" max="38" width="12.28515625" customWidth="1"/>
    <col min="39" max="39" width="7" customWidth="1"/>
    <col min="40" max="44" width="21.42578125" customWidth="1"/>
    <col min="45" max="45" width="20.28515625" customWidth="1"/>
    <col min="46" max="46" width="10.85546875" customWidth="1"/>
    <col min="47" max="47" width="29.5703125" customWidth="1"/>
    <col min="48" max="48" width="17.42578125" customWidth="1"/>
    <col min="49" max="49" width="27.42578125" customWidth="1"/>
    <col min="50" max="50" width="22.140625" customWidth="1"/>
    <col min="51" max="133" width="21.42578125" customWidth="1"/>
    <col min="134" max="134" width="21.42578125" bestFit="1" customWidth="1"/>
    <col min="135" max="178" width="21.42578125" customWidth="1"/>
    <col min="179" max="179" width="21.7109375" customWidth="1"/>
    <col min="180" max="180" width="25" customWidth="1"/>
    <col min="181" max="181" width="23.140625" customWidth="1"/>
    <col min="182" max="182" width="21.5703125" customWidth="1"/>
    <col min="183" max="183" width="3" customWidth="1"/>
    <col min="184" max="192" width="4" customWidth="1"/>
    <col min="193" max="193" width="3" customWidth="1"/>
    <col min="194" max="194" width="4" customWidth="1"/>
    <col min="195" max="195" width="5" customWidth="1"/>
    <col min="196" max="199" width="4" customWidth="1"/>
    <col min="200" max="200" width="3" customWidth="1"/>
    <col min="201" max="201" width="4" customWidth="1"/>
    <col min="202" max="202" width="3" customWidth="1"/>
    <col min="203" max="204" width="4" customWidth="1"/>
    <col min="205" max="205" width="3" customWidth="1"/>
    <col min="206" max="228" width="4" customWidth="1"/>
    <col min="229" max="230" width="5" customWidth="1"/>
    <col min="231" max="234" width="4" customWidth="1"/>
    <col min="235" max="235" width="5" customWidth="1"/>
    <col min="236" max="236" width="4" customWidth="1"/>
    <col min="237" max="237" width="5" customWidth="1"/>
    <col min="238" max="238" width="4" customWidth="1"/>
    <col min="239" max="239" width="5" customWidth="1"/>
    <col min="240" max="243" width="4" customWidth="1"/>
    <col min="244" max="245" width="5" customWidth="1"/>
    <col min="246" max="247" width="4" customWidth="1"/>
    <col min="248" max="248" width="5" customWidth="1"/>
    <col min="249" max="251" width="4" customWidth="1"/>
    <col min="252" max="252" width="5" customWidth="1"/>
    <col min="253" max="253" width="6" customWidth="1"/>
    <col min="254" max="254" width="4" customWidth="1"/>
    <col min="255" max="255" width="5" customWidth="1"/>
    <col min="256" max="256" width="17.85546875" bestFit="1" customWidth="1"/>
    <col min="257" max="257" width="8" customWidth="1"/>
    <col min="258" max="258" width="7" customWidth="1"/>
    <col min="259" max="259" width="5" customWidth="1"/>
    <col min="260" max="262" width="6" customWidth="1"/>
    <col min="263" max="263" width="4" customWidth="1"/>
    <col min="264" max="265" width="5" customWidth="1"/>
    <col min="266" max="266" width="6" customWidth="1"/>
    <col min="267" max="267" width="5" customWidth="1"/>
    <col min="268" max="268" width="4" customWidth="1"/>
    <col min="269" max="269" width="5" customWidth="1"/>
    <col min="270" max="275" width="4" customWidth="1"/>
    <col min="276" max="276" width="5" customWidth="1"/>
    <col min="277" max="289" width="4" customWidth="1"/>
    <col min="290" max="290" width="3" customWidth="1"/>
    <col min="291" max="293" width="4" customWidth="1"/>
    <col min="294" max="294" width="3" customWidth="1"/>
    <col min="295" max="296" width="5" customWidth="1"/>
    <col min="297" max="301" width="4" customWidth="1"/>
    <col min="302" max="302" width="5" customWidth="1"/>
    <col min="303" max="305" width="3" customWidth="1"/>
    <col min="306" max="306" width="4" customWidth="1"/>
    <col min="307" max="308" width="3" customWidth="1"/>
    <col min="309" max="309" width="4" customWidth="1"/>
    <col min="310" max="310" width="3" customWidth="1"/>
    <col min="311" max="314" width="4" customWidth="1"/>
    <col min="315" max="315" width="3" customWidth="1"/>
    <col min="316" max="321" width="4" customWidth="1"/>
    <col min="322" max="327" width="3" customWidth="1"/>
    <col min="328" max="373" width="4" customWidth="1"/>
    <col min="374" max="375" width="5" customWidth="1"/>
    <col min="376" max="377" width="4" customWidth="1"/>
    <col min="378" max="378" width="21.7109375" bestFit="1" customWidth="1"/>
    <col min="379" max="379" width="25" bestFit="1" customWidth="1"/>
    <col min="380" max="380" width="23.140625" bestFit="1" customWidth="1"/>
  </cols>
  <sheetData>
    <row r="1" spans="11:46" ht="15" x14ac:dyDescent="0.25">
      <c r="L1" s="141">
        <v>42259</v>
      </c>
      <c r="AF1" s="155" t="s">
        <v>32</v>
      </c>
      <c r="AG1" s="154" t="s">
        <v>749</v>
      </c>
      <c r="AH1" s="91"/>
      <c r="AI1" s="15"/>
      <c r="AO1" s="1" t="s">
        <v>439</v>
      </c>
      <c r="AP1" s="1" t="str">
        <f t="array" ref="AP1">IFERROR(INDEX(CONTROL[Color],MATCH(ConBodega&amp;ConCodigo,CONTROL[BODEGA]&amp;CONTROL[CODIGO],0)),"")</f>
        <v/>
      </c>
      <c r="AS1" s="137" t="s">
        <v>517</v>
      </c>
      <c r="AT1" s="68" t="s">
        <v>518</v>
      </c>
    </row>
    <row r="2" spans="11:46" ht="15" x14ac:dyDescent="0.25">
      <c r="K2" s="103" t="str">
        <f>$AG$1</f>
        <v>Bodega Central Agrota</v>
      </c>
      <c r="L2" s="111" t="str">
        <f>$AG$2</f>
        <v>10000000972</v>
      </c>
      <c r="M2" s="129" t="str">
        <f t="array" ref="M2">IFERROR(INDEX(CONTROL[DESCRIPCION],MATCH(ConBodega&amp;ConCodigo,CONTROL[BODEGA]&amp;CONTROL[CODIGO],0)),"")</f>
        <v/>
      </c>
      <c r="N2" s="130"/>
      <c r="O2" s="130"/>
      <c r="P2" s="131"/>
      <c r="AF2" s="155" t="s">
        <v>79</v>
      </c>
      <c r="AG2" s="154" t="s">
        <v>750</v>
      </c>
      <c r="AH2" s="91"/>
      <c r="AI2" s="15"/>
      <c r="AO2" s="1" t="s">
        <v>440</v>
      </c>
      <c r="AP2" s="1" t="str">
        <f t="array" ref="AP2">IFERROR(INDEX(CONTROL[Color1],MATCH(ConBodega&amp;ConCodigo,CONTROL[BODEGA]&amp;CONTROL[CODIGO],0)),"")</f>
        <v/>
      </c>
      <c r="AS2" s="137" t="s">
        <v>3</v>
      </c>
      <c r="AT2" s="68" t="s">
        <v>518</v>
      </c>
    </row>
    <row r="3" spans="11:46" ht="15" x14ac:dyDescent="0.25">
      <c r="K3" s="104" t="s">
        <v>404</v>
      </c>
      <c r="L3" s="111" t="str">
        <f t="array" ref="L3">IFERROR(INDEX(CONTROL[Estatus],MATCH(ConBodega&amp;ConCodigo,CONTROL[BODEGA]&amp;CONTROL[CODIGO],0)),"")</f>
        <v/>
      </c>
      <c r="M3" s="96"/>
      <c r="AH3" s="91"/>
      <c r="AI3" s="15"/>
      <c r="AO3" s="1" t="s">
        <v>508</v>
      </c>
      <c r="AP3" t="s">
        <v>515</v>
      </c>
      <c r="AS3" s="137" t="s">
        <v>520</v>
      </c>
      <c r="AT3" s="68" t="s">
        <v>518</v>
      </c>
    </row>
    <row r="4" spans="11:46" ht="15" x14ac:dyDescent="0.25">
      <c r="K4" s="105" t="s">
        <v>433</v>
      </c>
      <c r="L4" s="120" t="str">
        <f t="array" ref="L4">IFERROR(INDEX(CONTROL[PV],MATCH(ConBodega&amp;ConCodigo,CONTROL[BODEGA]&amp;CONTROL[CODIGO],0)),"")</f>
        <v/>
      </c>
      <c r="M4" s="120">
        <v>12.37</v>
      </c>
      <c r="AF4" s="154"/>
      <c r="AG4" s="155" t="s">
        <v>85</v>
      </c>
      <c r="AH4" s="154"/>
      <c r="AI4" s="154"/>
      <c r="AJ4" s="154"/>
      <c r="AK4" s="154"/>
      <c r="AL4" s="154"/>
      <c r="AM4" s="154"/>
      <c r="AO4" s="1" t="s">
        <v>509</v>
      </c>
      <c r="AP4" t="s">
        <v>516</v>
      </c>
      <c r="AS4" s="137" t="s">
        <v>519</v>
      </c>
      <c r="AT4" s="68" t="s">
        <v>518</v>
      </c>
    </row>
    <row r="5" spans="11:46" ht="15" x14ac:dyDescent="0.25">
      <c r="K5" s="105" t="s">
        <v>58</v>
      </c>
      <c r="L5" s="120" t="str">
        <f t="array" ref="L5">IFERROR(INDEX(CONTROL[CTV],MATCH(ConBodega&amp;ConCodigo,CONTROL[BODEGA]&amp;CONTROL[CODIGO],0)),"")</f>
        <v/>
      </c>
      <c r="M5" s="120">
        <v>7.95</v>
      </c>
      <c r="AF5" s="155" t="s">
        <v>418</v>
      </c>
      <c r="AG5" s="154" t="s">
        <v>382</v>
      </c>
      <c r="AH5" s="154" t="s">
        <v>1</v>
      </c>
      <c r="AI5" s="154" t="s">
        <v>0</v>
      </c>
      <c r="AJ5" s="154" t="s">
        <v>387</v>
      </c>
      <c r="AK5" s="154" t="s">
        <v>388</v>
      </c>
      <c r="AL5" s="154" t="s">
        <v>384</v>
      </c>
      <c r="AM5" s="154" t="s">
        <v>383</v>
      </c>
    </row>
    <row r="6" spans="11:46" ht="15" x14ac:dyDescent="0.25">
      <c r="K6" s="105" t="s">
        <v>494</v>
      </c>
      <c r="L6" s="120" t="str">
        <f t="array" ref="L6">IFERROR(INDEX(CONTROL[Responsable],MATCH(ConBodega&amp;ConCodigo,CONTROL[BODEGA]&amp;CONTROL[CODIGO],0)),"")</f>
        <v/>
      </c>
      <c r="M6" s="103"/>
      <c r="AF6" s="156" t="s">
        <v>614</v>
      </c>
      <c r="AG6" s="157"/>
      <c r="AH6" s="157"/>
      <c r="AI6" s="157"/>
      <c r="AJ6" s="157"/>
      <c r="AK6" s="157"/>
      <c r="AL6" s="157"/>
      <c r="AM6" s="157"/>
      <c r="AS6" s="137" t="s">
        <v>418</v>
      </c>
    </row>
    <row r="7" spans="11:46" x14ac:dyDescent="0.2">
      <c r="K7" s="139" t="s">
        <v>489</v>
      </c>
      <c r="L7" s="111" t="str">
        <f t="array" ref="L7">IFERROR(INDEX(CONTROL[Etapa],MATCH(ConBodega&amp;ConCodigo,CONTROL[BODEGA]&amp;CONTROL[CODIGO],0)),"")</f>
        <v/>
      </c>
      <c r="M7" s="103"/>
      <c r="AF7" s="158" t="s">
        <v>751</v>
      </c>
      <c r="AG7" s="157"/>
      <c r="AH7" s="157"/>
      <c r="AI7" s="157"/>
      <c r="AJ7" s="157"/>
      <c r="AK7" s="157"/>
      <c r="AL7" s="157"/>
      <c r="AM7" s="157"/>
    </row>
    <row r="8" spans="11:46" ht="15.75" x14ac:dyDescent="0.25">
      <c r="K8" s="108" t="s">
        <v>99</v>
      </c>
      <c r="L8" s="112" t="str">
        <f t="array" ref="L8">IFERROR(INDEX(CONTROL[Buff Act],MATCH(ConBodega&amp;ConCodigo,CONTROL[BODEGA]&amp;CONTROL[CODIGO],0)),"")</f>
        <v/>
      </c>
      <c r="M8" s="103"/>
      <c r="N8" s="122" t="s">
        <v>373</v>
      </c>
      <c r="O8" s="113" t="str">
        <f t="array" ref="O8">IFERROR(INDEX(CONTROL[Cobertura Buffer],MATCH(ConBodega&amp;ConCodigo,CONTROL[BODEGA]&amp;CONTROL[CODIGO],0)),"")</f>
        <v/>
      </c>
      <c r="AF8" s="159" t="s">
        <v>752</v>
      </c>
      <c r="AG8" s="157">
        <v>500</v>
      </c>
      <c r="AH8" s="157">
        <v>333</v>
      </c>
      <c r="AI8" s="157">
        <v>165</v>
      </c>
      <c r="AJ8" s="157">
        <v>0</v>
      </c>
      <c r="AK8" s="157">
        <v>0</v>
      </c>
      <c r="AL8" s="157">
        <v>494</v>
      </c>
      <c r="AM8" s="157">
        <v>309</v>
      </c>
    </row>
    <row r="9" spans="11:46" x14ac:dyDescent="0.2">
      <c r="K9" s="9" t="s">
        <v>437</v>
      </c>
      <c r="L9" s="116" t="str">
        <f t="array" ref="L9">IFERROR(INDEX(CONTROL[Zona Amar],MATCH(ConBodega&amp;ConCodigo,CONTROL[BODEGA]&amp;CONTROL[CODIGO],0)),"")</f>
        <v/>
      </c>
      <c r="M9" s="103"/>
      <c r="N9" s="117" t="s">
        <v>422</v>
      </c>
      <c r="O9" s="111" t="str">
        <f t="array" ref="O9">IFERROR(INDEX(CONTROL[Buff Min],MATCH(ConBodega&amp;ConCodigo,CONTROL[BODEGA]&amp;CONTROL[CODIGO],0)),"")</f>
        <v/>
      </c>
      <c r="AF9" s="158" t="s">
        <v>753</v>
      </c>
      <c r="AG9" s="157"/>
      <c r="AH9" s="157"/>
      <c r="AI9" s="157"/>
      <c r="AJ9" s="157"/>
      <c r="AK9" s="157"/>
      <c r="AL9" s="157"/>
      <c r="AM9" s="157"/>
    </row>
    <row r="10" spans="11:46" x14ac:dyDescent="0.2">
      <c r="K10" s="109" t="s">
        <v>438</v>
      </c>
      <c r="L10" s="116" t="str">
        <f t="array" ref="L10">IFERROR(INDEX(CONTROL[Zona Roja],MATCH(ConBodega&amp;ConCodigo,CONTROL[BODEGA]&amp;CONTROL[CODIGO],0)),"")</f>
        <v/>
      </c>
      <c r="M10" s="103"/>
      <c r="N10" s="117" t="s">
        <v>423</v>
      </c>
      <c r="O10" s="111" t="str">
        <f t="array" ref="O10">IFERROR(INDEX(CONTROL[Buff Max],MATCH(ConBodega&amp;ConCodigo,CONTROL[BODEGA]&amp;CONTROL[CODIGO],0)),"")</f>
        <v/>
      </c>
      <c r="P10" s="68"/>
      <c r="Q10" s="68"/>
      <c r="AF10" s="159" t="s">
        <v>754</v>
      </c>
      <c r="AG10" s="157">
        <v>500</v>
      </c>
      <c r="AH10" s="157">
        <v>333</v>
      </c>
      <c r="AI10" s="157">
        <v>165</v>
      </c>
      <c r="AJ10" s="157">
        <v>0</v>
      </c>
      <c r="AK10" s="157">
        <v>0</v>
      </c>
      <c r="AL10" s="157">
        <v>538</v>
      </c>
      <c r="AM10" s="157">
        <v>353</v>
      </c>
    </row>
    <row r="11" spans="11:46" x14ac:dyDescent="0.2">
      <c r="K11" s="110" t="s">
        <v>383</v>
      </c>
      <c r="L11" s="124" t="str">
        <f t="array" ref="L11">IFERROR(INDEX(CONTROL[Inv Fís Act],MATCH(ConBodega&amp;ConCodigo,CONTROL[BODEGA]&amp;CONTROL[CODIGO],0)),"")</f>
        <v/>
      </c>
      <c r="M11" s="103"/>
      <c r="N11" s="117" t="s">
        <v>425</v>
      </c>
      <c r="O11" s="111" t="str">
        <f t="array" ref="O11">IFERROR(INDEX(CONTROL[Ult Buffer],MATCH(ConBodega&amp;ConCodigo,CONTROL[BODEGA]&amp;CONTROL[CODIGO],0)),"")</f>
        <v/>
      </c>
      <c r="AF11" s="159" t="s">
        <v>755</v>
      </c>
      <c r="AG11" s="157">
        <v>500</v>
      </c>
      <c r="AH11" s="157">
        <v>333</v>
      </c>
      <c r="AI11" s="157">
        <v>165</v>
      </c>
      <c r="AJ11" s="157">
        <v>0</v>
      </c>
      <c r="AK11" s="157">
        <v>0</v>
      </c>
      <c r="AL11" s="157">
        <v>521</v>
      </c>
      <c r="AM11" s="157">
        <v>336</v>
      </c>
    </row>
    <row r="12" spans="11:46" x14ac:dyDescent="0.2">
      <c r="K12" s="110" t="s">
        <v>430</v>
      </c>
      <c r="L12" s="125" t="str">
        <f t="array" ref="L12">IFERROR(INDEX(CONTROL[Tráns Act],MATCH(ConBodega&amp;ConCodigo,CONTROL[BODEGA]&amp;CONTROL[CODIGO],0)),"")</f>
        <v/>
      </c>
      <c r="M12" s="103"/>
      <c r="N12" s="117" t="s">
        <v>427</v>
      </c>
      <c r="O12" s="114" t="str">
        <f t="array" ref="O12">IFERROR(INDEX(CONTROL[Ult Cambio],MATCH(ConBodega&amp;ConCodigo,CONTROL[BODEGA]&amp;CONTROL[CODIGO],0)),"")</f>
        <v/>
      </c>
      <c r="AF12" s="159" t="s">
        <v>756</v>
      </c>
      <c r="AG12" s="157">
        <v>500</v>
      </c>
      <c r="AH12" s="157">
        <v>333</v>
      </c>
      <c r="AI12" s="157">
        <v>165</v>
      </c>
      <c r="AJ12" s="157">
        <v>0</v>
      </c>
      <c r="AK12" s="157">
        <v>0</v>
      </c>
      <c r="AL12" s="157">
        <v>459</v>
      </c>
      <c r="AM12" s="157">
        <v>324</v>
      </c>
    </row>
    <row r="13" spans="11:46" x14ac:dyDescent="0.2">
      <c r="K13" s="123" t="s">
        <v>355</v>
      </c>
      <c r="L13" s="116" t="str">
        <f t="array" ref="L13">IFERROR(INDEX(CONTROL[Negociación],MATCH(ConBodega&amp;ConCodigo,CONTROL[BODEGA]&amp;CONTROL[CODIGO],0)),"")</f>
        <v/>
      </c>
      <c r="M13" s="103"/>
      <c r="N13" s="121" t="s">
        <v>163</v>
      </c>
      <c r="O13" s="103">
        <f t="array" ref="O13">IFERROR(INDEX(CONTROL[Buff Estacional],MATCH(ConBodega&amp;ConCodigo,CONTROL[BODEGA]&amp;CONTROL[CODIGO],0)),0)</f>
        <v>0</v>
      </c>
      <c r="AF13" s="159" t="s">
        <v>757</v>
      </c>
      <c r="AG13" s="157">
        <v>500</v>
      </c>
      <c r="AH13" s="157">
        <v>333</v>
      </c>
      <c r="AI13" s="157">
        <v>165</v>
      </c>
      <c r="AJ13" s="157">
        <v>0</v>
      </c>
      <c r="AK13" s="157">
        <v>0</v>
      </c>
      <c r="AL13" s="157">
        <v>450</v>
      </c>
      <c r="AM13" s="157">
        <v>315</v>
      </c>
    </row>
    <row r="14" spans="11:46" x14ac:dyDescent="0.2">
      <c r="K14" s="123" t="s">
        <v>356</v>
      </c>
      <c r="L14" s="116" t="str">
        <f t="array" ref="L14">IFERROR(INDEX(CONTROL[Producción],MATCH(ConBodega&amp;ConCodigo,CONTROL[BODEGA]&amp;CONTROL[CODIGO],0)),"")</f>
        <v/>
      </c>
      <c r="M14" s="103"/>
      <c r="N14" s="121" t="s">
        <v>445</v>
      </c>
      <c r="O14" s="103" t="str">
        <f t="array" ref="O14">IFERROR(INDEX(CONTROL[Buff Ant Estacion],MATCH(ConBodega&amp;ConCodigo,CONTROL[BODEGA]&amp;CONTROL[CODIGO],0)),"")</f>
        <v/>
      </c>
      <c r="AF14" s="159" t="s">
        <v>758</v>
      </c>
      <c r="AG14" s="157">
        <v>500</v>
      </c>
      <c r="AH14" s="157">
        <v>333</v>
      </c>
      <c r="AI14" s="157">
        <v>165</v>
      </c>
      <c r="AJ14" s="157">
        <v>0</v>
      </c>
      <c r="AK14" s="157">
        <v>0</v>
      </c>
      <c r="AL14" s="157">
        <v>450</v>
      </c>
      <c r="AM14" s="157">
        <v>315</v>
      </c>
    </row>
    <row r="15" spans="11:46" x14ac:dyDescent="0.2">
      <c r="K15" s="123" t="s">
        <v>357</v>
      </c>
      <c r="L15" s="116" t="str">
        <f t="array" ref="L15">IFERROR(INDEX(CONTROL[Embarcado],MATCH(ConBodega&amp;ConCodigo,CONTROL[BODEGA]&amp;CONTROL[CODIGO],0)),"")</f>
        <v/>
      </c>
      <c r="M15" s="103"/>
      <c r="N15" s="121" t="s">
        <v>164</v>
      </c>
      <c r="O15" s="103" t="str">
        <f t="array" ref="O15">IFERROR(INDEX(CONTROL[Calendario Estacional],MATCH(ConBodega&amp;ConCodigo,CONTROL[BODEGA]&amp;CONTROL[CODIGO],0)),"")</f>
        <v/>
      </c>
      <c r="AF15" s="159" t="s">
        <v>759</v>
      </c>
      <c r="AG15" s="157">
        <v>500</v>
      </c>
      <c r="AH15" s="157">
        <v>333</v>
      </c>
      <c r="AI15" s="157">
        <v>165</v>
      </c>
      <c r="AJ15" s="157">
        <v>0</v>
      </c>
      <c r="AK15" s="157">
        <v>0</v>
      </c>
      <c r="AL15" s="157">
        <v>450</v>
      </c>
      <c r="AM15" s="157">
        <v>315</v>
      </c>
    </row>
    <row r="16" spans="11:46" x14ac:dyDescent="0.2">
      <c r="K16" s="110" t="s">
        <v>431</v>
      </c>
      <c r="L16" s="125" t="str">
        <f t="array" ref="L16">IFERROR(INDEX(CONTROL[Comprom],MATCH(ConBodega&amp;ConCodigo,CONTROL[BODEGA]&amp;CONTROL[CODIGO],0)),"")</f>
        <v/>
      </c>
      <c r="M16" s="103"/>
      <c r="N16" s="121" t="s">
        <v>201</v>
      </c>
      <c r="O16" s="103" t="str">
        <f t="array" ref="O16">IFERROR(INDEX(CONTROL[Acción Estacional],MATCH(ConBodega&amp;ConCodigo,CONTROL[BODEGA]&amp;CONTROL[CODIGO],0)),"")</f>
        <v/>
      </c>
      <c r="AF16" s="159" t="s">
        <v>760</v>
      </c>
      <c r="AG16" s="157">
        <v>500</v>
      </c>
      <c r="AH16" s="157">
        <v>333</v>
      </c>
      <c r="AI16" s="157">
        <v>165</v>
      </c>
      <c r="AJ16" s="157">
        <v>0</v>
      </c>
      <c r="AK16" s="157">
        <v>0</v>
      </c>
      <c r="AL16" s="157">
        <v>450</v>
      </c>
      <c r="AM16" s="157">
        <v>315</v>
      </c>
    </row>
    <row r="17" spans="1:39" x14ac:dyDescent="0.2">
      <c r="K17" s="110" t="s">
        <v>432</v>
      </c>
      <c r="L17" s="125" t="str">
        <f t="array" ref="L17">IFERROR(INDEX(CONTROL[Backorders],MATCH(ConBodega&amp;ConCodigo,CONTROL[BODEGA]&amp;CONTROL[CODIGO],0)),"")</f>
        <v/>
      </c>
      <c r="M17" s="103"/>
      <c r="N17" s="121" t="s">
        <v>200</v>
      </c>
      <c r="O17" s="103" t="str">
        <f t="array" ref="O17">IFERROR(INDEX(CONTROL[Etapa Estacional],MATCH(ConBodega&amp;ConCodigo,CONTROL[BODEGA]&amp;CONTROL[CODIGO],0)),"")</f>
        <v/>
      </c>
      <c r="AF17" s="159" t="s">
        <v>761</v>
      </c>
      <c r="AG17" s="157">
        <v>500</v>
      </c>
      <c r="AH17" s="157">
        <v>333</v>
      </c>
      <c r="AI17" s="157">
        <v>165</v>
      </c>
      <c r="AJ17" s="157">
        <v>0</v>
      </c>
      <c r="AK17" s="157">
        <v>0</v>
      </c>
      <c r="AL17" s="157">
        <v>434</v>
      </c>
      <c r="AM17" s="157">
        <v>299</v>
      </c>
    </row>
    <row r="18" spans="1:39" x14ac:dyDescent="0.2">
      <c r="K18" s="110" t="s">
        <v>384</v>
      </c>
      <c r="L18" s="124" t="str">
        <f t="array" ref="L18">IFERROR(INDEX(CONTROL[Inv Proy Act],MATCH(ConBodega&amp;ConCodigo,CONTROL[BODEGA]&amp;CONTROL[CODIGO],0)),"")</f>
        <v/>
      </c>
      <c r="M18" s="103"/>
      <c r="N18" s="122" t="s">
        <v>444</v>
      </c>
      <c r="O18" s="113" t="str">
        <f t="array" ref="O18">IFERROR(INDEX(CONTROL[Cobertura Inv Proy],MATCH(ConBodega&amp;ConCodigo,CONTROL[BODEGA]&amp;CONTROL[CODIGO],0)),"")</f>
        <v/>
      </c>
      <c r="AF18" s="159" t="s">
        <v>762</v>
      </c>
      <c r="AG18" s="157">
        <v>500</v>
      </c>
      <c r="AH18" s="157">
        <v>333</v>
      </c>
      <c r="AI18" s="157">
        <v>165</v>
      </c>
      <c r="AJ18" s="157">
        <v>0</v>
      </c>
      <c r="AK18" s="157">
        <v>0</v>
      </c>
      <c r="AL18" s="157">
        <v>432</v>
      </c>
      <c r="AM18" s="157">
        <v>297</v>
      </c>
    </row>
    <row r="19" spans="1:39" x14ac:dyDescent="0.2">
      <c r="K19" s="107" t="s">
        <v>419</v>
      </c>
      <c r="L19" s="116" t="str">
        <f t="array" ref="L19">IFERROR(INDEX(CONTROL[PEDID Min],MATCH(ConBodega&amp;ConCodigo,CONTROL[BODEGA]&amp;CONTROL[CODIGO],0)),"")</f>
        <v/>
      </c>
      <c r="M19" s="111">
        <v>200</v>
      </c>
      <c r="N19" s="122" t="s">
        <v>421</v>
      </c>
      <c r="O19" s="113" t="str">
        <f t="array" ref="O19">IFERROR(INDEX(CONTROL[Cobertura Ped Min],MATCH(ConBodega&amp;ConCodigo,CONTROL[BODEGA]&amp;CONTROL[CODIGO],0)),"")</f>
        <v/>
      </c>
      <c r="AF19" s="159" t="s">
        <v>763</v>
      </c>
      <c r="AG19" s="157">
        <v>500</v>
      </c>
      <c r="AH19" s="157">
        <v>333</v>
      </c>
      <c r="AI19" s="157">
        <v>165</v>
      </c>
      <c r="AJ19" s="157">
        <v>0</v>
      </c>
      <c r="AK19" s="157">
        <v>0</v>
      </c>
      <c r="AL19" s="157">
        <v>487</v>
      </c>
      <c r="AM19" s="157">
        <v>284</v>
      </c>
    </row>
    <row r="20" spans="1:39" x14ac:dyDescent="0.2">
      <c r="K20" s="107" t="s">
        <v>424</v>
      </c>
      <c r="L20" s="116" t="str">
        <f t="array" ref="L20">IFERROR(INDEX(CONTROL[PEDID Min Grupo],MATCH(ConBodega&amp;ConCodigo,CONTROL[BODEGA]&amp;CONTROL[CODIGO],0)),"")</f>
        <v/>
      </c>
      <c r="M20" s="103"/>
      <c r="AF20" s="159" t="s">
        <v>764</v>
      </c>
      <c r="AG20" s="157">
        <v>500</v>
      </c>
      <c r="AH20" s="157">
        <v>333</v>
      </c>
      <c r="AI20" s="157">
        <v>165</v>
      </c>
      <c r="AJ20" s="157">
        <v>0</v>
      </c>
      <c r="AK20" s="157">
        <v>0</v>
      </c>
      <c r="AL20" s="157">
        <v>480</v>
      </c>
      <c r="AM20" s="157">
        <v>277</v>
      </c>
    </row>
    <row r="21" spans="1:39" x14ac:dyDescent="0.2">
      <c r="K21" s="107" t="s">
        <v>264</v>
      </c>
      <c r="L21" s="111" t="str">
        <f t="array" ref="L21">IFERROR(INDEX(CONTROL[Unidad Empaque],MATCH(ConBodega&amp;ConCodigo,CONTROL[BODEGA]&amp;CONTROL[CODIGO],0)),"")</f>
        <v/>
      </c>
      <c r="M21" s="103"/>
      <c r="AF21" s="159" t="s">
        <v>765</v>
      </c>
      <c r="AG21" s="157">
        <v>500</v>
      </c>
      <c r="AH21" s="157">
        <v>333</v>
      </c>
      <c r="AI21" s="157">
        <v>165</v>
      </c>
      <c r="AJ21" s="157">
        <v>0</v>
      </c>
      <c r="AK21" s="157">
        <v>0</v>
      </c>
      <c r="AL21" s="157">
        <v>480</v>
      </c>
      <c r="AM21" s="157">
        <v>277</v>
      </c>
    </row>
    <row r="22" spans="1:39" x14ac:dyDescent="0.2">
      <c r="K22" s="107" t="s">
        <v>426</v>
      </c>
      <c r="L22" s="111" t="str">
        <f t="array" ref="L22">IFERROR(INDEX(CONTROL[Inv Proveed],MATCH(ConBodega&amp;ConCodigo,CONTROL[BODEGA]&amp;CONTROL[CODIGO],0)),"")</f>
        <v/>
      </c>
      <c r="M22" s="103"/>
      <c r="AF22" s="159" t="s">
        <v>766</v>
      </c>
      <c r="AG22" s="157">
        <v>500</v>
      </c>
      <c r="AH22" s="157">
        <v>333</v>
      </c>
      <c r="AI22" s="157">
        <v>165</v>
      </c>
      <c r="AJ22" s="157">
        <v>0</v>
      </c>
      <c r="AK22" s="157">
        <v>0</v>
      </c>
      <c r="AL22" s="157">
        <v>480</v>
      </c>
      <c r="AM22" s="157">
        <v>277</v>
      </c>
    </row>
    <row r="23" spans="1:39" x14ac:dyDescent="0.2">
      <c r="K23" s="107" t="s">
        <v>434</v>
      </c>
      <c r="L23" s="111" t="str">
        <f t="array" ref="L23">IFERROR(INDEX(CONTROL[PEDIDCalc],MATCH(ConBodega&amp;ConCodigo,CONTROL[BODEGA]&amp;CONTROL[CODIGO],0)),"")</f>
        <v/>
      </c>
      <c r="M23" s="103"/>
      <c r="AF23" s="159" t="s">
        <v>767</v>
      </c>
      <c r="AG23" s="157">
        <v>500</v>
      </c>
      <c r="AH23" s="157">
        <v>333</v>
      </c>
      <c r="AI23" s="157">
        <v>165</v>
      </c>
      <c r="AJ23" s="157">
        <v>0</v>
      </c>
      <c r="AK23" s="157">
        <v>0</v>
      </c>
      <c r="AL23" s="157">
        <v>480</v>
      </c>
      <c r="AM23" s="157">
        <v>277</v>
      </c>
    </row>
    <row r="24" spans="1:39" x14ac:dyDescent="0.2">
      <c r="K24" s="107" t="s">
        <v>435</v>
      </c>
      <c r="L24" s="111" t="str">
        <f t="array" ref="L24">IFERROR(INDEX(CONTROL[PEDID Prom],MATCH(ConBodega&amp;ConCodigo,CONTROL[BODEGA]&amp;CONTROL[CODIGO],0)),"")</f>
        <v/>
      </c>
      <c r="M24" s="103"/>
      <c r="AF24" s="159" t="s">
        <v>768</v>
      </c>
      <c r="AG24" s="157">
        <v>500</v>
      </c>
      <c r="AH24" s="157">
        <v>333</v>
      </c>
      <c r="AI24" s="157">
        <v>165</v>
      </c>
      <c r="AJ24" s="157">
        <v>0</v>
      </c>
      <c r="AK24" s="157">
        <v>0</v>
      </c>
      <c r="AL24" s="157">
        <v>549</v>
      </c>
      <c r="AM24" s="157">
        <v>346</v>
      </c>
    </row>
    <row r="25" spans="1:39" x14ac:dyDescent="0.2">
      <c r="K25" s="106" t="s">
        <v>235</v>
      </c>
      <c r="L25" s="103" t="str">
        <f t="array" ref="L25">IFERROR(INDEX(CONTROL[Perfil],MATCH(ConBodega&amp;ConCodigo,CONTROL[BODEGA]&amp;CONTROL[CODIGO],0)),"")</f>
        <v/>
      </c>
      <c r="M25" s="103"/>
      <c r="AF25" s="159" t="s">
        <v>769</v>
      </c>
      <c r="AG25" s="157">
        <v>500</v>
      </c>
      <c r="AH25" s="157">
        <v>333</v>
      </c>
      <c r="AI25" s="157">
        <v>165</v>
      </c>
      <c r="AJ25" s="157">
        <v>0</v>
      </c>
      <c r="AK25" s="157">
        <v>0</v>
      </c>
      <c r="AL25" s="157">
        <v>473</v>
      </c>
      <c r="AM25" s="157">
        <v>345</v>
      </c>
    </row>
    <row r="26" spans="1:39" x14ac:dyDescent="0.2">
      <c r="K26" s="106" t="s">
        <v>48</v>
      </c>
      <c r="L26" s="103" t="str">
        <f t="array" ref="L26">IFERROR(INDEX(CONTROL[Proveedor],MATCH(ConBodega&amp;ConCodigo,CONTROL[BODEGA]&amp;CONTROL[CODIGO],0)),"")</f>
        <v/>
      </c>
      <c r="M26" s="103" t="s">
        <v>514</v>
      </c>
      <c r="AF26" s="159" t="s">
        <v>770</v>
      </c>
      <c r="AG26" s="157">
        <v>500</v>
      </c>
      <c r="AH26" s="157">
        <v>333</v>
      </c>
      <c r="AI26" s="157">
        <v>165</v>
      </c>
      <c r="AJ26" s="157">
        <v>0</v>
      </c>
      <c r="AK26" s="157">
        <v>0</v>
      </c>
      <c r="AL26" s="157">
        <v>457</v>
      </c>
      <c r="AM26" s="157">
        <v>329</v>
      </c>
    </row>
    <row r="27" spans="1:39" x14ac:dyDescent="0.2">
      <c r="K27" s="106" t="s">
        <v>161</v>
      </c>
      <c r="L27" s="111" t="str">
        <f t="array" ref="L27">IFERROR(INDEX(CONTROL[T Suministro],MATCH(ConBodega&amp;ConCodigo,CONTROL[BODEGA]&amp;CONTROL[CODIGO],0)),"")</f>
        <v/>
      </c>
      <c r="M27" s="111">
        <v>15</v>
      </c>
      <c r="AF27" s="159" t="s">
        <v>771</v>
      </c>
      <c r="AG27" s="157">
        <v>500</v>
      </c>
      <c r="AH27" s="157">
        <v>333</v>
      </c>
      <c r="AI27" s="157">
        <v>165</v>
      </c>
      <c r="AJ27" s="157">
        <v>0</v>
      </c>
      <c r="AK27" s="157">
        <v>0</v>
      </c>
      <c r="AL27" s="157">
        <v>457</v>
      </c>
      <c r="AM27" s="157">
        <v>329</v>
      </c>
    </row>
    <row r="28" spans="1:39" x14ac:dyDescent="0.2">
      <c r="K28" s="107" t="s">
        <v>442</v>
      </c>
      <c r="L28" s="111" t="str">
        <f t="array" ref="L28">IFERROR(INDEX(CONTROL[Frec Repos],MATCH(ConBodega&amp;ConCodigo,CONTROL[BODEGA]&amp;CONTROL[CODIGO],0)),"")</f>
        <v/>
      </c>
      <c r="M28" s="111">
        <v>5</v>
      </c>
      <c r="AF28" s="159" t="s">
        <v>772</v>
      </c>
      <c r="AG28" s="157">
        <v>500</v>
      </c>
      <c r="AH28" s="157">
        <v>333</v>
      </c>
      <c r="AI28" s="157">
        <v>165</v>
      </c>
      <c r="AJ28" s="157">
        <v>0</v>
      </c>
      <c r="AK28" s="157">
        <v>0</v>
      </c>
      <c r="AL28" s="157">
        <v>457</v>
      </c>
      <c r="AM28" s="157">
        <v>329</v>
      </c>
    </row>
    <row r="29" spans="1:39" x14ac:dyDescent="0.2">
      <c r="K29" s="107" t="s">
        <v>443</v>
      </c>
      <c r="L29" s="111" t="str">
        <f t="array" ref="L29">IFERROR(INDEX(CONTROL[Horizonte],MATCH(ConBodega&amp;ConCodigo,CONTROL[BODEGA]&amp;CONTROL[CODIGO],0)),"")</f>
        <v/>
      </c>
      <c r="M29" s="103"/>
      <c r="AF29" s="159" t="s">
        <v>773</v>
      </c>
      <c r="AG29" s="157">
        <v>500</v>
      </c>
      <c r="AH29" s="157">
        <v>333</v>
      </c>
      <c r="AI29" s="157">
        <v>165</v>
      </c>
      <c r="AJ29" s="157">
        <v>0</v>
      </c>
      <c r="AK29" s="157">
        <v>0</v>
      </c>
      <c r="AL29" s="157">
        <v>457</v>
      </c>
      <c r="AM29" s="157">
        <v>329</v>
      </c>
    </row>
    <row r="30" spans="1:39" x14ac:dyDescent="0.2">
      <c r="A30" s="137" t="s">
        <v>63</v>
      </c>
      <c r="B30" s="68" t="s">
        <v>518</v>
      </c>
      <c r="K30" s="106" t="s">
        <v>436</v>
      </c>
      <c r="L30" s="114" t="str">
        <f t="array" ref="L30">IFERROR(INDEX(CONTROL[Ult Transfer Inicial],MATCH(ConBodega&amp;ConCodigo,CONTROL[BODEGA]&amp;CONTROL[CODIGO],0)),"")</f>
        <v/>
      </c>
      <c r="M30" s="103"/>
      <c r="AF30" s="159" t="s">
        <v>774</v>
      </c>
      <c r="AG30" s="157">
        <v>500</v>
      </c>
      <c r="AH30" s="157">
        <v>333</v>
      </c>
      <c r="AI30" s="157">
        <v>165</v>
      </c>
      <c r="AJ30" s="157">
        <v>0</v>
      </c>
      <c r="AK30" s="157">
        <v>0</v>
      </c>
      <c r="AL30" s="157">
        <v>453</v>
      </c>
      <c r="AM30" s="157">
        <v>325</v>
      </c>
    </row>
    <row r="31" spans="1:39" x14ac:dyDescent="0.2">
      <c r="A31" s="137" t="s">
        <v>3</v>
      </c>
      <c r="B31" s="68" t="s">
        <v>518</v>
      </c>
      <c r="K31" s="106" t="s">
        <v>78</v>
      </c>
      <c r="L31" s="115" t="str">
        <f t="array" ref="L31">IFERROR(INDEX(CONTROL[Servicio],MATCH(ConBodega&amp;ConCodigo,CONTROL[BODEGA]&amp;CONTROL[CODIGO],0)),"")</f>
        <v/>
      </c>
      <c r="M31" s="103"/>
      <c r="AF31" s="159" t="s">
        <v>775</v>
      </c>
      <c r="AG31" s="157">
        <v>500</v>
      </c>
      <c r="AH31" s="157">
        <v>333</v>
      </c>
      <c r="AI31" s="157">
        <v>165</v>
      </c>
      <c r="AJ31" s="157">
        <v>0</v>
      </c>
      <c r="AK31" s="157">
        <v>0</v>
      </c>
      <c r="AL31" s="157">
        <v>437</v>
      </c>
      <c r="AM31" s="157">
        <v>309</v>
      </c>
    </row>
    <row r="32" spans="1:39" x14ac:dyDescent="0.2">
      <c r="K32" s="117" t="s">
        <v>380</v>
      </c>
      <c r="L32" s="111" t="str">
        <f t="array" ref="L32">IFERROR(INDEX(CONTROL[Comportamiento],MATCH(ConBodega&amp;ConCodigo,CONTROL[BODEGA]&amp;CONTROL[CODIGO],0)),"")</f>
        <v/>
      </c>
      <c r="M32" s="103"/>
      <c r="AF32" s="159" t="s">
        <v>776</v>
      </c>
      <c r="AG32" s="157">
        <v>500</v>
      </c>
      <c r="AH32" s="157">
        <v>333</v>
      </c>
      <c r="AI32" s="157">
        <v>165</v>
      </c>
      <c r="AJ32" s="157">
        <v>0</v>
      </c>
      <c r="AK32" s="157">
        <v>0</v>
      </c>
      <c r="AL32" s="157">
        <v>437</v>
      </c>
      <c r="AM32" s="157">
        <v>309</v>
      </c>
    </row>
    <row r="33" spans="1:39" x14ac:dyDescent="0.2">
      <c r="A33" s="137" t="s">
        <v>418</v>
      </c>
      <c r="B33" s="92" t="s">
        <v>511</v>
      </c>
      <c r="C33" s="92" t="s">
        <v>513</v>
      </c>
      <c r="D33" s="92" t="s">
        <v>512</v>
      </c>
      <c r="K33" s="117" t="s">
        <v>420</v>
      </c>
      <c r="L33" s="111" t="str">
        <f t="array" ref="L33">IFERROR(INDEX(CONTROL[Nuevo Buff Sug],MATCH(ConBodega&amp;ConCodigo,CONTROL[BODEGA]&amp;CONTROL[CODIGO],0)),"")</f>
        <v/>
      </c>
      <c r="M33" s="103"/>
      <c r="AF33" s="159" t="s">
        <v>777</v>
      </c>
      <c r="AG33" s="157">
        <v>500</v>
      </c>
      <c r="AH33" s="157">
        <v>333</v>
      </c>
      <c r="AI33" s="157">
        <v>165</v>
      </c>
      <c r="AJ33" s="157">
        <v>0</v>
      </c>
      <c r="AK33" s="157">
        <v>0</v>
      </c>
      <c r="AL33" s="157">
        <v>427</v>
      </c>
      <c r="AM33" s="157">
        <v>299</v>
      </c>
    </row>
    <row r="34" spans="1:39" ht="14.25" x14ac:dyDescent="0.2">
      <c r="A34" s="138" t="s">
        <v>807</v>
      </c>
      <c r="B34" s="27"/>
      <c r="C34" s="27"/>
      <c r="D34" s="27"/>
      <c r="F34" s="119" t="s">
        <v>441</v>
      </c>
      <c r="G34" s="118"/>
      <c r="H34" s="118"/>
      <c r="K34" s="117" t="s">
        <v>402</v>
      </c>
      <c r="L34" s="128" t="str">
        <f t="array" ref="L34">IFERROR(INDEX(CONTROL[Buff Calc],MATCH(ConBodega&amp;ConCodigo,CONTROL[BODEGA]&amp;CONTROL[CODIGO],0)),"")</f>
        <v/>
      </c>
      <c r="M34" s="128">
        <f>IFERROR(ROUND(ConConsumoSemanalUsuario*ConFactorPicoUsuario*(ConTrepUsuario+ConFrepUsuario),0),"")</f>
        <v>538</v>
      </c>
      <c r="AF34" s="159" t="s">
        <v>778</v>
      </c>
      <c r="AG34" s="157">
        <v>500</v>
      </c>
      <c r="AH34" s="157">
        <v>333</v>
      </c>
      <c r="AI34" s="157">
        <v>165</v>
      </c>
      <c r="AJ34" s="157">
        <v>0</v>
      </c>
      <c r="AK34" s="157">
        <v>0</v>
      </c>
      <c r="AL34" s="157">
        <v>427</v>
      </c>
      <c r="AM34" s="157">
        <v>299</v>
      </c>
    </row>
    <row r="35" spans="1:39" x14ac:dyDescent="0.2">
      <c r="A35" s="2" t="s">
        <v>84</v>
      </c>
      <c r="B35" s="27"/>
      <c r="C35" s="27"/>
      <c r="D35" s="27"/>
      <c r="F35" s="93" t="s">
        <v>400</v>
      </c>
      <c r="G35" s="98">
        <f ca="1">IFERROR(ROUND(AVERAGE(OFFSET($B$33,MAX(COUNTA(OFFSET($A$33,1,0,COUNTA($A:$A)-4,1))-MIN(COUNTA(OFFSET($A$33,1,0,COUNTA($A:$A)-4,1)),6),1),0,MIN(COUNTA(OFFSET($A$33,1,0,COUNTA($A:$A)-4,1))-1,6),1))/4,1),0)</f>
        <v>0</v>
      </c>
      <c r="H35" s="101" t="s">
        <v>403</v>
      </c>
      <c r="K35" s="117" t="s">
        <v>428</v>
      </c>
      <c r="L35" s="115" t="str">
        <f t="array" ref="L35">IFERROR(INDEX(CONTROL[Rentabilid],MATCH(ConBodega&amp;ConCodigo,CONTROL[BODEGA]&amp;CONTROL[CODIGO],0)),"")</f>
        <v/>
      </c>
      <c r="M35" s="103"/>
      <c r="AF35" s="159" t="s">
        <v>779</v>
      </c>
      <c r="AG35" s="157">
        <v>500</v>
      </c>
      <c r="AH35" s="157">
        <v>333</v>
      </c>
      <c r="AI35" s="157">
        <v>165</v>
      </c>
      <c r="AJ35" s="157">
        <v>0</v>
      </c>
      <c r="AK35" s="157">
        <v>0</v>
      </c>
      <c r="AL35" s="157">
        <v>426</v>
      </c>
      <c r="AM35" s="157">
        <v>298</v>
      </c>
    </row>
    <row r="36" spans="1:39" x14ac:dyDescent="0.2">
      <c r="F36" s="94" t="s">
        <v>401</v>
      </c>
      <c r="G36" s="99">
        <f ca="1">IFERROR(ROUND(MAX(OFFSET($B$33,MAX(COUNTA(OFFSET($A$33,1,0,COUNTA($A:$A)-4,1))-MIN(COUNTA(OFFSET($A$33,1,0,COUNTA($A:$A)-4,1)),6),1),0,MIN(COUNTA(OFFSET($A$33,1,0,COUNTA($A:$A)-4,1))-1,6),1))/4/ConConsumoCalculado,1),0)</f>
        <v>0</v>
      </c>
      <c r="H36" s="95"/>
      <c r="K36" s="117" t="s">
        <v>429</v>
      </c>
      <c r="L36" s="115" t="str">
        <f t="array" ref="L36">IFERROR(INDEX(CONTROL[Rentabilidad Proy],MATCH(ConBodega&amp;ConCodigo,CONTROL[BODEGA]&amp;CONTROL[CODIGO],0)),"")</f>
        <v/>
      </c>
      <c r="M36" s="103"/>
      <c r="AF36" s="159" t="s">
        <v>780</v>
      </c>
      <c r="AG36" s="157">
        <v>500</v>
      </c>
      <c r="AH36" s="157">
        <v>333</v>
      </c>
      <c r="AI36" s="157">
        <v>165</v>
      </c>
      <c r="AJ36" s="157">
        <v>0</v>
      </c>
      <c r="AK36" s="157">
        <v>0</v>
      </c>
      <c r="AL36" s="157">
        <v>426</v>
      </c>
      <c r="AM36" s="157">
        <v>298</v>
      </c>
    </row>
    <row r="37" spans="1:39" x14ac:dyDescent="0.2">
      <c r="F37" s="96" t="s">
        <v>402</v>
      </c>
      <c r="G37" s="100">
        <f ca="1">IFERROR(ROUND(ConConsumoCalculado*ConPicoCalculado*(ConTRep+ConFRep),0),0)</f>
        <v>0</v>
      </c>
      <c r="H37" s="97" t="s">
        <v>399</v>
      </c>
      <c r="K37" s="126" t="s">
        <v>446</v>
      </c>
      <c r="L37" s="111">
        <f>1.5</f>
        <v>1.5</v>
      </c>
      <c r="M37" s="111">
        <v>2.4</v>
      </c>
      <c r="AF37" s="159" t="s">
        <v>781</v>
      </c>
      <c r="AG37" s="157">
        <v>500</v>
      </c>
      <c r="AH37" s="157">
        <v>333</v>
      </c>
      <c r="AI37" s="157">
        <v>165</v>
      </c>
      <c r="AJ37" s="157">
        <v>0</v>
      </c>
      <c r="AK37" s="157">
        <v>0</v>
      </c>
      <c r="AL37" s="157">
        <v>426</v>
      </c>
      <c r="AM37" s="157">
        <v>298</v>
      </c>
    </row>
    <row r="38" spans="1:39" ht="15" x14ac:dyDescent="0.25">
      <c r="K38" s="126" t="s">
        <v>447</v>
      </c>
      <c r="L38" s="120" t="str">
        <f>IFERROR(ConPVP-ConCTV,"")</f>
        <v/>
      </c>
      <c r="M38" s="120">
        <f>IFERROR(ConPVPUsuario-ConCTVUsuario,"")</f>
        <v>4.419999999999999</v>
      </c>
      <c r="AF38" s="158" t="s">
        <v>782</v>
      </c>
      <c r="AG38" s="157"/>
      <c r="AH38" s="157"/>
      <c r="AI38" s="157"/>
      <c r="AJ38" s="157"/>
      <c r="AK38" s="157"/>
      <c r="AL38" s="157"/>
      <c r="AM38" s="157"/>
    </row>
    <row r="39" spans="1:39" x14ac:dyDescent="0.2">
      <c r="K39" s="126" t="s">
        <v>449</v>
      </c>
      <c r="L39" s="111" t="str">
        <f t="array" ref="L39">IFERROR(INDEX(CONTROL[Consumo],MATCH(ConBodega&amp;ConCodigo,CONTROL[BODEGA]&amp;CONTROL[CODIGO],0)),"")</f>
        <v/>
      </c>
      <c r="M39" s="111">
        <v>11.2</v>
      </c>
      <c r="AF39" s="159" t="s">
        <v>783</v>
      </c>
      <c r="AG39" s="157">
        <v>500</v>
      </c>
      <c r="AH39" s="157">
        <v>333</v>
      </c>
      <c r="AI39" s="157">
        <v>165</v>
      </c>
      <c r="AJ39" s="157">
        <v>0</v>
      </c>
      <c r="AK39" s="157">
        <v>0</v>
      </c>
      <c r="AL39" s="157">
        <v>426</v>
      </c>
      <c r="AM39" s="157">
        <v>298</v>
      </c>
    </row>
    <row r="40" spans="1:39" x14ac:dyDescent="0.2">
      <c r="K40" s="126" t="s">
        <v>450</v>
      </c>
      <c r="L40" s="111" t="str">
        <f>IFERROR(ROUND(ConConsumoPromedio*52,0),"")</f>
        <v/>
      </c>
      <c r="M40" s="111">
        <f>IFERROR(ConConsumoSemanalUsuario*52,"")</f>
        <v>582.4</v>
      </c>
      <c r="AF40" s="159" t="s">
        <v>784</v>
      </c>
      <c r="AG40" s="157">
        <v>500</v>
      </c>
      <c r="AH40" s="157">
        <v>333</v>
      </c>
      <c r="AI40" s="157">
        <v>165</v>
      </c>
      <c r="AJ40" s="157">
        <v>0</v>
      </c>
      <c r="AK40" s="157">
        <v>0</v>
      </c>
      <c r="AL40" s="157">
        <v>426</v>
      </c>
      <c r="AM40" s="157">
        <v>298</v>
      </c>
    </row>
    <row r="41" spans="1:39" x14ac:dyDescent="0.2">
      <c r="K41" s="126" t="s">
        <v>448</v>
      </c>
      <c r="L41" s="127" t="str">
        <f t="array" ref="L41">IFERROR(ConConsumoAnualProyectado*ConTruputUnitario,"")</f>
        <v/>
      </c>
      <c r="M41" s="127">
        <f>IFERROR(ConTruputUnitarioUsuario*ConConsumoAnualProyectadoUsuario,"")</f>
        <v>2574.2079999999992</v>
      </c>
      <c r="AF41" s="159" t="s">
        <v>785</v>
      </c>
      <c r="AG41" s="157">
        <v>500</v>
      </c>
      <c r="AH41" s="157">
        <v>333</v>
      </c>
      <c r="AI41" s="157">
        <v>165</v>
      </c>
      <c r="AJ41" s="157">
        <v>0</v>
      </c>
      <c r="AK41" s="157">
        <v>0</v>
      </c>
      <c r="AL41" s="157">
        <v>495</v>
      </c>
      <c r="AM41" s="157">
        <v>293</v>
      </c>
    </row>
    <row r="42" spans="1:39" x14ac:dyDescent="0.2">
      <c r="K42" s="126" t="s">
        <v>451</v>
      </c>
      <c r="L42" s="127" t="str">
        <f>IFERROR(ConBufferActual*ConCTV,"")</f>
        <v/>
      </c>
      <c r="M42" s="127">
        <f>IFERROR(ConBufferCalcUsuario*ConCTVUsuario,"")</f>
        <v>4277.1000000000004</v>
      </c>
      <c r="AF42" s="159" t="s">
        <v>786</v>
      </c>
      <c r="AG42" s="157">
        <v>500</v>
      </c>
      <c r="AH42" s="157">
        <v>333</v>
      </c>
      <c r="AI42" s="157">
        <v>165</v>
      </c>
      <c r="AJ42" s="157">
        <v>0</v>
      </c>
      <c r="AK42" s="157">
        <v>0</v>
      </c>
      <c r="AL42" s="157">
        <v>494</v>
      </c>
      <c r="AM42" s="157">
        <v>292</v>
      </c>
    </row>
    <row r="43" spans="1:39" x14ac:dyDescent="0.2">
      <c r="K43" s="126" t="s">
        <v>452</v>
      </c>
      <c r="L43" s="115" t="str">
        <f>IFERROR(ConTruputAnualProyectado/ConInversion,"")</f>
        <v/>
      </c>
      <c r="M43" s="115">
        <f>IFERROR(ConTruputAnualProyectadoUsuario/ConInversionUsuario,"")</f>
        <v>0.60185826845292345</v>
      </c>
      <c r="AF43" s="159" t="s">
        <v>787</v>
      </c>
      <c r="AG43" s="157">
        <v>500</v>
      </c>
      <c r="AH43" s="157">
        <v>333</v>
      </c>
      <c r="AI43" s="157">
        <v>165</v>
      </c>
      <c r="AJ43" s="157">
        <v>0</v>
      </c>
      <c r="AK43" s="157">
        <v>0</v>
      </c>
      <c r="AL43" s="157">
        <v>494</v>
      </c>
      <c r="AM43" s="157">
        <v>292</v>
      </c>
    </row>
    <row r="44" spans="1:39" x14ac:dyDescent="0.2">
      <c r="AF44" s="159" t="s">
        <v>788</v>
      </c>
      <c r="AG44" s="157">
        <v>500</v>
      </c>
      <c r="AH44" s="157">
        <v>333</v>
      </c>
      <c r="AI44" s="157">
        <v>165</v>
      </c>
      <c r="AJ44" s="157">
        <v>0</v>
      </c>
      <c r="AK44" s="157">
        <v>0</v>
      </c>
      <c r="AL44" s="157">
        <v>494</v>
      </c>
      <c r="AM44" s="157">
        <v>292</v>
      </c>
    </row>
    <row r="45" spans="1:39" x14ac:dyDescent="0.2">
      <c r="AF45" s="159" t="s">
        <v>789</v>
      </c>
      <c r="AG45" s="157">
        <v>500</v>
      </c>
      <c r="AH45" s="157">
        <v>333</v>
      </c>
      <c r="AI45" s="157">
        <v>165</v>
      </c>
      <c r="AJ45" s="157">
        <v>0</v>
      </c>
      <c r="AK45" s="157">
        <v>0</v>
      </c>
      <c r="AL45" s="157">
        <v>492</v>
      </c>
      <c r="AM45" s="157">
        <v>290</v>
      </c>
    </row>
    <row r="46" spans="1:39" x14ac:dyDescent="0.2">
      <c r="AF46" s="159" t="s">
        <v>790</v>
      </c>
      <c r="AG46" s="157">
        <v>500</v>
      </c>
      <c r="AH46" s="157">
        <v>333</v>
      </c>
      <c r="AI46" s="157">
        <v>165</v>
      </c>
      <c r="AJ46" s="157">
        <v>0</v>
      </c>
      <c r="AK46" s="157">
        <v>0</v>
      </c>
      <c r="AL46" s="157">
        <v>490</v>
      </c>
      <c r="AM46" s="157">
        <v>288</v>
      </c>
    </row>
    <row r="47" spans="1:39" x14ac:dyDescent="0.2">
      <c r="AF47" s="159" t="s">
        <v>791</v>
      </c>
      <c r="AG47" s="157">
        <v>500</v>
      </c>
      <c r="AH47" s="157">
        <v>333</v>
      </c>
      <c r="AI47" s="157">
        <v>165</v>
      </c>
      <c r="AJ47" s="157">
        <v>0</v>
      </c>
      <c r="AK47" s="157">
        <v>0</v>
      </c>
      <c r="AL47" s="157">
        <v>471</v>
      </c>
      <c r="AM47" s="157">
        <v>329</v>
      </c>
    </row>
    <row r="48" spans="1:39" x14ac:dyDescent="0.2">
      <c r="AF48" s="159" t="s">
        <v>792</v>
      </c>
      <c r="AG48" s="157">
        <v>500</v>
      </c>
      <c r="AH48" s="157">
        <v>333</v>
      </c>
      <c r="AI48" s="157">
        <v>165</v>
      </c>
      <c r="AJ48" s="157">
        <v>0</v>
      </c>
      <c r="AK48" s="157">
        <v>0</v>
      </c>
      <c r="AL48" s="157">
        <v>472</v>
      </c>
      <c r="AM48" s="157">
        <v>330</v>
      </c>
    </row>
    <row r="49" spans="8:39" x14ac:dyDescent="0.2">
      <c r="H49" s="68"/>
      <c r="I49" s="68"/>
      <c r="L49"/>
      <c r="M49"/>
      <c r="S49" s="68"/>
      <c r="T49" s="68"/>
      <c r="U49" s="68"/>
      <c r="V49" s="68"/>
      <c r="AA49"/>
      <c r="AB49"/>
      <c r="AC49"/>
      <c r="AD49"/>
      <c r="AF49" s="159" t="s">
        <v>793</v>
      </c>
      <c r="AG49" s="157">
        <v>500</v>
      </c>
      <c r="AH49" s="157">
        <v>333</v>
      </c>
      <c r="AI49" s="157">
        <v>165</v>
      </c>
      <c r="AJ49" s="157">
        <v>0</v>
      </c>
      <c r="AK49" s="157">
        <v>0</v>
      </c>
      <c r="AL49" s="157">
        <v>472</v>
      </c>
      <c r="AM49" s="157">
        <v>330</v>
      </c>
    </row>
    <row r="50" spans="8:39" x14ac:dyDescent="0.2">
      <c r="H50" s="68"/>
      <c r="I50" s="68"/>
      <c r="L50"/>
      <c r="M50"/>
      <c r="S50" s="68"/>
      <c r="T50" s="68"/>
      <c r="U50" s="68"/>
      <c r="V50" s="68"/>
      <c r="AA50"/>
      <c r="AB50"/>
      <c r="AC50"/>
      <c r="AD50"/>
      <c r="AF50" s="159" t="s">
        <v>794</v>
      </c>
      <c r="AG50" s="157">
        <v>500</v>
      </c>
      <c r="AH50" s="157">
        <v>333</v>
      </c>
      <c r="AI50" s="157">
        <v>165</v>
      </c>
      <c r="AJ50" s="157">
        <v>0</v>
      </c>
      <c r="AK50" s="157">
        <v>0</v>
      </c>
      <c r="AL50" s="157">
        <v>472</v>
      </c>
      <c r="AM50" s="157">
        <v>330</v>
      </c>
    </row>
    <row r="51" spans="8:39" x14ac:dyDescent="0.2">
      <c r="H51" s="68"/>
      <c r="I51" s="68"/>
      <c r="L51"/>
      <c r="M51"/>
      <c r="S51" s="68"/>
      <c r="T51" s="68"/>
      <c r="U51" s="68"/>
      <c r="V51" s="68"/>
      <c r="AA51"/>
      <c r="AB51"/>
      <c r="AC51"/>
      <c r="AD51"/>
      <c r="AF51" s="159" t="s">
        <v>795</v>
      </c>
      <c r="AG51" s="157">
        <v>500</v>
      </c>
      <c r="AH51" s="157">
        <v>333</v>
      </c>
      <c r="AI51" s="157">
        <v>165</v>
      </c>
      <c r="AJ51" s="157">
        <v>0</v>
      </c>
      <c r="AK51" s="157">
        <v>0</v>
      </c>
      <c r="AL51" s="157">
        <v>467</v>
      </c>
      <c r="AM51" s="157">
        <v>325</v>
      </c>
    </row>
    <row r="52" spans="8:39" x14ac:dyDescent="0.2">
      <c r="H52" s="68"/>
      <c r="I52" s="68"/>
      <c r="L52"/>
      <c r="M52"/>
      <c r="S52" s="68"/>
      <c r="T52" s="68"/>
      <c r="U52" s="68"/>
      <c r="V52" s="68"/>
      <c r="AA52"/>
      <c r="AB52"/>
      <c r="AC52"/>
      <c r="AD52"/>
      <c r="AF52" s="159" t="s">
        <v>796</v>
      </c>
      <c r="AG52" s="157">
        <v>500</v>
      </c>
      <c r="AH52" s="157">
        <v>333</v>
      </c>
      <c r="AI52" s="157">
        <v>165</v>
      </c>
      <c r="AJ52" s="157">
        <v>0</v>
      </c>
      <c r="AK52" s="157">
        <v>0</v>
      </c>
      <c r="AL52" s="157">
        <v>467</v>
      </c>
      <c r="AM52" s="157">
        <v>325</v>
      </c>
    </row>
    <row r="53" spans="8:39" x14ac:dyDescent="0.2">
      <c r="H53" s="68"/>
      <c r="I53" s="68"/>
      <c r="L53"/>
      <c r="M53"/>
      <c r="S53" s="68"/>
      <c r="T53" s="68"/>
      <c r="U53" s="68"/>
      <c r="V53" s="68"/>
      <c r="AA53"/>
      <c r="AB53"/>
      <c r="AC53"/>
      <c r="AD53"/>
      <c r="AF53" s="159" t="s">
        <v>797</v>
      </c>
      <c r="AG53" s="157">
        <v>500</v>
      </c>
      <c r="AH53" s="157">
        <v>333</v>
      </c>
      <c r="AI53" s="157">
        <v>165</v>
      </c>
      <c r="AJ53" s="157">
        <v>0</v>
      </c>
      <c r="AK53" s="157">
        <v>0</v>
      </c>
      <c r="AL53" s="157">
        <v>437</v>
      </c>
      <c r="AM53" s="157">
        <v>295</v>
      </c>
    </row>
    <row r="54" spans="8:39" x14ac:dyDescent="0.2">
      <c r="H54" s="68"/>
      <c r="I54" s="68"/>
      <c r="L54"/>
      <c r="M54"/>
      <c r="S54" s="68"/>
      <c r="T54" s="68"/>
      <c r="U54" s="68"/>
      <c r="V54" s="68"/>
      <c r="AA54"/>
      <c r="AB54"/>
      <c r="AC54"/>
      <c r="AD54"/>
      <c r="AF54" s="159" t="s">
        <v>798</v>
      </c>
      <c r="AG54" s="157">
        <v>500</v>
      </c>
      <c r="AH54" s="157">
        <v>333</v>
      </c>
      <c r="AI54" s="157">
        <v>165</v>
      </c>
      <c r="AJ54" s="157">
        <v>0</v>
      </c>
      <c r="AK54" s="157">
        <v>0</v>
      </c>
      <c r="AL54" s="157">
        <v>462</v>
      </c>
      <c r="AM54" s="157">
        <v>292</v>
      </c>
    </row>
    <row r="55" spans="8:39" x14ac:dyDescent="0.2">
      <c r="H55" s="68"/>
      <c r="I55" s="68"/>
      <c r="L55"/>
      <c r="M55"/>
      <c r="S55" s="68"/>
      <c r="T55" s="68"/>
      <c r="U55" s="68"/>
      <c r="V55" s="68"/>
      <c r="AA55"/>
      <c r="AB55"/>
      <c r="AC55"/>
      <c r="AD55"/>
      <c r="AF55" s="159" t="s">
        <v>799</v>
      </c>
      <c r="AG55" s="157">
        <v>500</v>
      </c>
      <c r="AH55" s="157">
        <v>333</v>
      </c>
      <c r="AI55" s="157">
        <v>165</v>
      </c>
      <c r="AJ55" s="157">
        <v>0</v>
      </c>
      <c r="AK55" s="157">
        <v>0</v>
      </c>
      <c r="AL55" s="157">
        <v>458</v>
      </c>
      <c r="AM55" s="157">
        <v>288</v>
      </c>
    </row>
    <row r="56" spans="8:39" x14ac:dyDescent="0.2">
      <c r="H56" s="68"/>
      <c r="I56" s="68"/>
      <c r="L56"/>
      <c r="M56"/>
      <c r="S56" s="68"/>
      <c r="T56" s="68"/>
      <c r="U56" s="68"/>
      <c r="V56" s="68"/>
      <c r="AA56"/>
      <c r="AB56"/>
      <c r="AC56"/>
      <c r="AD56"/>
      <c r="AF56" s="159" t="s">
        <v>800</v>
      </c>
      <c r="AG56" s="157">
        <v>500</v>
      </c>
      <c r="AH56" s="157">
        <v>333</v>
      </c>
      <c r="AI56" s="157">
        <v>165</v>
      </c>
      <c r="AJ56" s="157">
        <v>0</v>
      </c>
      <c r="AK56" s="157">
        <v>0</v>
      </c>
      <c r="AL56" s="157">
        <v>170</v>
      </c>
      <c r="AM56" s="157">
        <v>0</v>
      </c>
    </row>
    <row r="57" spans="8:39" x14ac:dyDescent="0.2">
      <c r="H57" s="68"/>
      <c r="I57" s="68"/>
      <c r="L57"/>
      <c r="M57"/>
      <c r="S57" s="68"/>
      <c r="T57" s="68"/>
      <c r="U57" s="68"/>
      <c r="V57" s="68"/>
      <c r="AA57"/>
      <c r="AB57"/>
      <c r="AC57"/>
      <c r="AD57"/>
      <c r="AF57" s="159" t="s">
        <v>801</v>
      </c>
      <c r="AG57" s="157">
        <v>500</v>
      </c>
      <c r="AH57" s="157">
        <v>333</v>
      </c>
      <c r="AI57" s="157">
        <v>165</v>
      </c>
      <c r="AJ57" s="157">
        <v>0</v>
      </c>
      <c r="AK57" s="157">
        <v>0</v>
      </c>
      <c r="AL57" s="157">
        <v>458</v>
      </c>
      <c r="AM57" s="157">
        <v>288</v>
      </c>
    </row>
    <row r="58" spans="8:39" x14ac:dyDescent="0.2">
      <c r="H58" s="68"/>
      <c r="I58" s="68"/>
      <c r="L58"/>
      <c r="M58"/>
      <c r="S58" s="68"/>
      <c r="T58" s="68"/>
      <c r="U58" s="68"/>
      <c r="V58" s="68"/>
      <c r="AA58"/>
      <c r="AB58"/>
      <c r="AC58"/>
      <c r="AD58"/>
      <c r="AF58" s="159" t="s">
        <v>802</v>
      </c>
      <c r="AG58" s="157">
        <v>500</v>
      </c>
      <c r="AH58" s="157">
        <v>333</v>
      </c>
      <c r="AI58" s="157">
        <v>165</v>
      </c>
      <c r="AJ58" s="157">
        <v>0</v>
      </c>
      <c r="AK58" s="157">
        <v>0</v>
      </c>
      <c r="AL58" s="157">
        <v>458</v>
      </c>
      <c r="AM58" s="157">
        <v>288</v>
      </c>
    </row>
    <row r="59" spans="8:39" x14ac:dyDescent="0.2">
      <c r="H59" s="68"/>
      <c r="I59" s="68"/>
      <c r="L59"/>
      <c r="M59"/>
      <c r="S59" s="68"/>
      <c r="T59" s="68"/>
      <c r="U59" s="68"/>
      <c r="V59" s="68"/>
      <c r="AA59"/>
      <c r="AB59"/>
      <c r="AC59"/>
      <c r="AD59"/>
      <c r="AF59" s="159" t="s">
        <v>803</v>
      </c>
      <c r="AG59" s="157">
        <v>500</v>
      </c>
      <c r="AH59" s="157">
        <v>333</v>
      </c>
      <c r="AI59" s="157">
        <v>165</v>
      </c>
      <c r="AJ59" s="157">
        <v>0</v>
      </c>
      <c r="AK59" s="157">
        <v>0</v>
      </c>
      <c r="AL59" s="157">
        <v>436</v>
      </c>
      <c r="AM59" s="157">
        <v>266</v>
      </c>
    </row>
    <row r="60" spans="8:39" x14ac:dyDescent="0.2">
      <c r="H60" s="68"/>
      <c r="I60" s="68"/>
      <c r="L60"/>
      <c r="M60"/>
      <c r="S60" s="68"/>
      <c r="T60" s="68"/>
      <c r="U60" s="68"/>
      <c r="V60" s="68"/>
      <c r="AA60"/>
      <c r="AB60"/>
      <c r="AC60"/>
      <c r="AD60"/>
      <c r="AF60" s="159" t="s">
        <v>804</v>
      </c>
      <c r="AG60" s="157">
        <v>500</v>
      </c>
      <c r="AH60" s="157">
        <v>333</v>
      </c>
      <c r="AI60" s="157">
        <v>165</v>
      </c>
      <c r="AJ60" s="157">
        <v>0</v>
      </c>
      <c r="AK60" s="157">
        <v>0</v>
      </c>
      <c r="AL60" s="157">
        <v>435</v>
      </c>
      <c r="AM60" s="157">
        <v>265</v>
      </c>
    </row>
    <row r="61" spans="8:39" x14ac:dyDescent="0.2">
      <c r="H61" s="68"/>
      <c r="I61" s="68"/>
      <c r="L61"/>
      <c r="M61"/>
      <c r="S61" s="68"/>
      <c r="T61" s="68"/>
      <c r="U61" s="68"/>
      <c r="V61" s="68"/>
      <c r="AA61"/>
      <c r="AB61"/>
      <c r="AC61"/>
      <c r="AD61"/>
      <c r="AF61" s="159" t="s">
        <v>805</v>
      </c>
      <c r="AG61" s="157">
        <v>500</v>
      </c>
      <c r="AH61" s="157">
        <v>333</v>
      </c>
      <c r="AI61" s="157">
        <v>165</v>
      </c>
      <c r="AJ61" s="157">
        <v>0</v>
      </c>
      <c r="AK61" s="157">
        <v>0</v>
      </c>
      <c r="AL61" s="157">
        <v>264</v>
      </c>
      <c r="AM61" s="157">
        <v>264</v>
      </c>
    </row>
    <row r="62" spans="8:39" x14ac:dyDescent="0.2">
      <c r="H62" s="68"/>
      <c r="I62" s="68"/>
      <c r="L62"/>
      <c r="M62"/>
      <c r="S62" s="68"/>
      <c r="T62" s="68"/>
      <c r="U62" s="68"/>
      <c r="V62" s="68"/>
      <c r="AA62"/>
      <c r="AB62"/>
      <c r="AC62"/>
      <c r="AD62"/>
      <c r="AF62" s="159" t="s">
        <v>806</v>
      </c>
      <c r="AG62" s="157">
        <v>500</v>
      </c>
      <c r="AH62" s="157">
        <v>333</v>
      </c>
      <c r="AI62" s="157">
        <v>165</v>
      </c>
      <c r="AJ62" s="157">
        <v>0</v>
      </c>
      <c r="AK62" s="157">
        <v>0</v>
      </c>
      <c r="AL62" s="157">
        <v>264</v>
      </c>
      <c r="AM62" s="157">
        <v>264</v>
      </c>
    </row>
    <row r="63" spans="8:39" x14ac:dyDescent="0.2">
      <c r="H63" s="68"/>
      <c r="I63" s="68"/>
      <c r="L63"/>
      <c r="M63"/>
      <c r="S63" s="68"/>
      <c r="T63" s="68"/>
      <c r="U63" s="68"/>
      <c r="V63" s="68"/>
      <c r="AA63"/>
      <c r="AB63"/>
      <c r="AC63"/>
      <c r="AD63"/>
      <c r="AF63" s="159" t="s">
        <v>833</v>
      </c>
      <c r="AG63" s="157">
        <v>500</v>
      </c>
      <c r="AH63" s="157">
        <v>333</v>
      </c>
      <c r="AI63" s="157">
        <v>165</v>
      </c>
      <c r="AJ63" s="157">
        <v>0</v>
      </c>
      <c r="AK63" s="157">
        <v>0</v>
      </c>
      <c r="AL63" s="157">
        <v>434</v>
      </c>
      <c r="AM63" s="157">
        <v>264</v>
      </c>
    </row>
    <row r="64" spans="8:39" x14ac:dyDescent="0.2">
      <c r="AF64" s="159" t="s">
        <v>834</v>
      </c>
      <c r="AG64" s="157">
        <v>500</v>
      </c>
      <c r="AH64" s="157">
        <v>333</v>
      </c>
      <c r="AI64" s="157">
        <v>165</v>
      </c>
      <c r="AJ64" s="157">
        <v>0</v>
      </c>
      <c r="AK64" s="157">
        <v>0</v>
      </c>
      <c r="AL64" s="157">
        <v>417</v>
      </c>
      <c r="AM64" s="157">
        <v>247</v>
      </c>
    </row>
    <row r="65" spans="32:39" x14ac:dyDescent="0.2">
      <c r="AF65" s="159" t="s">
        <v>835</v>
      </c>
      <c r="AG65" s="157">
        <v>500</v>
      </c>
      <c r="AH65" s="157">
        <v>333</v>
      </c>
      <c r="AI65" s="157">
        <v>165</v>
      </c>
      <c r="AJ65" s="157">
        <v>0</v>
      </c>
      <c r="AK65" s="157">
        <v>0</v>
      </c>
      <c r="AL65" s="157">
        <v>409</v>
      </c>
      <c r="AM65" s="157">
        <v>239</v>
      </c>
    </row>
    <row r="66" spans="32:39" x14ac:dyDescent="0.2">
      <c r="AF66" s="159" t="s">
        <v>836</v>
      </c>
      <c r="AG66" s="157">
        <v>500</v>
      </c>
      <c r="AH66" s="157">
        <v>333</v>
      </c>
      <c r="AI66" s="157">
        <v>165</v>
      </c>
      <c r="AJ66" s="157">
        <v>0</v>
      </c>
      <c r="AK66" s="157">
        <v>0</v>
      </c>
      <c r="AL66" s="157">
        <v>495</v>
      </c>
      <c r="AM66" s="157">
        <v>233</v>
      </c>
    </row>
    <row r="67" spans="32:39" x14ac:dyDescent="0.2">
      <c r="AF67" s="159" t="s">
        <v>837</v>
      </c>
      <c r="AG67" s="157">
        <v>500</v>
      </c>
      <c r="AH67" s="157">
        <v>333</v>
      </c>
      <c r="AI67" s="157">
        <v>165</v>
      </c>
      <c r="AJ67" s="157">
        <v>0</v>
      </c>
      <c r="AK67" s="157">
        <v>0</v>
      </c>
      <c r="AL67" s="157">
        <v>490</v>
      </c>
      <c r="AM67" s="157">
        <v>228</v>
      </c>
    </row>
    <row r="68" spans="32:39" x14ac:dyDescent="0.2">
      <c r="AF68" s="158" t="s">
        <v>838</v>
      </c>
      <c r="AG68" s="157"/>
      <c r="AH68" s="157"/>
      <c r="AI68" s="157"/>
      <c r="AJ68" s="157"/>
      <c r="AK68" s="157"/>
      <c r="AL68" s="157"/>
      <c r="AM68" s="157"/>
    </row>
    <row r="69" spans="32:39" x14ac:dyDescent="0.2">
      <c r="AF69" s="159" t="s">
        <v>839</v>
      </c>
      <c r="AG69" s="157">
        <v>500</v>
      </c>
      <c r="AH69" s="157">
        <v>333</v>
      </c>
      <c r="AI69" s="157">
        <v>165</v>
      </c>
      <c r="AJ69" s="157">
        <v>0</v>
      </c>
      <c r="AK69" s="157">
        <v>0</v>
      </c>
      <c r="AL69" s="157">
        <v>434</v>
      </c>
      <c r="AM69" s="157">
        <v>292</v>
      </c>
    </row>
    <row r="70" spans="32:39" x14ac:dyDescent="0.2">
      <c r="AF70" s="156" t="s">
        <v>84</v>
      </c>
      <c r="AG70" s="157">
        <v>29500</v>
      </c>
      <c r="AH70" s="157">
        <v>19647</v>
      </c>
      <c r="AI70" s="157">
        <v>9735</v>
      </c>
      <c r="AJ70" s="157">
        <v>0</v>
      </c>
      <c r="AK70" s="157">
        <v>0</v>
      </c>
      <c r="AL70" s="157">
        <v>26547</v>
      </c>
      <c r="AM70" s="157">
        <v>17337</v>
      </c>
    </row>
  </sheetData>
  <conditionalFormatting sqref="L4">
    <cfRule type="cellIs" dxfId="47" priority="25" operator="equal">
      <formula>0</formula>
    </cfRule>
  </conditionalFormatting>
  <conditionalFormatting sqref="L11">
    <cfRule type="expression" dxfId="46" priority="18">
      <formula>$AP$1="G"</formula>
    </cfRule>
    <cfRule type="expression" dxfId="45" priority="20">
      <formula>$AP$1="N"</formula>
    </cfRule>
    <cfRule type="expression" dxfId="44" priority="21">
      <formula>$AP$1="L"</formula>
    </cfRule>
    <cfRule type="expression" dxfId="43" priority="22">
      <formula>$AP$1="R"</formula>
    </cfRule>
    <cfRule type="expression" dxfId="42" priority="23">
      <formula>$AP$1="A"</formula>
    </cfRule>
    <cfRule type="expression" dxfId="41" priority="24">
      <formula>$AP$1="V"</formula>
    </cfRule>
  </conditionalFormatting>
  <conditionalFormatting sqref="L18">
    <cfRule type="expression" dxfId="40" priority="12">
      <formula>$AP$2="G"</formula>
    </cfRule>
    <cfRule type="expression" dxfId="39" priority="13">
      <formula>$AP$2="N"</formula>
    </cfRule>
    <cfRule type="expression" dxfId="38" priority="14">
      <formula>$AP$2="L"</formula>
    </cfRule>
    <cfRule type="expression" dxfId="37" priority="15">
      <formula>$AP$2="R"</formula>
    </cfRule>
    <cfRule type="expression" dxfId="36" priority="16">
      <formula>$AP$2="A"</formula>
    </cfRule>
    <cfRule type="expression" dxfId="35" priority="17">
      <formula>$AP$2="V"</formula>
    </cfRule>
  </conditionalFormatting>
  <conditionalFormatting sqref="L22">
    <cfRule type="expression" dxfId="34" priority="11">
      <formula>$L$22=10000000000</formula>
    </cfRule>
  </conditionalFormatting>
  <conditionalFormatting sqref="L33">
    <cfRule type="expression" dxfId="33" priority="9">
      <formula>ConGDB&lt;ConBufferActual</formula>
    </cfRule>
    <cfRule type="expression" dxfId="32" priority="10">
      <formula>ConGDB&gt;ConBufferActual</formula>
    </cfRule>
  </conditionalFormatting>
  <conditionalFormatting sqref="L34">
    <cfRule type="expression" dxfId="31" priority="7">
      <formula>ConBufferCalcCB&lt;ConBufferActual</formula>
    </cfRule>
    <cfRule type="expression" dxfId="30" priority="8">
      <formula>ConBufferCalcCB&gt;ConBufferActual</formula>
    </cfRule>
  </conditionalFormatting>
  <conditionalFormatting sqref="M4">
    <cfRule type="cellIs" dxfId="29" priority="6" operator="equal">
      <formula>0</formula>
    </cfRule>
  </conditionalFormatting>
  <conditionalFormatting sqref="M34">
    <cfRule type="expression" dxfId="28" priority="4">
      <formula>ConBufferCalcUsuario&lt;ConBufferActual</formula>
    </cfRule>
    <cfRule type="expression" dxfId="27" priority="5">
      <formula>ConBufferCalcUsuario&gt;ConBufferActual</formula>
    </cfRule>
  </conditionalFormatting>
  <conditionalFormatting sqref="O12">
    <cfRule type="expression" dxfId="26" priority="2">
      <formula>$O$12=0</formula>
    </cfRule>
  </conditionalFormatting>
  <conditionalFormatting sqref="O15">
    <cfRule type="expression" dxfId="25" priority="1">
      <formula>$O$15=0</formula>
    </cfRule>
  </conditionalFormatting>
  <pageMargins left="0.7" right="0.7" top="0.75" bottom="0.75" header="0.3" footer="0.3"/>
  <pageSetup orientation="portrait" r:id="rId4"/>
  <drawing r:id="rId5"/>
  <legacyDrawing r:id="rId6"/>
  <controls>
    <mc:AlternateContent xmlns:mc="http://schemas.openxmlformats.org/markup-compatibility/2006">
      <mc:Choice Requires="x14">
        <control shapeId="2050" r:id="rId7" name="cmdRefrescarDatos">
          <controlPr defaultSize="0" autoLine="0" autoPict="0" r:id="rId8">
            <anchor moveWithCells="1">
              <from>
                <xdr:col>10</xdr:col>
                <xdr:colOff>752475</xdr:colOff>
                <xdr:row>0</xdr:row>
                <xdr:rowOff>9525</xdr:rowOff>
              </from>
              <to>
                <xdr:col>10</xdr:col>
                <xdr:colOff>1476375</xdr:colOff>
                <xdr:row>1</xdr:row>
                <xdr:rowOff>19050</xdr:rowOff>
              </to>
            </anchor>
          </controlPr>
        </control>
      </mc:Choice>
      <mc:Fallback>
        <control shapeId="2050" r:id="rId7" name="cmdRefrescarDatos"/>
      </mc:Fallback>
    </mc:AlternateContent>
    <mc:AlternateContent xmlns:mc="http://schemas.openxmlformats.org/markup-compatibility/2006">
      <mc:Choice Requires="x14">
        <control shapeId="2049" r:id="rId9" name="cmdVolver">
          <controlPr defaultSize="0" autoLine="0" autoPict="0" r:id="rId10">
            <anchor moveWithCells="1">
              <from>
                <xdr:col>9</xdr:col>
                <xdr:colOff>1419225</xdr:colOff>
                <xdr:row>0</xdr:row>
                <xdr:rowOff>0</xdr:rowOff>
              </from>
              <to>
                <xdr:col>10</xdr:col>
                <xdr:colOff>781050</xdr:colOff>
                <xdr:row>1</xdr:row>
                <xdr:rowOff>0</xdr:rowOff>
              </to>
            </anchor>
          </controlPr>
        </control>
      </mc:Choice>
      <mc:Fallback>
        <control shapeId="2049" r:id="rId9" name="cmdVolver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7030A0"/>
  </sheetPr>
  <dimension ref="A1:M14109"/>
  <sheetViews>
    <sheetView showGridLines="0" workbookViewId="0">
      <selection activeCell="K2" sqref="K2:K60"/>
    </sheetView>
  </sheetViews>
  <sheetFormatPr baseColWidth="10" defaultColWidth="11.42578125" defaultRowHeight="12.75" x14ac:dyDescent="0.2"/>
  <cols>
    <col min="1" max="1" width="10.28515625" bestFit="1" customWidth="1"/>
    <col min="5" max="5" width="11.42578125" style="68"/>
  </cols>
  <sheetData>
    <row r="1" spans="1:13" ht="16.5" customHeight="1" x14ac:dyDescent="0.2">
      <c r="A1" s="14" t="s">
        <v>32</v>
      </c>
      <c r="B1" s="1" t="s">
        <v>79</v>
      </c>
      <c r="C1" s="1" t="s">
        <v>80</v>
      </c>
      <c r="D1" s="1" t="s">
        <v>81</v>
      </c>
      <c r="E1" s="1" t="s">
        <v>82</v>
      </c>
      <c r="F1" s="1" t="s">
        <v>370</v>
      </c>
      <c r="G1" t="s">
        <v>15</v>
      </c>
      <c r="H1" s="14" t="s">
        <v>83</v>
      </c>
      <c r="I1" s="1" t="s">
        <v>385</v>
      </c>
      <c r="J1" s="1" t="s">
        <v>386</v>
      </c>
      <c r="K1" s="14" t="s">
        <v>232</v>
      </c>
    </row>
    <row r="2" spans="1:13" ht="15.75" customHeight="1" x14ac:dyDescent="0.2">
      <c r="A2" s="87" t="s">
        <v>749</v>
      </c>
      <c r="B2" s="68" t="s">
        <v>750</v>
      </c>
      <c r="C2">
        <v>500</v>
      </c>
      <c r="D2" s="50">
        <v>42766</v>
      </c>
      <c r="E2" s="13">
        <v>309</v>
      </c>
      <c r="F2" s="13">
        <v>494</v>
      </c>
      <c r="G2" s="13">
        <v>333</v>
      </c>
      <c r="H2" s="13">
        <v>165</v>
      </c>
      <c r="I2" s="13">
        <v>0</v>
      </c>
      <c r="J2" s="13">
        <v>0</v>
      </c>
      <c r="K2" s="87"/>
      <c r="L2" s="1"/>
      <c r="M2" s="1"/>
    </row>
    <row r="3" spans="1:13" ht="16.5" customHeight="1" x14ac:dyDescent="0.2">
      <c r="A3" s="13" t="s">
        <v>749</v>
      </c>
      <c r="B3" t="s">
        <v>750</v>
      </c>
      <c r="C3">
        <v>500</v>
      </c>
      <c r="D3" s="90">
        <v>42767</v>
      </c>
      <c r="E3" s="13">
        <v>353</v>
      </c>
      <c r="F3" s="13">
        <v>538</v>
      </c>
      <c r="G3" s="13">
        <v>333</v>
      </c>
      <c r="H3" s="13">
        <v>165</v>
      </c>
      <c r="I3" s="13">
        <v>0</v>
      </c>
      <c r="J3" s="13">
        <v>0</v>
      </c>
      <c r="K3" s="13"/>
      <c r="L3" s="12"/>
      <c r="M3" s="13"/>
    </row>
    <row r="4" spans="1:13" x14ac:dyDescent="0.2">
      <c r="A4" s="13" t="s">
        <v>749</v>
      </c>
      <c r="B4" t="s">
        <v>750</v>
      </c>
      <c r="C4">
        <v>500</v>
      </c>
      <c r="D4" s="90">
        <v>42768</v>
      </c>
      <c r="E4" s="13">
        <v>336</v>
      </c>
      <c r="F4" s="13">
        <v>521</v>
      </c>
      <c r="G4" s="13">
        <v>333</v>
      </c>
      <c r="H4" s="13">
        <v>165</v>
      </c>
      <c r="I4" s="13">
        <v>0</v>
      </c>
      <c r="J4" s="13">
        <v>0</v>
      </c>
      <c r="K4" s="13"/>
      <c r="L4" s="12"/>
      <c r="M4" s="13"/>
    </row>
    <row r="5" spans="1:13" x14ac:dyDescent="0.2">
      <c r="A5" s="13" t="s">
        <v>749</v>
      </c>
      <c r="B5" t="s">
        <v>750</v>
      </c>
      <c r="C5">
        <v>500</v>
      </c>
      <c r="D5" s="90">
        <v>42769</v>
      </c>
      <c r="E5" s="13">
        <v>324</v>
      </c>
      <c r="F5" s="13">
        <v>459</v>
      </c>
      <c r="G5" s="13">
        <v>333</v>
      </c>
      <c r="H5" s="13">
        <v>165</v>
      </c>
      <c r="I5" s="13">
        <v>0</v>
      </c>
      <c r="J5" s="13">
        <v>0</v>
      </c>
      <c r="K5" s="13"/>
      <c r="L5" s="12"/>
      <c r="M5" s="13"/>
    </row>
    <row r="6" spans="1:13" x14ac:dyDescent="0.2">
      <c r="A6" s="13" t="s">
        <v>749</v>
      </c>
      <c r="B6" t="s">
        <v>750</v>
      </c>
      <c r="C6">
        <v>500</v>
      </c>
      <c r="D6" s="90">
        <v>42770</v>
      </c>
      <c r="E6" s="13">
        <v>315</v>
      </c>
      <c r="F6" s="13">
        <v>450</v>
      </c>
      <c r="G6" s="13">
        <v>333</v>
      </c>
      <c r="H6" s="13">
        <v>165</v>
      </c>
      <c r="I6" s="13">
        <v>0</v>
      </c>
      <c r="J6" s="13">
        <v>0</v>
      </c>
      <c r="K6" s="13"/>
      <c r="L6" s="12"/>
      <c r="M6" s="13"/>
    </row>
    <row r="7" spans="1:13" x14ac:dyDescent="0.2">
      <c r="A7" s="13" t="s">
        <v>749</v>
      </c>
      <c r="B7" t="s">
        <v>750</v>
      </c>
      <c r="C7">
        <v>500</v>
      </c>
      <c r="D7" s="90">
        <v>42771</v>
      </c>
      <c r="E7" s="13">
        <v>315</v>
      </c>
      <c r="F7" s="13">
        <v>450</v>
      </c>
      <c r="G7" s="13">
        <v>333</v>
      </c>
      <c r="H7" s="13">
        <v>165</v>
      </c>
      <c r="I7" s="13">
        <v>0</v>
      </c>
      <c r="J7" s="13">
        <v>0</v>
      </c>
      <c r="K7" s="13"/>
      <c r="L7" s="12"/>
      <c r="M7" s="13"/>
    </row>
    <row r="8" spans="1:13" x14ac:dyDescent="0.2">
      <c r="A8" s="13" t="s">
        <v>749</v>
      </c>
      <c r="B8" t="s">
        <v>750</v>
      </c>
      <c r="C8">
        <v>500</v>
      </c>
      <c r="D8" s="90">
        <v>42772</v>
      </c>
      <c r="E8" s="13">
        <v>315</v>
      </c>
      <c r="F8" s="13">
        <v>450</v>
      </c>
      <c r="G8" s="13">
        <v>333</v>
      </c>
      <c r="H8" s="13">
        <v>165</v>
      </c>
      <c r="I8" s="13">
        <v>0</v>
      </c>
      <c r="J8" s="13">
        <v>0</v>
      </c>
      <c r="K8" s="13"/>
      <c r="L8" s="12"/>
      <c r="M8" s="13"/>
    </row>
    <row r="9" spans="1:13" x14ac:dyDescent="0.2">
      <c r="A9" s="13" t="s">
        <v>749</v>
      </c>
      <c r="B9" t="s">
        <v>750</v>
      </c>
      <c r="C9">
        <v>500</v>
      </c>
      <c r="D9" s="90">
        <v>42773</v>
      </c>
      <c r="E9" s="13">
        <v>315</v>
      </c>
      <c r="F9" s="13">
        <v>450</v>
      </c>
      <c r="G9" s="13">
        <v>333</v>
      </c>
      <c r="H9" s="13">
        <v>165</v>
      </c>
      <c r="I9" s="13">
        <v>0</v>
      </c>
      <c r="J9" s="13">
        <v>0</v>
      </c>
      <c r="K9" s="13"/>
      <c r="L9" s="12"/>
      <c r="M9" s="13"/>
    </row>
    <row r="10" spans="1:13" x14ac:dyDescent="0.2">
      <c r="A10" s="13" t="s">
        <v>749</v>
      </c>
      <c r="B10" t="s">
        <v>750</v>
      </c>
      <c r="C10">
        <v>500</v>
      </c>
      <c r="D10" s="90">
        <v>42774</v>
      </c>
      <c r="E10" s="13">
        <v>299</v>
      </c>
      <c r="F10" s="13">
        <v>434</v>
      </c>
      <c r="G10" s="13">
        <v>333</v>
      </c>
      <c r="H10" s="13">
        <v>165</v>
      </c>
      <c r="I10" s="13">
        <v>0</v>
      </c>
      <c r="J10" s="13">
        <v>0</v>
      </c>
      <c r="K10" s="13"/>
      <c r="L10" s="12"/>
      <c r="M10" s="13"/>
    </row>
    <row r="11" spans="1:13" x14ac:dyDescent="0.2">
      <c r="A11" s="13" t="s">
        <v>749</v>
      </c>
      <c r="B11" t="s">
        <v>750</v>
      </c>
      <c r="C11">
        <v>500</v>
      </c>
      <c r="D11" s="90">
        <v>42775</v>
      </c>
      <c r="E11" s="13">
        <v>297</v>
      </c>
      <c r="F11" s="13">
        <v>432</v>
      </c>
      <c r="G11" s="13">
        <v>333</v>
      </c>
      <c r="H11" s="13">
        <v>165</v>
      </c>
      <c r="I11" s="13">
        <v>0</v>
      </c>
      <c r="J11" s="13">
        <v>0</v>
      </c>
      <c r="K11" s="13"/>
      <c r="L11" s="12"/>
      <c r="M11" s="13"/>
    </row>
    <row r="12" spans="1:13" x14ac:dyDescent="0.2">
      <c r="A12" s="13" t="s">
        <v>749</v>
      </c>
      <c r="B12" t="s">
        <v>750</v>
      </c>
      <c r="C12">
        <v>500</v>
      </c>
      <c r="D12" s="90">
        <v>42776</v>
      </c>
      <c r="E12" s="13">
        <v>284</v>
      </c>
      <c r="F12" s="13">
        <v>487</v>
      </c>
      <c r="G12" s="13">
        <v>333</v>
      </c>
      <c r="H12" s="13">
        <v>165</v>
      </c>
      <c r="I12" s="13">
        <v>0</v>
      </c>
      <c r="J12" s="13">
        <v>0</v>
      </c>
      <c r="K12" s="13"/>
      <c r="L12" s="12"/>
      <c r="M12" s="13"/>
    </row>
    <row r="13" spans="1:13" x14ac:dyDescent="0.2">
      <c r="A13" s="13" t="s">
        <v>749</v>
      </c>
      <c r="B13" t="s">
        <v>750</v>
      </c>
      <c r="C13">
        <v>500</v>
      </c>
      <c r="D13" s="90">
        <v>42777</v>
      </c>
      <c r="E13" s="13">
        <v>277</v>
      </c>
      <c r="F13" s="13">
        <v>480</v>
      </c>
      <c r="G13" s="13">
        <v>333</v>
      </c>
      <c r="H13" s="13">
        <v>165</v>
      </c>
      <c r="I13" s="13">
        <v>0</v>
      </c>
      <c r="J13" s="13">
        <v>0</v>
      </c>
      <c r="K13" s="13"/>
      <c r="L13" s="12"/>
      <c r="M13" s="13"/>
    </row>
    <row r="14" spans="1:13" x14ac:dyDescent="0.2">
      <c r="A14" s="13" t="s">
        <v>749</v>
      </c>
      <c r="B14" t="s">
        <v>750</v>
      </c>
      <c r="C14">
        <v>500</v>
      </c>
      <c r="D14" s="90">
        <v>42778</v>
      </c>
      <c r="E14" s="13">
        <v>277</v>
      </c>
      <c r="F14" s="13">
        <v>480</v>
      </c>
      <c r="G14" s="13">
        <v>333</v>
      </c>
      <c r="H14" s="13">
        <v>165</v>
      </c>
      <c r="I14" s="13">
        <v>0</v>
      </c>
      <c r="J14" s="13">
        <v>0</v>
      </c>
      <c r="K14" s="13"/>
      <c r="L14" s="12"/>
      <c r="M14" s="13"/>
    </row>
    <row r="15" spans="1:13" x14ac:dyDescent="0.2">
      <c r="A15" s="13" t="s">
        <v>749</v>
      </c>
      <c r="B15" t="s">
        <v>750</v>
      </c>
      <c r="C15">
        <v>500</v>
      </c>
      <c r="D15" s="90">
        <v>42779</v>
      </c>
      <c r="E15" s="13">
        <v>277</v>
      </c>
      <c r="F15" s="13">
        <v>480</v>
      </c>
      <c r="G15" s="13">
        <v>333</v>
      </c>
      <c r="H15" s="13">
        <v>165</v>
      </c>
      <c r="I15" s="13">
        <v>0</v>
      </c>
      <c r="J15" s="13">
        <v>0</v>
      </c>
      <c r="K15" s="13"/>
      <c r="L15" s="12"/>
      <c r="M15" s="13"/>
    </row>
    <row r="16" spans="1:13" x14ac:dyDescent="0.2">
      <c r="A16" s="13" t="s">
        <v>749</v>
      </c>
      <c r="B16" t="s">
        <v>750</v>
      </c>
      <c r="C16">
        <v>500</v>
      </c>
      <c r="D16" s="90">
        <v>42780</v>
      </c>
      <c r="E16" s="13">
        <v>277</v>
      </c>
      <c r="F16" s="13">
        <v>480</v>
      </c>
      <c r="G16" s="13">
        <v>333</v>
      </c>
      <c r="H16" s="13">
        <v>165</v>
      </c>
      <c r="I16" s="13">
        <v>0</v>
      </c>
      <c r="J16" s="13">
        <v>0</v>
      </c>
      <c r="K16" s="13"/>
      <c r="L16" s="12"/>
      <c r="M16" s="13"/>
    </row>
    <row r="17" spans="1:13" x14ac:dyDescent="0.2">
      <c r="A17" s="13" t="s">
        <v>749</v>
      </c>
      <c r="B17" t="s">
        <v>750</v>
      </c>
      <c r="C17">
        <v>500</v>
      </c>
      <c r="D17" s="90">
        <v>42781</v>
      </c>
      <c r="E17" s="13">
        <v>346</v>
      </c>
      <c r="F17" s="13">
        <v>549</v>
      </c>
      <c r="G17" s="13">
        <v>333</v>
      </c>
      <c r="H17" s="13">
        <v>165</v>
      </c>
      <c r="I17" s="13">
        <v>0</v>
      </c>
      <c r="J17" s="13">
        <v>0</v>
      </c>
      <c r="K17" s="13"/>
      <c r="L17" s="12"/>
      <c r="M17" s="13"/>
    </row>
    <row r="18" spans="1:13" x14ac:dyDescent="0.2">
      <c r="A18" s="13" t="s">
        <v>749</v>
      </c>
      <c r="B18" t="s">
        <v>750</v>
      </c>
      <c r="C18">
        <v>500</v>
      </c>
      <c r="D18" s="90">
        <v>42782</v>
      </c>
      <c r="E18" s="13">
        <v>345</v>
      </c>
      <c r="F18" s="13">
        <v>473</v>
      </c>
      <c r="G18" s="13">
        <v>333</v>
      </c>
      <c r="H18" s="13">
        <v>165</v>
      </c>
      <c r="I18" s="13">
        <v>0</v>
      </c>
      <c r="J18" s="13">
        <v>0</v>
      </c>
      <c r="K18" s="13"/>
      <c r="L18" s="12"/>
      <c r="M18" s="13"/>
    </row>
    <row r="19" spans="1:13" x14ac:dyDescent="0.2">
      <c r="A19" s="13" t="s">
        <v>749</v>
      </c>
      <c r="B19" t="s">
        <v>750</v>
      </c>
      <c r="C19">
        <v>500</v>
      </c>
      <c r="D19" s="90">
        <v>42783</v>
      </c>
      <c r="E19" s="13">
        <v>329</v>
      </c>
      <c r="F19" s="13">
        <v>457</v>
      </c>
      <c r="G19" s="13">
        <v>333</v>
      </c>
      <c r="H19" s="13">
        <v>165</v>
      </c>
      <c r="I19" s="13">
        <v>0</v>
      </c>
      <c r="J19" s="13">
        <v>0</v>
      </c>
      <c r="K19" s="13"/>
      <c r="L19" s="12"/>
      <c r="M19" s="13"/>
    </row>
    <row r="20" spans="1:13" x14ac:dyDescent="0.2">
      <c r="A20" s="13" t="s">
        <v>749</v>
      </c>
      <c r="B20" t="s">
        <v>750</v>
      </c>
      <c r="C20">
        <v>500</v>
      </c>
      <c r="D20" s="90">
        <v>42784</v>
      </c>
      <c r="E20" s="13">
        <v>329</v>
      </c>
      <c r="F20" s="13">
        <v>457</v>
      </c>
      <c r="G20" s="13">
        <v>333</v>
      </c>
      <c r="H20" s="13">
        <v>165</v>
      </c>
      <c r="I20" s="13">
        <v>0</v>
      </c>
      <c r="J20" s="13">
        <v>0</v>
      </c>
      <c r="K20" s="13"/>
      <c r="L20" s="12"/>
      <c r="M20" s="13"/>
    </row>
    <row r="21" spans="1:13" x14ac:dyDescent="0.2">
      <c r="A21" s="13" t="s">
        <v>749</v>
      </c>
      <c r="B21" t="s">
        <v>750</v>
      </c>
      <c r="C21">
        <v>500</v>
      </c>
      <c r="D21" s="90">
        <v>42785</v>
      </c>
      <c r="E21" s="13">
        <v>329</v>
      </c>
      <c r="F21" s="13">
        <v>457</v>
      </c>
      <c r="G21" s="13">
        <v>333</v>
      </c>
      <c r="H21" s="13">
        <v>165</v>
      </c>
      <c r="I21" s="13">
        <v>0</v>
      </c>
      <c r="J21" s="13">
        <v>0</v>
      </c>
      <c r="K21" s="13"/>
      <c r="L21" s="12"/>
      <c r="M21" s="13"/>
    </row>
    <row r="22" spans="1:13" x14ac:dyDescent="0.2">
      <c r="A22" s="13" t="s">
        <v>749</v>
      </c>
      <c r="B22" t="s">
        <v>750</v>
      </c>
      <c r="C22">
        <v>500</v>
      </c>
      <c r="D22" s="90">
        <v>42786</v>
      </c>
      <c r="E22" s="13">
        <v>329</v>
      </c>
      <c r="F22" s="13">
        <v>457</v>
      </c>
      <c r="G22" s="13">
        <v>333</v>
      </c>
      <c r="H22" s="13">
        <v>165</v>
      </c>
      <c r="I22" s="13">
        <v>0</v>
      </c>
      <c r="J22" s="13">
        <v>0</v>
      </c>
      <c r="K22" s="13"/>
      <c r="L22" s="12"/>
      <c r="M22" s="13"/>
    </row>
    <row r="23" spans="1:13" x14ac:dyDescent="0.2">
      <c r="A23" s="13" t="s">
        <v>749</v>
      </c>
      <c r="B23" t="s">
        <v>750</v>
      </c>
      <c r="C23">
        <v>500</v>
      </c>
      <c r="D23" s="90">
        <v>42787</v>
      </c>
      <c r="E23" s="13">
        <v>325</v>
      </c>
      <c r="F23" s="13">
        <v>453</v>
      </c>
      <c r="G23" s="13">
        <v>333</v>
      </c>
      <c r="H23" s="13">
        <v>165</v>
      </c>
      <c r="I23" s="13">
        <v>0</v>
      </c>
      <c r="J23" s="13">
        <v>0</v>
      </c>
      <c r="K23" s="13"/>
      <c r="L23" s="12"/>
      <c r="M23" s="13"/>
    </row>
    <row r="24" spans="1:13" x14ac:dyDescent="0.2">
      <c r="A24" s="13" t="s">
        <v>749</v>
      </c>
      <c r="B24" t="s">
        <v>750</v>
      </c>
      <c r="C24">
        <v>500</v>
      </c>
      <c r="D24" s="90">
        <v>42788</v>
      </c>
      <c r="E24" s="13">
        <v>309</v>
      </c>
      <c r="F24" s="13">
        <v>437</v>
      </c>
      <c r="G24" s="13">
        <v>333</v>
      </c>
      <c r="H24" s="13">
        <v>165</v>
      </c>
      <c r="I24" s="13">
        <v>0</v>
      </c>
      <c r="J24" s="13">
        <v>0</v>
      </c>
      <c r="K24" s="13"/>
      <c r="L24" s="12"/>
      <c r="M24" s="13"/>
    </row>
    <row r="25" spans="1:13" x14ac:dyDescent="0.2">
      <c r="A25" s="13" t="s">
        <v>749</v>
      </c>
      <c r="B25" t="s">
        <v>750</v>
      </c>
      <c r="C25">
        <v>500</v>
      </c>
      <c r="D25" s="90">
        <v>42789</v>
      </c>
      <c r="E25" s="13">
        <v>309</v>
      </c>
      <c r="F25" s="13">
        <v>437</v>
      </c>
      <c r="G25" s="13">
        <v>333</v>
      </c>
      <c r="H25" s="13">
        <v>165</v>
      </c>
      <c r="I25" s="13">
        <v>0</v>
      </c>
      <c r="J25" s="13">
        <v>0</v>
      </c>
      <c r="K25" s="13"/>
      <c r="L25" s="12"/>
      <c r="M25" s="13"/>
    </row>
    <row r="26" spans="1:13" x14ac:dyDescent="0.2">
      <c r="A26" s="13" t="s">
        <v>749</v>
      </c>
      <c r="B26" t="s">
        <v>750</v>
      </c>
      <c r="C26">
        <v>500</v>
      </c>
      <c r="D26" s="90">
        <v>42790</v>
      </c>
      <c r="E26" s="13">
        <v>299</v>
      </c>
      <c r="F26" s="13">
        <v>427</v>
      </c>
      <c r="G26" s="13">
        <v>333</v>
      </c>
      <c r="H26" s="13">
        <v>165</v>
      </c>
      <c r="I26" s="13">
        <v>0</v>
      </c>
      <c r="J26" s="13">
        <v>0</v>
      </c>
      <c r="K26" s="13"/>
      <c r="L26" s="12"/>
      <c r="M26" s="13"/>
    </row>
    <row r="27" spans="1:13" x14ac:dyDescent="0.2">
      <c r="A27" s="13" t="s">
        <v>749</v>
      </c>
      <c r="B27" t="s">
        <v>750</v>
      </c>
      <c r="C27">
        <v>500</v>
      </c>
      <c r="D27" s="90">
        <v>42791</v>
      </c>
      <c r="E27" s="13">
        <v>299</v>
      </c>
      <c r="F27" s="13">
        <v>427</v>
      </c>
      <c r="G27" s="13">
        <v>333</v>
      </c>
      <c r="H27" s="13">
        <v>165</v>
      </c>
      <c r="I27" s="13">
        <v>0</v>
      </c>
      <c r="J27" s="13">
        <v>0</v>
      </c>
      <c r="K27" s="13"/>
      <c r="L27" s="12"/>
      <c r="M27" s="13"/>
    </row>
    <row r="28" spans="1:13" x14ac:dyDescent="0.2">
      <c r="A28" s="13" t="s">
        <v>749</v>
      </c>
      <c r="B28" t="s">
        <v>750</v>
      </c>
      <c r="C28">
        <v>500</v>
      </c>
      <c r="D28" s="90">
        <v>42792</v>
      </c>
      <c r="E28" s="13">
        <v>298</v>
      </c>
      <c r="F28" s="13">
        <v>426</v>
      </c>
      <c r="G28" s="13">
        <v>333</v>
      </c>
      <c r="H28" s="13">
        <v>165</v>
      </c>
      <c r="I28" s="13">
        <v>0</v>
      </c>
      <c r="J28" s="13">
        <v>0</v>
      </c>
      <c r="K28" s="13"/>
      <c r="L28" s="12"/>
      <c r="M28" s="13"/>
    </row>
    <row r="29" spans="1:13" x14ac:dyDescent="0.2">
      <c r="A29" s="13" t="s">
        <v>749</v>
      </c>
      <c r="B29" t="s">
        <v>750</v>
      </c>
      <c r="C29">
        <v>500</v>
      </c>
      <c r="D29" s="90">
        <v>42793</v>
      </c>
      <c r="E29" s="13">
        <v>298</v>
      </c>
      <c r="F29" s="13">
        <v>426</v>
      </c>
      <c r="G29" s="13">
        <v>333</v>
      </c>
      <c r="H29" s="13">
        <v>165</v>
      </c>
      <c r="I29" s="13">
        <v>0</v>
      </c>
      <c r="J29" s="13">
        <v>0</v>
      </c>
      <c r="K29" s="13"/>
      <c r="L29" s="12"/>
      <c r="M29" s="13"/>
    </row>
    <row r="30" spans="1:13" x14ac:dyDescent="0.2">
      <c r="A30" s="13" t="s">
        <v>749</v>
      </c>
      <c r="B30" t="s">
        <v>750</v>
      </c>
      <c r="C30">
        <v>500</v>
      </c>
      <c r="D30" s="90">
        <v>42794</v>
      </c>
      <c r="E30" s="13">
        <v>298</v>
      </c>
      <c r="F30" s="13">
        <v>426</v>
      </c>
      <c r="G30" s="13">
        <v>333</v>
      </c>
      <c r="H30" s="13">
        <v>165</v>
      </c>
      <c r="I30" s="13">
        <v>0</v>
      </c>
      <c r="J30" s="13">
        <v>0</v>
      </c>
      <c r="K30" s="13"/>
      <c r="L30" s="12"/>
      <c r="M30" s="13"/>
    </row>
    <row r="31" spans="1:13" x14ac:dyDescent="0.2">
      <c r="A31" s="13" t="s">
        <v>749</v>
      </c>
      <c r="B31" t="s">
        <v>750</v>
      </c>
      <c r="C31">
        <v>500</v>
      </c>
      <c r="D31" s="90">
        <v>42795</v>
      </c>
      <c r="E31" s="13">
        <v>298</v>
      </c>
      <c r="F31" s="13">
        <v>426</v>
      </c>
      <c r="G31" s="13">
        <v>333</v>
      </c>
      <c r="H31" s="13">
        <v>165</v>
      </c>
      <c r="I31" s="13">
        <v>0</v>
      </c>
      <c r="J31" s="13">
        <v>0</v>
      </c>
      <c r="K31" s="13"/>
      <c r="L31" s="12"/>
      <c r="M31" s="13"/>
    </row>
    <row r="32" spans="1:13" x14ac:dyDescent="0.2">
      <c r="A32" s="13" t="s">
        <v>749</v>
      </c>
      <c r="B32" t="s">
        <v>750</v>
      </c>
      <c r="C32">
        <v>500</v>
      </c>
      <c r="D32" s="90">
        <v>42796</v>
      </c>
      <c r="E32" s="13">
        <v>298</v>
      </c>
      <c r="F32" s="13">
        <v>426</v>
      </c>
      <c r="G32" s="13">
        <v>333</v>
      </c>
      <c r="H32" s="13">
        <v>165</v>
      </c>
      <c r="I32" s="13">
        <v>0</v>
      </c>
      <c r="J32" s="13">
        <v>0</v>
      </c>
      <c r="K32" s="13"/>
      <c r="L32" s="12"/>
      <c r="M32" s="13"/>
    </row>
    <row r="33" spans="1:13" x14ac:dyDescent="0.2">
      <c r="A33" s="13" t="s">
        <v>749</v>
      </c>
      <c r="B33" t="s">
        <v>750</v>
      </c>
      <c r="C33">
        <v>500</v>
      </c>
      <c r="D33" s="90">
        <v>42797</v>
      </c>
      <c r="E33" s="13">
        <v>293</v>
      </c>
      <c r="F33" s="13">
        <v>495</v>
      </c>
      <c r="G33" s="13">
        <v>333</v>
      </c>
      <c r="H33" s="13">
        <v>165</v>
      </c>
      <c r="I33" s="13">
        <v>0</v>
      </c>
      <c r="J33" s="13">
        <v>0</v>
      </c>
      <c r="K33" s="13"/>
      <c r="L33" s="12"/>
      <c r="M33" s="13"/>
    </row>
    <row r="34" spans="1:13" x14ac:dyDescent="0.2">
      <c r="A34" s="13" t="s">
        <v>749</v>
      </c>
      <c r="B34" t="s">
        <v>750</v>
      </c>
      <c r="C34">
        <v>500</v>
      </c>
      <c r="D34" s="90">
        <v>42798</v>
      </c>
      <c r="E34" s="13">
        <v>292</v>
      </c>
      <c r="F34" s="13">
        <v>494</v>
      </c>
      <c r="G34" s="13">
        <v>333</v>
      </c>
      <c r="H34" s="13">
        <v>165</v>
      </c>
      <c r="I34" s="13">
        <v>0</v>
      </c>
      <c r="J34" s="13">
        <v>0</v>
      </c>
      <c r="K34" s="13"/>
      <c r="L34" s="12"/>
      <c r="M34" s="13"/>
    </row>
    <row r="35" spans="1:13" x14ac:dyDescent="0.2">
      <c r="A35" s="13" t="s">
        <v>749</v>
      </c>
      <c r="B35" t="s">
        <v>750</v>
      </c>
      <c r="C35">
        <v>500</v>
      </c>
      <c r="D35" s="90">
        <v>42799</v>
      </c>
      <c r="E35" s="13">
        <v>292</v>
      </c>
      <c r="F35" s="13">
        <v>494</v>
      </c>
      <c r="G35" s="13">
        <v>333</v>
      </c>
      <c r="H35" s="13">
        <v>165</v>
      </c>
      <c r="I35" s="13">
        <v>0</v>
      </c>
      <c r="J35" s="13">
        <v>0</v>
      </c>
      <c r="K35" s="13"/>
      <c r="L35" s="12"/>
      <c r="M35" s="13"/>
    </row>
    <row r="36" spans="1:13" x14ac:dyDescent="0.2">
      <c r="A36" s="13" t="s">
        <v>749</v>
      </c>
      <c r="B36" t="s">
        <v>750</v>
      </c>
      <c r="C36">
        <v>500</v>
      </c>
      <c r="D36" s="90">
        <v>42800</v>
      </c>
      <c r="E36" s="13">
        <v>292</v>
      </c>
      <c r="F36" s="13">
        <v>494</v>
      </c>
      <c r="G36" s="13">
        <v>333</v>
      </c>
      <c r="H36" s="13">
        <v>165</v>
      </c>
      <c r="I36" s="13">
        <v>0</v>
      </c>
      <c r="J36" s="13">
        <v>0</v>
      </c>
      <c r="K36" s="13"/>
      <c r="L36" s="12"/>
      <c r="M36" s="13"/>
    </row>
    <row r="37" spans="1:13" x14ac:dyDescent="0.2">
      <c r="A37" s="13" t="s">
        <v>749</v>
      </c>
      <c r="B37" t="s">
        <v>750</v>
      </c>
      <c r="C37">
        <v>500</v>
      </c>
      <c r="D37" s="90">
        <v>42801</v>
      </c>
      <c r="E37" s="13">
        <v>290</v>
      </c>
      <c r="F37" s="13">
        <v>492</v>
      </c>
      <c r="G37" s="13">
        <v>333</v>
      </c>
      <c r="H37" s="13">
        <v>165</v>
      </c>
      <c r="I37" s="13">
        <v>0</v>
      </c>
      <c r="J37" s="13">
        <v>0</v>
      </c>
      <c r="K37" s="13"/>
      <c r="L37" s="12"/>
      <c r="M37" s="13"/>
    </row>
    <row r="38" spans="1:13" x14ac:dyDescent="0.2">
      <c r="A38" s="13" t="s">
        <v>749</v>
      </c>
      <c r="B38" t="s">
        <v>750</v>
      </c>
      <c r="C38">
        <v>500</v>
      </c>
      <c r="D38" s="90">
        <v>42802</v>
      </c>
      <c r="E38" s="13">
        <v>288</v>
      </c>
      <c r="F38" s="13">
        <v>490</v>
      </c>
      <c r="G38" s="13">
        <v>333</v>
      </c>
      <c r="H38" s="13">
        <v>165</v>
      </c>
      <c r="I38" s="13">
        <v>0</v>
      </c>
      <c r="J38" s="13">
        <v>0</v>
      </c>
      <c r="K38" s="13"/>
      <c r="L38" s="12"/>
      <c r="M38" s="13"/>
    </row>
    <row r="39" spans="1:13" x14ac:dyDescent="0.2">
      <c r="A39" s="13" t="s">
        <v>749</v>
      </c>
      <c r="B39" t="s">
        <v>750</v>
      </c>
      <c r="C39">
        <v>500</v>
      </c>
      <c r="D39" s="90">
        <v>42803</v>
      </c>
      <c r="E39" s="13">
        <v>329</v>
      </c>
      <c r="F39" s="13">
        <v>471</v>
      </c>
      <c r="G39" s="13">
        <v>333</v>
      </c>
      <c r="H39" s="13">
        <v>165</v>
      </c>
      <c r="I39" s="13">
        <v>0</v>
      </c>
      <c r="J39" s="13">
        <v>0</v>
      </c>
      <c r="K39" s="13"/>
      <c r="L39" s="12"/>
      <c r="M39" s="13"/>
    </row>
    <row r="40" spans="1:13" x14ac:dyDescent="0.2">
      <c r="A40" s="13" t="s">
        <v>749</v>
      </c>
      <c r="B40" t="s">
        <v>750</v>
      </c>
      <c r="C40">
        <v>500</v>
      </c>
      <c r="D40" s="90">
        <v>42804</v>
      </c>
      <c r="E40" s="13">
        <v>330</v>
      </c>
      <c r="F40" s="13">
        <v>472</v>
      </c>
      <c r="G40" s="13">
        <v>333</v>
      </c>
      <c r="H40" s="13">
        <v>165</v>
      </c>
      <c r="I40" s="13">
        <v>0</v>
      </c>
      <c r="J40" s="13">
        <v>0</v>
      </c>
      <c r="K40" s="13"/>
      <c r="L40" s="12"/>
      <c r="M40" s="13"/>
    </row>
    <row r="41" spans="1:13" x14ac:dyDescent="0.2">
      <c r="A41" s="13" t="s">
        <v>749</v>
      </c>
      <c r="B41" t="s">
        <v>750</v>
      </c>
      <c r="C41">
        <v>500</v>
      </c>
      <c r="D41" s="90">
        <v>42805</v>
      </c>
      <c r="E41" s="13">
        <v>330</v>
      </c>
      <c r="F41" s="13">
        <v>472</v>
      </c>
      <c r="G41" s="13">
        <v>333</v>
      </c>
      <c r="H41" s="13">
        <v>165</v>
      </c>
      <c r="I41" s="13">
        <v>0</v>
      </c>
      <c r="J41" s="13">
        <v>0</v>
      </c>
      <c r="K41" s="13"/>
      <c r="L41" s="12"/>
      <c r="M41" s="13"/>
    </row>
    <row r="42" spans="1:13" x14ac:dyDescent="0.2">
      <c r="A42" s="13" t="s">
        <v>749</v>
      </c>
      <c r="B42" t="s">
        <v>750</v>
      </c>
      <c r="C42">
        <v>500</v>
      </c>
      <c r="D42" s="90">
        <v>42806</v>
      </c>
      <c r="E42" s="13">
        <v>330</v>
      </c>
      <c r="F42" s="13">
        <v>472</v>
      </c>
      <c r="G42" s="13">
        <v>333</v>
      </c>
      <c r="H42" s="13">
        <v>165</v>
      </c>
      <c r="I42" s="13">
        <v>0</v>
      </c>
      <c r="J42" s="13">
        <v>0</v>
      </c>
      <c r="K42" s="13"/>
      <c r="L42" s="12"/>
      <c r="M42" s="13"/>
    </row>
    <row r="43" spans="1:13" x14ac:dyDescent="0.2">
      <c r="A43" s="13" t="s">
        <v>749</v>
      </c>
      <c r="B43" t="s">
        <v>750</v>
      </c>
      <c r="C43">
        <v>500</v>
      </c>
      <c r="D43" s="90">
        <v>42808</v>
      </c>
      <c r="E43" s="13">
        <v>325</v>
      </c>
      <c r="F43" s="13">
        <v>467</v>
      </c>
      <c r="G43" s="13">
        <v>333</v>
      </c>
      <c r="H43" s="13">
        <v>165</v>
      </c>
      <c r="I43" s="13">
        <v>0</v>
      </c>
      <c r="J43" s="13">
        <v>0</v>
      </c>
      <c r="K43" s="13"/>
      <c r="L43" s="12"/>
      <c r="M43" s="13"/>
    </row>
    <row r="44" spans="1:13" x14ac:dyDescent="0.2">
      <c r="A44" s="13" t="s">
        <v>749</v>
      </c>
      <c r="B44" t="s">
        <v>750</v>
      </c>
      <c r="C44">
        <v>500</v>
      </c>
      <c r="D44" s="90">
        <v>42809</v>
      </c>
      <c r="E44" s="13">
        <v>325</v>
      </c>
      <c r="F44" s="13">
        <v>467</v>
      </c>
      <c r="G44" s="13">
        <v>333</v>
      </c>
      <c r="H44" s="13">
        <v>165</v>
      </c>
      <c r="I44" s="13">
        <v>0</v>
      </c>
      <c r="J44" s="13">
        <v>0</v>
      </c>
      <c r="K44" s="13"/>
      <c r="L44" s="12"/>
      <c r="M44" s="13"/>
    </row>
    <row r="45" spans="1:13" x14ac:dyDescent="0.2">
      <c r="A45" s="13" t="s">
        <v>749</v>
      </c>
      <c r="B45" t="s">
        <v>750</v>
      </c>
      <c r="C45">
        <v>500</v>
      </c>
      <c r="D45" s="90">
        <v>42810</v>
      </c>
      <c r="E45" s="13">
        <v>295</v>
      </c>
      <c r="F45" s="13">
        <v>437</v>
      </c>
      <c r="G45" s="13">
        <v>333</v>
      </c>
      <c r="H45" s="13">
        <v>165</v>
      </c>
      <c r="I45" s="13">
        <v>0</v>
      </c>
      <c r="J45" s="13">
        <v>0</v>
      </c>
      <c r="K45" s="13"/>
      <c r="L45" s="12"/>
      <c r="M45" s="13"/>
    </row>
    <row r="46" spans="1:13" x14ac:dyDescent="0.2">
      <c r="A46" s="13" t="s">
        <v>749</v>
      </c>
      <c r="B46" t="s">
        <v>750</v>
      </c>
      <c r="C46">
        <v>500</v>
      </c>
      <c r="D46" s="90">
        <v>42811</v>
      </c>
      <c r="E46" s="13">
        <v>292</v>
      </c>
      <c r="F46" s="13">
        <v>462</v>
      </c>
      <c r="G46" s="13">
        <v>333</v>
      </c>
      <c r="H46" s="13">
        <v>165</v>
      </c>
      <c r="I46" s="13">
        <v>0</v>
      </c>
      <c r="J46" s="13">
        <v>0</v>
      </c>
      <c r="K46" s="13"/>
      <c r="L46" s="12"/>
      <c r="M46" s="13"/>
    </row>
    <row r="47" spans="1:13" x14ac:dyDescent="0.2">
      <c r="A47" s="13" t="s">
        <v>749</v>
      </c>
      <c r="B47" t="s">
        <v>750</v>
      </c>
      <c r="C47">
        <v>500</v>
      </c>
      <c r="D47" s="90">
        <v>42812</v>
      </c>
      <c r="E47" s="13">
        <v>288</v>
      </c>
      <c r="F47" s="13">
        <v>458</v>
      </c>
      <c r="G47" s="13">
        <v>333</v>
      </c>
      <c r="H47" s="13">
        <v>165</v>
      </c>
      <c r="I47" s="13">
        <v>0</v>
      </c>
      <c r="J47" s="13">
        <v>0</v>
      </c>
      <c r="K47" s="13"/>
      <c r="L47" s="12"/>
      <c r="M47" s="13"/>
    </row>
    <row r="48" spans="1:13" x14ac:dyDescent="0.2">
      <c r="A48" s="13" t="s">
        <v>749</v>
      </c>
      <c r="B48" t="s">
        <v>750</v>
      </c>
      <c r="C48">
        <v>500</v>
      </c>
      <c r="D48" s="90">
        <v>42813</v>
      </c>
      <c r="E48" s="13">
        <v>0</v>
      </c>
      <c r="F48" s="13">
        <v>170</v>
      </c>
      <c r="G48" s="13">
        <v>333</v>
      </c>
      <c r="H48" s="13">
        <v>165</v>
      </c>
      <c r="I48" s="13">
        <v>0</v>
      </c>
      <c r="J48" s="13">
        <v>0</v>
      </c>
      <c r="K48" s="13"/>
      <c r="L48" s="12"/>
      <c r="M48" s="13"/>
    </row>
    <row r="49" spans="1:13" x14ac:dyDescent="0.2">
      <c r="A49" s="13" t="s">
        <v>749</v>
      </c>
      <c r="B49" t="s">
        <v>750</v>
      </c>
      <c r="C49">
        <v>500</v>
      </c>
      <c r="D49" s="90">
        <v>42814</v>
      </c>
      <c r="E49" s="13">
        <v>288</v>
      </c>
      <c r="F49" s="13">
        <v>458</v>
      </c>
      <c r="G49" s="13">
        <v>333</v>
      </c>
      <c r="H49" s="13">
        <v>165</v>
      </c>
      <c r="I49" s="13">
        <v>0</v>
      </c>
      <c r="J49" s="13">
        <v>0</v>
      </c>
      <c r="K49" s="13"/>
      <c r="L49" s="12"/>
      <c r="M49" s="13"/>
    </row>
    <row r="50" spans="1:13" x14ac:dyDescent="0.2">
      <c r="A50" s="13" t="s">
        <v>749</v>
      </c>
      <c r="B50" t="s">
        <v>750</v>
      </c>
      <c r="C50">
        <v>500</v>
      </c>
      <c r="D50" s="90">
        <v>42815</v>
      </c>
      <c r="E50" s="13">
        <v>288</v>
      </c>
      <c r="F50" s="13">
        <v>458</v>
      </c>
      <c r="G50" s="13">
        <v>333</v>
      </c>
      <c r="H50" s="13">
        <v>165</v>
      </c>
      <c r="I50" s="13">
        <v>0</v>
      </c>
      <c r="J50" s="13">
        <v>0</v>
      </c>
      <c r="K50" s="13"/>
      <c r="L50" s="12"/>
      <c r="M50" s="13"/>
    </row>
    <row r="51" spans="1:13" x14ac:dyDescent="0.2">
      <c r="A51" s="13" t="s">
        <v>749</v>
      </c>
      <c r="B51" t="s">
        <v>750</v>
      </c>
      <c r="C51">
        <v>500</v>
      </c>
      <c r="D51" s="90">
        <v>42816</v>
      </c>
      <c r="E51" s="13">
        <v>266</v>
      </c>
      <c r="F51" s="13">
        <v>436</v>
      </c>
      <c r="G51" s="13">
        <v>333</v>
      </c>
      <c r="H51" s="13">
        <v>165</v>
      </c>
      <c r="I51" s="13">
        <v>0</v>
      </c>
      <c r="J51" s="13">
        <v>0</v>
      </c>
      <c r="K51" s="13"/>
      <c r="L51" s="12"/>
      <c r="M51" s="13"/>
    </row>
    <row r="52" spans="1:13" x14ac:dyDescent="0.2">
      <c r="A52" s="13" t="s">
        <v>749</v>
      </c>
      <c r="B52" t="s">
        <v>750</v>
      </c>
      <c r="C52">
        <v>500</v>
      </c>
      <c r="D52" s="90">
        <v>42817</v>
      </c>
      <c r="E52" s="13">
        <v>265</v>
      </c>
      <c r="F52" s="13">
        <v>435</v>
      </c>
      <c r="G52" s="13">
        <v>333</v>
      </c>
      <c r="H52" s="13">
        <v>165</v>
      </c>
      <c r="I52" s="13">
        <v>0</v>
      </c>
      <c r="J52" s="13">
        <v>0</v>
      </c>
      <c r="K52" s="13"/>
      <c r="L52" s="12"/>
      <c r="M52" s="13"/>
    </row>
    <row r="53" spans="1:13" x14ac:dyDescent="0.2">
      <c r="A53" s="13" t="s">
        <v>749</v>
      </c>
      <c r="B53" t="s">
        <v>750</v>
      </c>
      <c r="C53">
        <v>500</v>
      </c>
      <c r="D53" s="90">
        <v>42819</v>
      </c>
      <c r="E53" s="13">
        <v>264</v>
      </c>
      <c r="F53" s="13">
        <v>264</v>
      </c>
      <c r="G53" s="13">
        <v>333</v>
      </c>
      <c r="H53" s="13">
        <v>165</v>
      </c>
      <c r="I53" s="13">
        <v>0</v>
      </c>
      <c r="J53" s="13">
        <v>0</v>
      </c>
      <c r="K53" s="13"/>
      <c r="L53" s="12"/>
      <c r="M53" s="13"/>
    </row>
    <row r="54" spans="1:13" x14ac:dyDescent="0.2">
      <c r="A54" s="13" t="s">
        <v>749</v>
      </c>
      <c r="B54" t="s">
        <v>750</v>
      </c>
      <c r="C54">
        <v>500</v>
      </c>
      <c r="D54" s="90">
        <v>42820</v>
      </c>
      <c r="E54" s="13">
        <v>264</v>
      </c>
      <c r="F54" s="13">
        <v>264</v>
      </c>
      <c r="G54" s="13">
        <v>333</v>
      </c>
      <c r="H54" s="13">
        <v>165</v>
      </c>
      <c r="I54" s="13">
        <v>0</v>
      </c>
      <c r="J54" s="13">
        <v>0</v>
      </c>
      <c r="K54" s="13"/>
      <c r="L54" s="12"/>
      <c r="M54" s="13"/>
    </row>
    <row r="55" spans="1:13" x14ac:dyDescent="0.2">
      <c r="A55" s="13" t="s">
        <v>749</v>
      </c>
      <c r="B55" t="s">
        <v>750</v>
      </c>
      <c r="C55">
        <v>500</v>
      </c>
      <c r="D55" s="90">
        <v>42821</v>
      </c>
      <c r="E55" s="13">
        <v>264</v>
      </c>
      <c r="F55" s="13">
        <v>434</v>
      </c>
      <c r="G55" s="13">
        <v>333</v>
      </c>
      <c r="H55" s="13">
        <v>165</v>
      </c>
      <c r="I55" s="13">
        <v>0</v>
      </c>
      <c r="J55" s="13">
        <v>0</v>
      </c>
      <c r="K55" s="13"/>
      <c r="L55" s="12"/>
      <c r="M55" s="13"/>
    </row>
    <row r="56" spans="1:13" x14ac:dyDescent="0.2">
      <c r="A56" s="13" t="s">
        <v>749</v>
      </c>
      <c r="B56" t="s">
        <v>750</v>
      </c>
      <c r="C56">
        <v>500</v>
      </c>
      <c r="D56" s="90">
        <v>42822</v>
      </c>
      <c r="E56" s="13">
        <v>247</v>
      </c>
      <c r="F56" s="13">
        <v>417</v>
      </c>
      <c r="G56" s="13">
        <v>333</v>
      </c>
      <c r="H56" s="13">
        <v>165</v>
      </c>
      <c r="I56" s="13">
        <v>0</v>
      </c>
      <c r="J56" s="13">
        <v>0</v>
      </c>
      <c r="K56" s="13"/>
      <c r="L56" s="12"/>
      <c r="M56" s="13"/>
    </row>
    <row r="57" spans="1:13" x14ac:dyDescent="0.2">
      <c r="A57" s="13" t="s">
        <v>749</v>
      </c>
      <c r="B57" t="s">
        <v>750</v>
      </c>
      <c r="C57">
        <v>500</v>
      </c>
      <c r="D57" s="90">
        <v>42823</v>
      </c>
      <c r="E57" s="13">
        <v>239</v>
      </c>
      <c r="F57" s="13">
        <v>409</v>
      </c>
      <c r="G57" s="13">
        <v>333</v>
      </c>
      <c r="H57" s="13">
        <v>165</v>
      </c>
      <c r="I57" s="13">
        <v>0</v>
      </c>
      <c r="J57" s="13">
        <v>0</v>
      </c>
      <c r="K57" s="13"/>
      <c r="L57" s="12"/>
      <c r="M57" s="13"/>
    </row>
    <row r="58" spans="1:13" x14ac:dyDescent="0.2">
      <c r="A58" s="13" t="s">
        <v>749</v>
      </c>
      <c r="B58" t="s">
        <v>750</v>
      </c>
      <c r="C58">
        <v>500</v>
      </c>
      <c r="D58" s="90">
        <v>42824</v>
      </c>
      <c r="E58" s="13">
        <v>233</v>
      </c>
      <c r="F58" s="13">
        <v>495</v>
      </c>
      <c r="G58" s="13">
        <v>333</v>
      </c>
      <c r="H58" s="13">
        <v>165</v>
      </c>
      <c r="I58" s="13">
        <v>0</v>
      </c>
      <c r="J58" s="13">
        <v>0</v>
      </c>
      <c r="K58" s="13"/>
      <c r="L58" s="12"/>
      <c r="M58" s="13"/>
    </row>
    <row r="59" spans="1:13" x14ac:dyDescent="0.2">
      <c r="A59" s="13" t="s">
        <v>749</v>
      </c>
      <c r="B59" t="s">
        <v>750</v>
      </c>
      <c r="C59">
        <v>500</v>
      </c>
      <c r="D59" s="90">
        <v>42825</v>
      </c>
      <c r="E59" s="13">
        <v>228</v>
      </c>
      <c r="F59" s="13">
        <v>490</v>
      </c>
      <c r="G59" s="13">
        <v>333</v>
      </c>
      <c r="H59" s="13">
        <v>165</v>
      </c>
      <c r="I59" s="13">
        <v>0</v>
      </c>
      <c r="J59" s="13">
        <v>0</v>
      </c>
      <c r="K59" s="13"/>
      <c r="L59" s="12"/>
      <c r="M59" s="13"/>
    </row>
    <row r="60" spans="1:13" x14ac:dyDescent="0.2">
      <c r="A60" s="13" t="s">
        <v>749</v>
      </c>
      <c r="B60" t="s">
        <v>750</v>
      </c>
      <c r="C60">
        <v>500</v>
      </c>
      <c r="D60" s="90">
        <v>42826</v>
      </c>
      <c r="E60" s="13">
        <v>292</v>
      </c>
      <c r="F60" s="13">
        <v>434</v>
      </c>
      <c r="G60" s="13">
        <v>333</v>
      </c>
      <c r="H60" s="13">
        <v>165</v>
      </c>
      <c r="I60" s="13">
        <v>0</v>
      </c>
      <c r="J60" s="13">
        <v>0</v>
      </c>
      <c r="K60" s="13"/>
      <c r="L60" s="12"/>
      <c r="M60" s="13"/>
    </row>
    <row r="61" spans="1:13" x14ac:dyDescent="0.2">
      <c r="L61" s="12"/>
      <c r="M61" s="13"/>
    </row>
    <row r="62" spans="1:13" x14ac:dyDescent="0.2">
      <c r="L62" s="12"/>
      <c r="M62" s="13"/>
    </row>
    <row r="63" spans="1:13" x14ac:dyDescent="0.2">
      <c r="L63" s="12"/>
      <c r="M63" s="13"/>
    </row>
    <row r="64" spans="1:13" x14ac:dyDescent="0.2">
      <c r="L64" s="12"/>
      <c r="M64" s="13"/>
    </row>
    <row r="65" spans="12:13" x14ac:dyDescent="0.2">
      <c r="L65" s="12"/>
      <c r="M65" s="13"/>
    </row>
    <row r="66" spans="12:13" x14ac:dyDescent="0.2">
      <c r="L66" s="12"/>
      <c r="M66" s="13"/>
    </row>
    <row r="67" spans="12:13" x14ac:dyDescent="0.2">
      <c r="L67" s="12"/>
      <c r="M67" s="13"/>
    </row>
    <row r="68" spans="12:13" x14ac:dyDescent="0.2">
      <c r="L68" s="12"/>
      <c r="M68" s="13"/>
    </row>
    <row r="69" spans="12:13" x14ac:dyDescent="0.2">
      <c r="L69" s="12"/>
      <c r="M69" s="13"/>
    </row>
    <row r="70" spans="12:13" x14ac:dyDescent="0.2">
      <c r="L70" s="12"/>
      <c r="M70" s="13"/>
    </row>
    <row r="71" spans="12:13" x14ac:dyDescent="0.2">
      <c r="L71" s="12"/>
      <c r="M71" s="13"/>
    </row>
    <row r="72" spans="12:13" x14ac:dyDescent="0.2">
      <c r="L72" s="12"/>
      <c r="M72" s="13"/>
    </row>
    <row r="73" spans="12:13" x14ac:dyDescent="0.2">
      <c r="L73" s="12"/>
      <c r="M73" s="13"/>
    </row>
    <row r="74" spans="12:13" x14ac:dyDescent="0.2">
      <c r="L74" s="12"/>
      <c r="M74" s="13"/>
    </row>
    <row r="75" spans="12:13" x14ac:dyDescent="0.2">
      <c r="L75" s="12"/>
      <c r="M75" s="13"/>
    </row>
    <row r="76" spans="12:13" x14ac:dyDescent="0.2">
      <c r="L76" s="12"/>
      <c r="M76" s="13"/>
    </row>
    <row r="77" spans="12:13" x14ac:dyDescent="0.2">
      <c r="L77" s="12"/>
      <c r="M77" s="13"/>
    </row>
    <row r="78" spans="12:13" x14ac:dyDescent="0.2">
      <c r="L78" s="12"/>
      <c r="M78" s="13"/>
    </row>
    <row r="79" spans="12:13" x14ac:dyDescent="0.2">
      <c r="L79" s="12"/>
      <c r="M79" s="13"/>
    </row>
    <row r="80" spans="12:13" x14ac:dyDescent="0.2">
      <c r="L80" s="12"/>
      <c r="M80" s="13"/>
    </row>
    <row r="81" spans="12:13" x14ac:dyDescent="0.2">
      <c r="L81" s="12"/>
      <c r="M81" s="13"/>
    </row>
    <row r="82" spans="12:13" x14ac:dyDescent="0.2">
      <c r="L82" s="12"/>
      <c r="M82" s="13"/>
    </row>
    <row r="83" spans="12:13" x14ac:dyDescent="0.2">
      <c r="L83" s="12"/>
      <c r="M83" s="13"/>
    </row>
    <row r="84" spans="12:13" x14ac:dyDescent="0.2">
      <c r="L84" s="12"/>
      <c r="M84" s="13"/>
    </row>
    <row r="85" spans="12:13" x14ac:dyDescent="0.2">
      <c r="L85" s="12"/>
      <c r="M85" s="13"/>
    </row>
    <row r="86" spans="12:13" x14ac:dyDescent="0.2">
      <c r="L86" s="12"/>
      <c r="M86" s="13"/>
    </row>
    <row r="87" spans="12:13" x14ac:dyDescent="0.2">
      <c r="L87" s="12"/>
      <c r="M87" s="13"/>
    </row>
    <row r="88" spans="12:13" x14ac:dyDescent="0.2">
      <c r="L88" s="12"/>
      <c r="M88" s="13"/>
    </row>
    <row r="89" spans="12:13" x14ac:dyDescent="0.2">
      <c r="L89" s="12"/>
      <c r="M89" s="13"/>
    </row>
    <row r="90" spans="12:13" x14ac:dyDescent="0.2">
      <c r="L90" s="12"/>
      <c r="M90" s="13"/>
    </row>
    <row r="91" spans="12:13" x14ac:dyDescent="0.2">
      <c r="L91" s="12"/>
      <c r="M91" s="13"/>
    </row>
    <row r="92" spans="12:13" x14ac:dyDescent="0.2">
      <c r="L92" s="12"/>
      <c r="M92" s="13"/>
    </row>
    <row r="93" spans="12:13" x14ac:dyDescent="0.2">
      <c r="L93" s="12"/>
      <c r="M93" s="13"/>
    </row>
    <row r="94" spans="12:13" x14ac:dyDescent="0.2">
      <c r="L94" s="12"/>
      <c r="M94" s="13"/>
    </row>
    <row r="630" spans="12:13" x14ac:dyDescent="0.2">
      <c r="L630" s="12"/>
      <c r="M630" s="13"/>
    </row>
    <row r="631" spans="12:13" x14ac:dyDescent="0.2">
      <c r="L631" s="12"/>
      <c r="M631" s="13"/>
    </row>
    <row r="632" spans="12:13" x14ac:dyDescent="0.2">
      <c r="L632" s="12"/>
      <c r="M632" s="13"/>
    </row>
    <row r="633" spans="12:13" x14ac:dyDescent="0.2">
      <c r="L633" s="12"/>
      <c r="M633" s="13"/>
    </row>
    <row r="634" spans="12:13" x14ac:dyDescent="0.2">
      <c r="L634" s="12"/>
      <c r="M634" s="13"/>
    </row>
    <row r="635" spans="12:13" x14ac:dyDescent="0.2">
      <c r="L635" s="12"/>
      <c r="M635" s="13"/>
    </row>
    <row r="636" spans="12:13" x14ac:dyDescent="0.2">
      <c r="L636" s="12"/>
      <c r="M636" s="13"/>
    </row>
    <row r="637" spans="12:13" x14ac:dyDescent="0.2">
      <c r="L637" s="12"/>
      <c r="M637" s="13"/>
    </row>
    <row r="638" spans="12:13" x14ac:dyDescent="0.2">
      <c r="L638" s="12"/>
      <c r="M638" s="13"/>
    </row>
    <row r="639" spans="12:13" x14ac:dyDescent="0.2">
      <c r="L639" s="12"/>
      <c r="M639" s="13"/>
    </row>
    <row r="640" spans="12:13" x14ac:dyDescent="0.2">
      <c r="L640" s="12"/>
      <c r="M640" s="13"/>
    </row>
    <row r="641" spans="12:13" x14ac:dyDescent="0.2">
      <c r="L641" s="12"/>
      <c r="M641" s="13"/>
    </row>
    <row r="642" spans="12:13" x14ac:dyDescent="0.2">
      <c r="L642" s="12"/>
      <c r="M642" s="13"/>
    </row>
    <row r="643" spans="12:13" x14ac:dyDescent="0.2">
      <c r="L643" s="12"/>
      <c r="M643" s="13"/>
    </row>
    <row r="644" spans="12:13" x14ac:dyDescent="0.2">
      <c r="L644" s="12"/>
      <c r="M644" s="13"/>
    </row>
    <row r="645" spans="12:13" x14ac:dyDescent="0.2">
      <c r="L645" s="12"/>
      <c r="M645" s="13"/>
    </row>
    <row r="646" spans="12:13" x14ac:dyDescent="0.2">
      <c r="L646" s="12"/>
      <c r="M646" s="13"/>
    </row>
    <row r="647" spans="12:13" x14ac:dyDescent="0.2">
      <c r="L647" s="12"/>
      <c r="M647" s="13"/>
    </row>
    <row r="648" spans="12:13" x14ac:dyDescent="0.2">
      <c r="L648" s="12"/>
      <c r="M648" s="13"/>
    </row>
    <row r="649" spans="12:13" x14ac:dyDescent="0.2">
      <c r="L649" s="12"/>
      <c r="M649" s="13"/>
    </row>
    <row r="650" spans="12:13" x14ac:dyDescent="0.2">
      <c r="L650" s="12"/>
      <c r="M650" s="13"/>
    </row>
    <row r="651" spans="12:13" x14ac:dyDescent="0.2">
      <c r="L651" s="12"/>
      <c r="M651" s="13"/>
    </row>
    <row r="652" spans="12:13" x14ac:dyDescent="0.2">
      <c r="L652" s="12"/>
      <c r="M652" s="13"/>
    </row>
    <row r="653" spans="12:13" x14ac:dyDescent="0.2">
      <c r="L653" s="12"/>
      <c r="M653" s="13"/>
    </row>
    <row r="654" spans="12:13" x14ac:dyDescent="0.2">
      <c r="L654" s="12"/>
      <c r="M654" s="13"/>
    </row>
    <row r="655" spans="12:13" x14ac:dyDescent="0.2">
      <c r="L655" s="12"/>
      <c r="M655" s="13"/>
    </row>
    <row r="656" spans="12:13" x14ac:dyDescent="0.2">
      <c r="L656" s="12"/>
      <c r="M656" s="13"/>
    </row>
    <row r="657" spans="12:13" x14ac:dyDescent="0.2">
      <c r="L657" s="12"/>
      <c r="M657" s="13"/>
    </row>
    <row r="658" spans="12:13" x14ac:dyDescent="0.2">
      <c r="L658" s="12"/>
      <c r="M658" s="13"/>
    </row>
    <row r="659" spans="12:13" x14ac:dyDescent="0.2">
      <c r="L659" s="12"/>
      <c r="M659" s="13"/>
    </row>
    <row r="660" spans="12:13" x14ac:dyDescent="0.2">
      <c r="L660" s="12"/>
      <c r="M660" s="13"/>
    </row>
    <row r="661" spans="12:13" x14ac:dyDescent="0.2">
      <c r="L661" s="12"/>
      <c r="M661" s="13"/>
    </row>
    <row r="662" spans="12:13" x14ac:dyDescent="0.2">
      <c r="L662" s="12"/>
      <c r="M662" s="13"/>
    </row>
    <row r="663" spans="12:13" x14ac:dyDescent="0.2">
      <c r="L663" s="12"/>
      <c r="M663" s="13"/>
    </row>
    <row r="664" spans="12:13" x14ac:dyDescent="0.2">
      <c r="L664" s="12"/>
      <c r="M664" s="13"/>
    </row>
    <row r="665" spans="12:13" x14ac:dyDescent="0.2">
      <c r="L665" s="12"/>
      <c r="M665" s="13"/>
    </row>
    <row r="666" spans="12:13" x14ac:dyDescent="0.2">
      <c r="L666" s="12"/>
      <c r="M666" s="13"/>
    </row>
    <row r="667" spans="12:13" x14ac:dyDescent="0.2">
      <c r="L667" s="12"/>
      <c r="M667" s="13"/>
    </row>
    <row r="668" spans="12:13" x14ac:dyDescent="0.2">
      <c r="L668" s="12"/>
      <c r="M668" s="13"/>
    </row>
    <row r="669" spans="12:13" x14ac:dyDescent="0.2">
      <c r="L669" s="12"/>
      <c r="M669" s="13"/>
    </row>
    <row r="670" spans="12:13" x14ac:dyDescent="0.2">
      <c r="L670" s="12"/>
      <c r="M670" s="13"/>
    </row>
    <row r="671" spans="12:13" x14ac:dyDescent="0.2">
      <c r="L671" s="12"/>
      <c r="M671" s="13"/>
    </row>
    <row r="672" spans="12:13" x14ac:dyDescent="0.2">
      <c r="L672" s="12"/>
      <c r="M672" s="13"/>
    </row>
    <row r="673" spans="12:13" x14ac:dyDescent="0.2">
      <c r="L673" s="12"/>
      <c r="M673" s="13"/>
    </row>
    <row r="674" spans="12:13" x14ac:dyDescent="0.2">
      <c r="L674" s="12"/>
      <c r="M674" s="13"/>
    </row>
    <row r="675" spans="12:13" x14ac:dyDescent="0.2">
      <c r="L675" s="12"/>
      <c r="M675" s="13"/>
    </row>
    <row r="676" spans="12:13" x14ac:dyDescent="0.2">
      <c r="L676" s="12"/>
      <c r="M676" s="13"/>
    </row>
    <row r="677" spans="12:13" x14ac:dyDescent="0.2">
      <c r="L677" s="12"/>
      <c r="M677" s="13"/>
    </row>
    <row r="678" spans="12:13" x14ac:dyDescent="0.2">
      <c r="L678" s="12"/>
      <c r="M678" s="13"/>
    </row>
    <row r="679" spans="12:13" x14ac:dyDescent="0.2">
      <c r="L679" s="12"/>
      <c r="M679" s="13"/>
    </row>
    <row r="680" spans="12:13" x14ac:dyDescent="0.2">
      <c r="L680" s="12"/>
      <c r="M680" s="13"/>
    </row>
    <row r="681" spans="12:13" x14ac:dyDescent="0.2">
      <c r="L681" s="12"/>
      <c r="M681" s="13"/>
    </row>
    <row r="682" spans="12:13" x14ac:dyDescent="0.2">
      <c r="L682" s="12"/>
      <c r="M682" s="13"/>
    </row>
    <row r="683" spans="12:13" x14ac:dyDescent="0.2">
      <c r="L683" s="12"/>
      <c r="M683" s="13"/>
    </row>
    <row r="684" spans="12:13" x14ac:dyDescent="0.2">
      <c r="L684" s="12"/>
      <c r="M684" s="13"/>
    </row>
    <row r="685" spans="12:13" x14ac:dyDescent="0.2">
      <c r="L685" s="12"/>
      <c r="M685" s="13"/>
    </row>
    <row r="686" spans="12:13" x14ac:dyDescent="0.2">
      <c r="L686" s="12"/>
      <c r="M686" s="13"/>
    </row>
    <row r="687" spans="12:13" x14ac:dyDescent="0.2">
      <c r="L687" s="12"/>
      <c r="M687" s="13"/>
    </row>
    <row r="688" spans="12:13" x14ac:dyDescent="0.2">
      <c r="L688" s="12"/>
      <c r="M688" s="13"/>
    </row>
    <row r="689" spans="12:13" x14ac:dyDescent="0.2">
      <c r="L689" s="12"/>
      <c r="M689" s="13"/>
    </row>
    <row r="690" spans="12:13" x14ac:dyDescent="0.2">
      <c r="L690" s="12"/>
      <c r="M690" s="13"/>
    </row>
    <row r="691" spans="12:13" x14ac:dyDescent="0.2">
      <c r="L691" s="12"/>
      <c r="M691" s="13"/>
    </row>
    <row r="692" spans="12:13" x14ac:dyDescent="0.2">
      <c r="L692" s="12"/>
      <c r="M692" s="13"/>
    </row>
    <row r="693" spans="12:13" x14ac:dyDescent="0.2">
      <c r="L693" s="12"/>
      <c r="M693" s="13"/>
    </row>
    <row r="694" spans="12:13" x14ac:dyDescent="0.2">
      <c r="L694" s="12"/>
      <c r="M694" s="13"/>
    </row>
    <row r="695" spans="12:13" x14ac:dyDescent="0.2">
      <c r="L695" s="12"/>
      <c r="M695" s="13"/>
    </row>
    <row r="696" spans="12:13" x14ac:dyDescent="0.2">
      <c r="L696" s="12"/>
      <c r="M696" s="13"/>
    </row>
    <row r="697" spans="12:13" x14ac:dyDescent="0.2">
      <c r="L697" s="12"/>
      <c r="M697" s="13"/>
    </row>
    <row r="698" spans="12:13" x14ac:dyDescent="0.2">
      <c r="L698" s="12"/>
      <c r="M698" s="13"/>
    </row>
    <row r="699" spans="12:13" x14ac:dyDescent="0.2">
      <c r="L699" s="12"/>
      <c r="M699" s="13"/>
    </row>
    <row r="700" spans="12:13" x14ac:dyDescent="0.2">
      <c r="L700" s="12"/>
      <c r="M700" s="13"/>
    </row>
    <row r="701" spans="12:13" x14ac:dyDescent="0.2">
      <c r="L701" s="12"/>
      <c r="M701" s="13"/>
    </row>
    <row r="702" spans="12:13" x14ac:dyDescent="0.2">
      <c r="L702" s="12"/>
      <c r="M702" s="13"/>
    </row>
    <row r="703" spans="12:13" x14ac:dyDescent="0.2">
      <c r="L703" s="12"/>
      <c r="M703" s="13"/>
    </row>
    <row r="704" spans="12:13" x14ac:dyDescent="0.2">
      <c r="L704" s="12"/>
      <c r="M704" s="13"/>
    </row>
    <row r="705" spans="12:13" x14ac:dyDescent="0.2">
      <c r="L705" s="12"/>
      <c r="M705" s="13"/>
    </row>
    <row r="706" spans="12:13" x14ac:dyDescent="0.2">
      <c r="L706" s="12"/>
      <c r="M706" s="13"/>
    </row>
    <row r="707" spans="12:13" x14ac:dyDescent="0.2">
      <c r="L707" s="12"/>
      <c r="M707" s="13"/>
    </row>
    <row r="708" spans="12:13" x14ac:dyDescent="0.2">
      <c r="L708" s="12"/>
      <c r="M708" s="13"/>
    </row>
    <row r="709" spans="12:13" x14ac:dyDescent="0.2">
      <c r="L709" s="12"/>
      <c r="M709" s="13"/>
    </row>
    <row r="710" spans="12:13" x14ac:dyDescent="0.2">
      <c r="L710" s="12"/>
      <c r="M710" s="13"/>
    </row>
    <row r="711" spans="12:13" x14ac:dyDescent="0.2">
      <c r="L711" s="12"/>
      <c r="M711" s="13"/>
    </row>
    <row r="712" spans="12:13" x14ac:dyDescent="0.2">
      <c r="L712" s="12"/>
      <c r="M712" s="13"/>
    </row>
    <row r="713" spans="12:13" x14ac:dyDescent="0.2">
      <c r="L713" s="12"/>
      <c r="M713" s="13"/>
    </row>
    <row r="714" spans="12:13" x14ac:dyDescent="0.2">
      <c r="L714" s="12"/>
      <c r="M714" s="13"/>
    </row>
    <row r="715" spans="12:13" x14ac:dyDescent="0.2">
      <c r="L715" s="12"/>
      <c r="M715" s="13"/>
    </row>
    <row r="716" spans="12:13" x14ac:dyDescent="0.2">
      <c r="L716" s="12"/>
      <c r="M716" s="13"/>
    </row>
    <row r="717" spans="12:13" x14ac:dyDescent="0.2">
      <c r="L717" s="12"/>
      <c r="M717" s="13"/>
    </row>
    <row r="718" spans="12:13" x14ac:dyDescent="0.2">
      <c r="L718" s="12"/>
      <c r="M718" s="13"/>
    </row>
    <row r="719" spans="12:13" x14ac:dyDescent="0.2">
      <c r="L719" s="12"/>
      <c r="M719" s="13"/>
    </row>
    <row r="720" spans="12:13" x14ac:dyDescent="0.2">
      <c r="L720" s="12"/>
      <c r="M720" s="13"/>
    </row>
    <row r="721" spans="12:13" x14ac:dyDescent="0.2">
      <c r="L721" s="12"/>
      <c r="M721" s="13"/>
    </row>
    <row r="722" spans="12:13" x14ac:dyDescent="0.2">
      <c r="L722" s="12"/>
      <c r="M722" s="13"/>
    </row>
    <row r="723" spans="12:13" x14ac:dyDescent="0.2">
      <c r="L723" s="12"/>
      <c r="M723" s="13"/>
    </row>
    <row r="724" spans="12:13" x14ac:dyDescent="0.2">
      <c r="L724" s="12"/>
      <c r="M724" s="13"/>
    </row>
    <row r="725" spans="12:13" x14ac:dyDescent="0.2">
      <c r="L725" s="12"/>
      <c r="M725" s="13"/>
    </row>
    <row r="726" spans="12:13" x14ac:dyDescent="0.2">
      <c r="L726" s="12"/>
      <c r="M726" s="13"/>
    </row>
    <row r="727" spans="12:13" x14ac:dyDescent="0.2">
      <c r="L727" s="12"/>
      <c r="M727" s="13"/>
    </row>
    <row r="728" spans="12:13" x14ac:dyDescent="0.2">
      <c r="L728" s="12"/>
      <c r="M728" s="13"/>
    </row>
    <row r="729" spans="12:13" x14ac:dyDescent="0.2">
      <c r="L729" s="12"/>
      <c r="M729" s="13"/>
    </row>
    <row r="730" spans="12:13" x14ac:dyDescent="0.2">
      <c r="L730" s="12"/>
      <c r="M730" s="13"/>
    </row>
    <row r="731" spans="12:13" x14ac:dyDescent="0.2">
      <c r="L731" s="12"/>
      <c r="M731" s="13"/>
    </row>
    <row r="732" spans="12:13" x14ac:dyDescent="0.2">
      <c r="L732" s="12"/>
      <c r="M732" s="13"/>
    </row>
    <row r="733" spans="12:13" x14ac:dyDescent="0.2">
      <c r="L733" s="12"/>
      <c r="M733" s="13"/>
    </row>
    <row r="734" spans="12:13" x14ac:dyDescent="0.2">
      <c r="L734" s="12"/>
      <c r="M734" s="13"/>
    </row>
    <row r="735" spans="12:13" x14ac:dyDescent="0.2">
      <c r="L735" s="12"/>
      <c r="M735" s="13"/>
    </row>
    <row r="736" spans="12:13" x14ac:dyDescent="0.2">
      <c r="L736" s="12"/>
      <c r="M736" s="13"/>
    </row>
    <row r="737" spans="12:13" x14ac:dyDescent="0.2">
      <c r="L737" s="12"/>
      <c r="M737" s="13"/>
    </row>
    <row r="738" spans="12:13" x14ac:dyDescent="0.2">
      <c r="L738" s="12"/>
      <c r="M738" s="13"/>
    </row>
    <row r="739" spans="12:13" x14ac:dyDescent="0.2">
      <c r="L739" s="12"/>
      <c r="M739" s="13"/>
    </row>
    <row r="740" spans="12:13" x14ac:dyDescent="0.2">
      <c r="L740" s="12"/>
      <c r="M740" s="13"/>
    </row>
    <row r="741" spans="12:13" x14ac:dyDescent="0.2">
      <c r="L741" s="12"/>
      <c r="M741" s="13"/>
    </row>
    <row r="742" spans="12:13" x14ac:dyDescent="0.2">
      <c r="L742" s="12"/>
      <c r="M742" s="13"/>
    </row>
    <row r="743" spans="12:13" x14ac:dyDescent="0.2">
      <c r="L743" s="12"/>
      <c r="M743" s="13"/>
    </row>
    <row r="744" spans="12:13" x14ac:dyDescent="0.2">
      <c r="L744" s="12"/>
      <c r="M744" s="13"/>
    </row>
    <row r="745" spans="12:13" x14ac:dyDescent="0.2">
      <c r="L745" s="12"/>
      <c r="M745" s="13"/>
    </row>
    <row r="746" spans="12:13" x14ac:dyDescent="0.2">
      <c r="L746" s="12"/>
      <c r="M746" s="13"/>
    </row>
    <row r="747" spans="12:13" x14ac:dyDescent="0.2">
      <c r="L747" s="12"/>
      <c r="M747" s="13"/>
    </row>
    <row r="748" spans="12:13" x14ac:dyDescent="0.2">
      <c r="L748" s="12"/>
      <c r="M748" s="13"/>
    </row>
    <row r="749" spans="12:13" x14ac:dyDescent="0.2">
      <c r="L749" s="12"/>
      <c r="M749" s="13"/>
    </row>
    <row r="750" spans="12:13" x14ac:dyDescent="0.2">
      <c r="L750" s="12"/>
      <c r="M750" s="13"/>
    </row>
    <row r="751" spans="12:13" x14ac:dyDescent="0.2">
      <c r="L751" s="12"/>
      <c r="M751" s="13"/>
    </row>
    <row r="752" spans="12:13" x14ac:dyDescent="0.2">
      <c r="L752" s="12"/>
      <c r="M752" s="13"/>
    </row>
    <row r="753" spans="12:13" x14ac:dyDescent="0.2">
      <c r="L753" s="12"/>
      <c r="M753" s="13"/>
    </row>
    <row r="754" spans="12:13" x14ac:dyDescent="0.2">
      <c r="L754" s="12"/>
      <c r="M754" s="13"/>
    </row>
    <row r="755" spans="12:13" x14ac:dyDescent="0.2">
      <c r="L755" s="12"/>
      <c r="M755" s="13"/>
    </row>
    <row r="756" spans="12:13" x14ac:dyDescent="0.2">
      <c r="L756" s="12"/>
      <c r="M756" s="13"/>
    </row>
    <row r="757" spans="12:13" x14ac:dyDescent="0.2">
      <c r="L757" s="12"/>
      <c r="M757" s="13"/>
    </row>
    <row r="758" spans="12:13" x14ac:dyDescent="0.2">
      <c r="L758" s="12"/>
      <c r="M758" s="13"/>
    </row>
    <row r="759" spans="12:13" x14ac:dyDescent="0.2">
      <c r="L759" s="12"/>
      <c r="M759" s="13"/>
    </row>
    <row r="760" spans="12:13" x14ac:dyDescent="0.2">
      <c r="L760" s="12"/>
      <c r="M760" s="13"/>
    </row>
    <row r="761" spans="12:13" x14ac:dyDescent="0.2">
      <c r="L761" s="12"/>
      <c r="M761" s="13"/>
    </row>
    <row r="762" spans="12:13" x14ac:dyDescent="0.2">
      <c r="L762" s="12"/>
      <c r="M762" s="13"/>
    </row>
    <row r="763" spans="12:13" x14ac:dyDescent="0.2">
      <c r="L763" s="12"/>
      <c r="M763" s="13"/>
    </row>
    <row r="764" spans="12:13" x14ac:dyDescent="0.2">
      <c r="L764" s="12"/>
      <c r="M764" s="13"/>
    </row>
    <row r="765" spans="12:13" x14ac:dyDescent="0.2">
      <c r="L765" s="12"/>
      <c r="M765" s="13"/>
    </row>
    <row r="766" spans="12:13" x14ac:dyDescent="0.2">
      <c r="L766" s="12"/>
      <c r="M766" s="13"/>
    </row>
    <row r="767" spans="12:13" x14ac:dyDescent="0.2">
      <c r="L767" s="12"/>
      <c r="M767" s="13"/>
    </row>
    <row r="768" spans="12:13" x14ac:dyDescent="0.2">
      <c r="L768" s="12"/>
      <c r="M768" s="13"/>
    </row>
    <row r="769" spans="12:13" x14ac:dyDescent="0.2">
      <c r="L769" s="12"/>
      <c r="M769" s="13"/>
    </row>
    <row r="770" spans="12:13" x14ac:dyDescent="0.2">
      <c r="L770" s="17"/>
      <c r="M770" s="18"/>
    </row>
    <row r="771" spans="12:13" x14ac:dyDescent="0.2">
      <c r="L771" s="12"/>
      <c r="M771" s="13"/>
    </row>
    <row r="772" spans="12:13" x14ac:dyDescent="0.2">
      <c r="L772" s="12"/>
      <c r="M772" s="13"/>
    </row>
    <row r="773" spans="12:13" x14ac:dyDescent="0.2">
      <c r="L773" s="12"/>
      <c r="M773" s="13"/>
    </row>
    <row r="774" spans="12:13" x14ac:dyDescent="0.2">
      <c r="L774" s="12"/>
      <c r="M774" s="13"/>
    </row>
    <row r="775" spans="12:13" x14ac:dyDescent="0.2">
      <c r="L775" s="12"/>
      <c r="M775" s="13"/>
    </row>
    <row r="776" spans="12:13" x14ac:dyDescent="0.2">
      <c r="L776" s="12"/>
      <c r="M776" s="13"/>
    </row>
    <row r="777" spans="12:13" x14ac:dyDescent="0.2">
      <c r="L777" s="12"/>
      <c r="M777" s="13"/>
    </row>
    <row r="778" spans="12:13" x14ac:dyDescent="0.2">
      <c r="L778" s="12"/>
      <c r="M778" s="13"/>
    </row>
    <row r="779" spans="12:13" x14ac:dyDescent="0.2">
      <c r="L779" s="12"/>
      <c r="M779" s="13"/>
    </row>
    <row r="780" spans="12:13" x14ac:dyDescent="0.2">
      <c r="L780" s="12"/>
      <c r="M780" s="13"/>
    </row>
    <row r="781" spans="12:13" x14ac:dyDescent="0.2">
      <c r="L781" s="12"/>
      <c r="M781" s="13"/>
    </row>
    <row r="782" spans="12:13" x14ac:dyDescent="0.2">
      <c r="L782" s="12"/>
      <c r="M782" s="13"/>
    </row>
    <row r="783" spans="12:13" x14ac:dyDescent="0.2">
      <c r="L783" s="12"/>
      <c r="M783" s="13"/>
    </row>
    <row r="784" spans="12:13" x14ac:dyDescent="0.2">
      <c r="L784" s="12"/>
      <c r="M784" s="13"/>
    </row>
    <row r="785" spans="12:13" x14ac:dyDescent="0.2">
      <c r="L785" s="12"/>
      <c r="M785" s="13"/>
    </row>
    <row r="786" spans="12:13" x14ac:dyDescent="0.2">
      <c r="L786" s="12"/>
      <c r="M786" s="13"/>
    </row>
    <row r="787" spans="12:13" x14ac:dyDescent="0.2">
      <c r="L787" s="12"/>
      <c r="M787" s="13"/>
    </row>
    <row r="788" spans="12:13" x14ac:dyDescent="0.2">
      <c r="L788" s="12"/>
      <c r="M788" s="13"/>
    </row>
    <row r="789" spans="12:13" x14ac:dyDescent="0.2">
      <c r="L789" s="12"/>
      <c r="M789" s="13"/>
    </row>
    <row r="790" spans="12:13" x14ac:dyDescent="0.2">
      <c r="L790" s="12"/>
      <c r="M790" s="13"/>
    </row>
    <row r="791" spans="12:13" x14ac:dyDescent="0.2">
      <c r="L791" s="12"/>
      <c r="M791" s="13"/>
    </row>
    <row r="792" spans="12:13" x14ac:dyDescent="0.2">
      <c r="L792" s="12"/>
      <c r="M792" s="13"/>
    </row>
    <row r="793" spans="12:13" x14ac:dyDescent="0.2">
      <c r="L793" s="12"/>
      <c r="M793" s="13"/>
    </row>
    <row r="794" spans="12:13" x14ac:dyDescent="0.2">
      <c r="L794" s="12"/>
      <c r="M794" s="13"/>
    </row>
    <row r="795" spans="12:13" x14ac:dyDescent="0.2">
      <c r="L795" s="12"/>
      <c r="M795" s="13"/>
    </row>
    <row r="796" spans="12:13" x14ac:dyDescent="0.2">
      <c r="L796" s="12"/>
      <c r="M796" s="13"/>
    </row>
    <row r="797" spans="12:13" x14ac:dyDescent="0.2">
      <c r="L797" s="12"/>
      <c r="M797" s="13"/>
    </row>
    <row r="798" spans="12:13" x14ac:dyDescent="0.2">
      <c r="L798" s="12"/>
      <c r="M798" s="13"/>
    </row>
    <row r="799" spans="12:13" x14ac:dyDescent="0.2">
      <c r="L799" s="12"/>
      <c r="M799" s="13"/>
    </row>
    <row r="800" spans="12:13" x14ac:dyDescent="0.2">
      <c r="L800" s="12"/>
      <c r="M800" s="13"/>
    </row>
    <row r="801" spans="12:13" x14ac:dyDescent="0.2">
      <c r="L801" s="12"/>
      <c r="M801" s="13"/>
    </row>
    <row r="802" spans="12:13" x14ac:dyDescent="0.2">
      <c r="L802" s="12"/>
      <c r="M802" s="13"/>
    </row>
    <row r="803" spans="12:13" x14ac:dyDescent="0.2">
      <c r="L803" s="12"/>
      <c r="M803" s="13"/>
    </row>
    <row r="804" spans="12:13" x14ac:dyDescent="0.2">
      <c r="L804" s="12"/>
      <c r="M804" s="13"/>
    </row>
    <row r="805" spans="12:13" x14ac:dyDescent="0.2">
      <c r="L805" s="12"/>
      <c r="M805" s="13"/>
    </row>
    <row r="806" spans="12:13" x14ac:dyDescent="0.2">
      <c r="L806" s="12"/>
      <c r="M806" s="13"/>
    </row>
    <row r="807" spans="12:13" x14ac:dyDescent="0.2">
      <c r="L807" s="12"/>
      <c r="M807" s="13"/>
    </row>
    <row r="808" spans="12:13" x14ac:dyDescent="0.2">
      <c r="L808" s="12"/>
      <c r="M808" s="13"/>
    </row>
    <row r="809" spans="12:13" x14ac:dyDescent="0.2">
      <c r="L809" s="12"/>
      <c r="M809" s="13"/>
    </row>
    <row r="810" spans="12:13" x14ac:dyDescent="0.2">
      <c r="L810" s="12"/>
      <c r="M810" s="13"/>
    </row>
    <row r="811" spans="12:13" x14ac:dyDescent="0.2">
      <c r="L811" s="12"/>
      <c r="M811" s="13"/>
    </row>
    <row r="812" spans="12:13" x14ac:dyDescent="0.2">
      <c r="L812" s="12"/>
      <c r="M812" s="13"/>
    </row>
    <row r="813" spans="12:13" x14ac:dyDescent="0.2">
      <c r="L813" s="12"/>
      <c r="M813" s="13"/>
    </row>
    <row r="814" spans="12:13" x14ac:dyDescent="0.2">
      <c r="L814" s="12"/>
      <c r="M814" s="13"/>
    </row>
    <row r="815" spans="12:13" x14ac:dyDescent="0.2">
      <c r="L815" s="12"/>
      <c r="M815" s="13"/>
    </row>
    <row r="816" spans="12:13" x14ac:dyDescent="0.2">
      <c r="L816" s="12"/>
      <c r="M816" s="13"/>
    </row>
    <row r="817" spans="12:13" x14ac:dyDescent="0.2">
      <c r="L817" s="12"/>
      <c r="M817" s="13"/>
    </row>
    <row r="818" spans="12:13" x14ac:dyDescent="0.2">
      <c r="L818" s="12"/>
      <c r="M818" s="13"/>
    </row>
    <row r="819" spans="12:13" x14ac:dyDescent="0.2">
      <c r="L819" s="12"/>
      <c r="M819" s="13"/>
    </row>
    <row r="820" spans="12:13" x14ac:dyDescent="0.2">
      <c r="L820" s="12"/>
      <c r="M820" s="13"/>
    </row>
    <row r="821" spans="12:13" x14ac:dyDescent="0.2">
      <c r="L821" s="12"/>
      <c r="M821" s="13"/>
    </row>
    <row r="822" spans="12:13" x14ac:dyDescent="0.2">
      <c r="L822" s="12"/>
      <c r="M822" s="13"/>
    </row>
    <row r="823" spans="12:13" x14ac:dyDescent="0.2">
      <c r="L823" s="12"/>
      <c r="M823" s="13"/>
    </row>
    <row r="824" spans="12:13" x14ac:dyDescent="0.2">
      <c r="L824" s="12"/>
      <c r="M824" s="13"/>
    </row>
    <row r="825" spans="12:13" x14ac:dyDescent="0.2">
      <c r="L825" s="12"/>
      <c r="M825" s="13"/>
    </row>
    <row r="826" spans="12:13" x14ac:dyDescent="0.2">
      <c r="L826" s="12"/>
      <c r="M826" s="13"/>
    </row>
    <row r="827" spans="12:13" x14ac:dyDescent="0.2">
      <c r="L827" s="12"/>
      <c r="M827" s="13"/>
    </row>
    <row r="828" spans="12:13" x14ac:dyDescent="0.2">
      <c r="L828" s="12"/>
      <c r="M828" s="13"/>
    </row>
    <row r="829" spans="12:13" x14ac:dyDescent="0.2">
      <c r="L829" s="12"/>
      <c r="M829" s="13"/>
    </row>
    <row r="830" spans="12:13" x14ac:dyDescent="0.2">
      <c r="L830" s="12"/>
      <c r="M830" s="13"/>
    </row>
    <row r="831" spans="12:13" x14ac:dyDescent="0.2">
      <c r="L831" s="12"/>
      <c r="M831" s="13"/>
    </row>
    <row r="832" spans="12:13" x14ac:dyDescent="0.2">
      <c r="L832" s="12"/>
      <c r="M832" s="13"/>
    </row>
    <row r="833" spans="12:13" x14ac:dyDescent="0.2">
      <c r="L833" s="12"/>
      <c r="M833" s="13"/>
    </row>
    <row r="834" spans="12:13" x14ac:dyDescent="0.2">
      <c r="L834" s="12"/>
      <c r="M834" s="13"/>
    </row>
    <row r="835" spans="12:13" x14ac:dyDescent="0.2">
      <c r="L835" s="12"/>
      <c r="M835" s="13"/>
    </row>
    <row r="836" spans="12:13" x14ac:dyDescent="0.2">
      <c r="L836" s="12"/>
      <c r="M836" s="13"/>
    </row>
    <row r="837" spans="12:13" x14ac:dyDescent="0.2">
      <c r="L837" s="12"/>
      <c r="M837" s="13"/>
    </row>
    <row r="838" spans="12:13" x14ac:dyDescent="0.2">
      <c r="L838" s="12"/>
      <c r="M838" s="13"/>
    </row>
    <row r="839" spans="12:13" x14ac:dyDescent="0.2">
      <c r="L839" s="12"/>
      <c r="M839" s="13"/>
    </row>
    <row r="840" spans="12:13" x14ac:dyDescent="0.2">
      <c r="L840" s="12"/>
      <c r="M840" s="13"/>
    </row>
    <row r="841" spans="12:13" x14ac:dyDescent="0.2">
      <c r="L841" s="12"/>
      <c r="M841" s="13"/>
    </row>
    <row r="842" spans="12:13" x14ac:dyDescent="0.2">
      <c r="L842" s="12"/>
      <c r="M842" s="13"/>
    </row>
    <row r="843" spans="12:13" x14ac:dyDescent="0.2">
      <c r="L843" s="12"/>
      <c r="M843" s="13"/>
    </row>
    <row r="844" spans="12:13" x14ac:dyDescent="0.2">
      <c r="L844" s="12"/>
      <c r="M844" s="13"/>
    </row>
    <row r="845" spans="12:13" x14ac:dyDescent="0.2">
      <c r="L845" s="12"/>
      <c r="M845" s="13"/>
    </row>
    <row r="846" spans="12:13" x14ac:dyDescent="0.2">
      <c r="L846" s="12"/>
      <c r="M846" s="13"/>
    </row>
    <row r="847" spans="12:13" x14ac:dyDescent="0.2">
      <c r="L847" s="12"/>
      <c r="M847" s="13"/>
    </row>
    <row r="848" spans="12:13" x14ac:dyDescent="0.2">
      <c r="L848" s="12"/>
      <c r="M848" s="13"/>
    </row>
    <row r="849" spans="12:13" x14ac:dyDescent="0.2">
      <c r="L849" s="12"/>
      <c r="M849" s="13"/>
    </row>
    <row r="850" spans="12:13" x14ac:dyDescent="0.2">
      <c r="L850" s="12"/>
      <c r="M850" s="13"/>
    </row>
    <row r="851" spans="12:13" x14ac:dyDescent="0.2">
      <c r="L851" s="12"/>
      <c r="M851" s="13"/>
    </row>
    <row r="852" spans="12:13" x14ac:dyDescent="0.2">
      <c r="L852" s="12"/>
      <c r="M852" s="13"/>
    </row>
    <row r="853" spans="12:13" x14ac:dyDescent="0.2">
      <c r="L853" s="12"/>
      <c r="M853" s="13"/>
    </row>
    <row r="854" spans="12:13" x14ac:dyDescent="0.2">
      <c r="L854" s="12"/>
      <c r="M854" s="13"/>
    </row>
    <row r="855" spans="12:13" x14ac:dyDescent="0.2">
      <c r="L855" s="12"/>
      <c r="M855" s="13"/>
    </row>
    <row r="856" spans="12:13" x14ac:dyDescent="0.2">
      <c r="L856" s="12"/>
      <c r="M856" s="13"/>
    </row>
    <row r="857" spans="12:13" x14ac:dyDescent="0.2">
      <c r="L857" s="12"/>
      <c r="M857" s="13"/>
    </row>
    <row r="858" spans="12:13" x14ac:dyDescent="0.2">
      <c r="L858" s="12"/>
      <c r="M858" s="13"/>
    </row>
    <row r="859" spans="12:13" x14ac:dyDescent="0.2">
      <c r="L859" s="12"/>
      <c r="M859" s="13"/>
    </row>
    <row r="860" spans="12:13" x14ac:dyDescent="0.2">
      <c r="L860" s="12"/>
      <c r="M860" s="13"/>
    </row>
    <row r="861" spans="12:13" x14ac:dyDescent="0.2">
      <c r="L861" s="12"/>
      <c r="M861" s="13"/>
    </row>
    <row r="862" spans="12:13" x14ac:dyDescent="0.2">
      <c r="L862" s="12"/>
      <c r="M862" s="13"/>
    </row>
    <row r="863" spans="12:13" x14ac:dyDescent="0.2">
      <c r="L863" s="12"/>
      <c r="M863" s="13"/>
    </row>
    <row r="864" spans="12:13" x14ac:dyDescent="0.2">
      <c r="L864" s="12"/>
      <c r="M864" s="13"/>
    </row>
    <row r="865" spans="12:13" x14ac:dyDescent="0.2">
      <c r="L865" s="12"/>
      <c r="M865" s="13"/>
    </row>
    <row r="866" spans="12:13" x14ac:dyDescent="0.2">
      <c r="L866" s="12"/>
      <c r="M866" s="13"/>
    </row>
    <row r="867" spans="12:13" x14ac:dyDescent="0.2">
      <c r="L867" s="12"/>
      <c r="M867" s="13"/>
    </row>
    <row r="868" spans="12:13" x14ac:dyDescent="0.2">
      <c r="L868" s="12"/>
      <c r="M868" s="13"/>
    </row>
    <row r="869" spans="12:13" x14ac:dyDescent="0.2">
      <c r="L869" s="12"/>
      <c r="M869" s="13"/>
    </row>
    <row r="870" spans="12:13" x14ac:dyDescent="0.2">
      <c r="L870" s="12"/>
      <c r="M870" s="13"/>
    </row>
    <row r="871" spans="12:13" x14ac:dyDescent="0.2">
      <c r="L871" s="12"/>
      <c r="M871" s="13"/>
    </row>
    <row r="872" spans="12:13" x14ac:dyDescent="0.2">
      <c r="L872" s="12"/>
      <c r="M872" s="13"/>
    </row>
    <row r="873" spans="12:13" x14ac:dyDescent="0.2">
      <c r="L873" s="12"/>
      <c r="M873" s="13"/>
    </row>
    <row r="874" spans="12:13" x14ac:dyDescent="0.2">
      <c r="L874" s="12"/>
      <c r="M874" s="13"/>
    </row>
    <row r="875" spans="12:13" x14ac:dyDescent="0.2">
      <c r="L875" s="12"/>
      <c r="M875" s="13"/>
    </row>
    <row r="876" spans="12:13" x14ac:dyDescent="0.2">
      <c r="L876" s="12"/>
      <c r="M876" s="13"/>
    </row>
    <row r="877" spans="12:13" x14ac:dyDescent="0.2">
      <c r="L877" s="12"/>
      <c r="M877" s="13"/>
    </row>
    <row r="878" spans="12:13" x14ac:dyDescent="0.2">
      <c r="L878" s="12"/>
      <c r="M878" s="13"/>
    </row>
    <row r="879" spans="12:13" x14ac:dyDescent="0.2">
      <c r="L879" s="12"/>
      <c r="M879" s="13"/>
    </row>
    <row r="880" spans="12:13" x14ac:dyDescent="0.2">
      <c r="L880" s="12"/>
      <c r="M880" s="13"/>
    </row>
    <row r="881" spans="12:13" x14ac:dyDescent="0.2">
      <c r="L881" s="12"/>
      <c r="M881" s="13"/>
    </row>
    <row r="882" spans="12:13" x14ac:dyDescent="0.2">
      <c r="L882" s="12"/>
      <c r="M882" s="13"/>
    </row>
    <row r="883" spans="12:13" x14ac:dyDescent="0.2">
      <c r="L883" s="12"/>
      <c r="M883" s="13"/>
    </row>
    <row r="884" spans="12:13" x14ac:dyDescent="0.2">
      <c r="L884" s="12"/>
      <c r="M884" s="13"/>
    </row>
    <row r="885" spans="12:13" x14ac:dyDescent="0.2">
      <c r="L885" s="12"/>
      <c r="M885" s="13"/>
    </row>
    <row r="886" spans="12:13" x14ac:dyDescent="0.2">
      <c r="L886" s="12"/>
      <c r="M886" s="13"/>
    </row>
    <row r="887" spans="12:13" x14ac:dyDescent="0.2">
      <c r="L887" s="12"/>
      <c r="M887" s="13"/>
    </row>
    <row r="888" spans="12:13" x14ac:dyDescent="0.2">
      <c r="L888" s="12"/>
      <c r="M888" s="13"/>
    </row>
    <row r="889" spans="12:13" x14ac:dyDescent="0.2">
      <c r="L889" s="12"/>
      <c r="M889" s="13"/>
    </row>
    <row r="890" spans="12:13" x14ac:dyDescent="0.2">
      <c r="L890" s="12"/>
      <c r="M890" s="13"/>
    </row>
    <row r="891" spans="12:13" x14ac:dyDescent="0.2">
      <c r="L891" s="12"/>
      <c r="M891" s="13"/>
    </row>
    <row r="892" spans="12:13" x14ac:dyDescent="0.2">
      <c r="L892" s="12"/>
      <c r="M892" s="13"/>
    </row>
    <row r="893" spans="12:13" x14ac:dyDescent="0.2">
      <c r="L893" s="12"/>
      <c r="M893" s="13"/>
    </row>
    <row r="894" spans="12:13" x14ac:dyDescent="0.2">
      <c r="L894" s="12"/>
      <c r="M894" s="13"/>
    </row>
    <row r="895" spans="12:13" x14ac:dyDescent="0.2">
      <c r="L895" s="12"/>
      <c r="M895" s="13"/>
    </row>
    <row r="896" spans="12:13" x14ac:dyDescent="0.2">
      <c r="L896" s="12"/>
      <c r="M896" s="13"/>
    </row>
    <row r="897" spans="12:13" x14ac:dyDescent="0.2">
      <c r="L897" s="12"/>
      <c r="M897" s="13"/>
    </row>
    <row r="898" spans="12:13" x14ac:dyDescent="0.2">
      <c r="L898" s="12"/>
      <c r="M898" s="13"/>
    </row>
    <row r="899" spans="12:13" x14ac:dyDescent="0.2">
      <c r="L899" s="12"/>
      <c r="M899" s="13"/>
    </row>
    <row r="900" spans="12:13" x14ac:dyDescent="0.2">
      <c r="L900" s="12"/>
      <c r="M900" s="13"/>
    </row>
    <row r="901" spans="12:13" x14ac:dyDescent="0.2">
      <c r="L901" s="12"/>
      <c r="M901" s="13"/>
    </row>
    <row r="902" spans="12:13" x14ac:dyDescent="0.2">
      <c r="L902" s="12"/>
      <c r="M902" s="13"/>
    </row>
    <row r="903" spans="12:13" x14ac:dyDescent="0.2">
      <c r="L903" s="12"/>
      <c r="M903" s="13"/>
    </row>
    <row r="904" spans="12:13" x14ac:dyDescent="0.2">
      <c r="L904" s="12"/>
      <c r="M904" s="13"/>
    </row>
    <row r="905" spans="12:13" x14ac:dyDescent="0.2">
      <c r="L905" s="12"/>
      <c r="M905" s="13"/>
    </row>
    <row r="906" spans="12:13" x14ac:dyDescent="0.2">
      <c r="L906" s="12"/>
      <c r="M906" s="13"/>
    </row>
    <row r="907" spans="12:13" x14ac:dyDescent="0.2">
      <c r="L907" s="12"/>
      <c r="M907" s="13"/>
    </row>
    <row r="908" spans="12:13" x14ac:dyDescent="0.2">
      <c r="L908" s="12"/>
      <c r="M908" s="13"/>
    </row>
    <row r="909" spans="12:13" x14ac:dyDescent="0.2">
      <c r="L909" s="12"/>
      <c r="M909" s="13"/>
    </row>
    <row r="910" spans="12:13" x14ac:dyDescent="0.2">
      <c r="L910" s="12"/>
      <c r="M910" s="13"/>
    </row>
    <row r="911" spans="12:13" x14ac:dyDescent="0.2">
      <c r="L911" s="12"/>
      <c r="M911" s="13"/>
    </row>
    <row r="912" spans="12:13" x14ac:dyDescent="0.2">
      <c r="L912" s="12"/>
      <c r="M912" s="13"/>
    </row>
    <row r="913" spans="12:13" x14ac:dyDescent="0.2">
      <c r="L913" s="12"/>
      <c r="M913" s="13"/>
    </row>
    <row r="914" spans="12:13" x14ac:dyDescent="0.2">
      <c r="L914" s="12"/>
      <c r="M914" s="13"/>
    </row>
    <row r="915" spans="12:13" x14ac:dyDescent="0.2">
      <c r="L915" s="12"/>
      <c r="M915" s="13"/>
    </row>
    <row r="916" spans="12:13" x14ac:dyDescent="0.2">
      <c r="L916" s="12"/>
      <c r="M916" s="13"/>
    </row>
    <row r="917" spans="12:13" x14ac:dyDescent="0.2">
      <c r="L917" s="12"/>
      <c r="M917" s="13"/>
    </row>
    <row r="918" spans="12:13" x14ac:dyDescent="0.2">
      <c r="L918" s="12"/>
      <c r="M918" s="13"/>
    </row>
    <row r="919" spans="12:13" x14ac:dyDescent="0.2">
      <c r="L919" s="12"/>
      <c r="M919" s="13"/>
    </row>
    <row r="920" spans="12:13" x14ac:dyDescent="0.2">
      <c r="L920" s="12"/>
      <c r="M920" s="13"/>
    </row>
    <row r="921" spans="12:13" x14ac:dyDescent="0.2">
      <c r="L921" s="12"/>
      <c r="M921" s="13"/>
    </row>
    <row r="922" spans="12:13" x14ac:dyDescent="0.2">
      <c r="L922" s="12"/>
      <c r="M922" s="13"/>
    </row>
    <row r="923" spans="12:13" x14ac:dyDescent="0.2">
      <c r="L923" s="12"/>
      <c r="M923" s="13"/>
    </row>
    <row r="924" spans="12:13" x14ac:dyDescent="0.2">
      <c r="L924" s="12"/>
      <c r="M924" s="13"/>
    </row>
    <row r="925" spans="12:13" x14ac:dyDescent="0.2">
      <c r="L925" s="12"/>
      <c r="M925" s="13"/>
    </row>
    <row r="926" spans="12:13" x14ac:dyDescent="0.2">
      <c r="L926" s="12"/>
      <c r="M926" s="13"/>
    </row>
    <row r="927" spans="12:13" x14ac:dyDescent="0.2">
      <c r="L927" s="12"/>
      <c r="M927" s="13"/>
    </row>
    <row r="928" spans="12:13" x14ac:dyDescent="0.2">
      <c r="L928" s="12"/>
      <c r="M928" s="13"/>
    </row>
    <row r="929" spans="12:13" x14ac:dyDescent="0.2">
      <c r="L929" s="12"/>
      <c r="M929" s="13"/>
    </row>
    <row r="930" spans="12:13" x14ac:dyDescent="0.2">
      <c r="L930" s="12"/>
      <c r="M930" s="13"/>
    </row>
    <row r="931" spans="12:13" x14ac:dyDescent="0.2">
      <c r="L931" s="12"/>
      <c r="M931" s="13"/>
    </row>
    <row r="932" spans="12:13" x14ac:dyDescent="0.2">
      <c r="L932" s="12"/>
      <c r="M932" s="13"/>
    </row>
    <row r="933" spans="12:13" x14ac:dyDescent="0.2">
      <c r="L933" s="12"/>
      <c r="M933" s="13"/>
    </row>
    <row r="934" spans="12:13" x14ac:dyDescent="0.2">
      <c r="L934" s="12"/>
      <c r="M934" s="13"/>
    </row>
    <row r="935" spans="12:13" x14ac:dyDescent="0.2">
      <c r="L935" s="12"/>
      <c r="M935" s="13"/>
    </row>
    <row r="936" spans="12:13" x14ac:dyDescent="0.2">
      <c r="L936" s="12"/>
      <c r="M936" s="13"/>
    </row>
    <row r="937" spans="12:13" x14ac:dyDescent="0.2">
      <c r="L937" s="12"/>
      <c r="M937" s="13"/>
    </row>
    <row r="938" spans="12:13" x14ac:dyDescent="0.2">
      <c r="L938" s="12"/>
      <c r="M938" s="13"/>
    </row>
    <row r="939" spans="12:13" x14ac:dyDescent="0.2">
      <c r="L939" s="12"/>
      <c r="M939" s="13"/>
    </row>
    <row r="940" spans="12:13" x14ac:dyDescent="0.2">
      <c r="L940" s="12"/>
      <c r="M940" s="13"/>
    </row>
    <row r="941" spans="12:13" x14ac:dyDescent="0.2">
      <c r="L941" s="12"/>
      <c r="M941" s="13"/>
    </row>
    <row r="942" spans="12:13" x14ac:dyDescent="0.2">
      <c r="L942" s="12"/>
      <c r="M942" s="13"/>
    </row>
    <row r="943" spans="12:13" x14ac:dyDescent="0.2">
      <c r="L943" s="12"/>
      <c r="M943" s="13"/>
    </row>
    <row r="944" spans="12:13" x14ac:dyDescent="0.2">
      <c r="L944" s="12"/>
      <c r="M944" s="13"/>
    </row>
    <row r="945" spans="12:13" x14ac:dyDescent="0.2">
      <c r="L945" s="12"/>
      <c r="M945" s="13"/>
    </row>
    <row r="946" spans="12:13" x14ac:dyDescent="0.2">
      <c r="L946" s="12"/>
      <c r="M946" s="13"/>
    </row>
    <row r="947" spans="12:13" x14ac:dyDescent="0.2">
      <c r="L947" s="12"/>
      <c r="M947" s="13"/>
    </row>
    <row r="948" spans="12:13" x14ac:dyDescent="0.2">
      <c r="L948" s="12"/>
      <c r="M948" s="13"/>
    </row>
    <row r="949" spans="12:13" x14ac:dyDescent="0.2">
      <c r="L949" s="12"/>
      <c r="M949" s="13"/>
    </row>
    <row r="950" spans="12:13" x14ac:dyDescent="0.2">
      <c r="L950" s="12"/>
      <c r="M950" s="13"/>
    </row>
    <row r="951" spans="12:13" x14ac:dyDescent="0.2">
      <c r="L951" s="12"/>
      <c r="M951" s="13"/>
    </row>
    <row r="952" spans="12:13" x14ac:dyDescent="0.2">
      <c r="L952" s="12"/>
      <c r="M952" s="13"/>
    </row>
    <row r="953" spans="12:13" x14ac:dyDescent="0.2">
      <c r="L953" s="12"/>
      <c r="M953" s="13"/>
    </row>
    <row r="954" spans="12:13" x14ac:dyDescent="0.2">
      <c r="L954" s="12"/>
      <c r="M954" s="13"/>
    </row>
    <row r="955" spans="12:13" x14ac:dyDescent="0.2">
      <c r="L955" s="12"/>
      <c r="M955" s="13"/>
    </row>
    <row r="956" spans="12:13" x14ac:dyDescent="0.2">
      <c r="L956" s="12"/>
      <c r="M956" s="13"/>
    </row>
    <row r="957" spans="12:13" x14ac:dyDescent="0.2">
      <c r="L957" s="12"/>
      <c r="M957" s="13"/>
    </row>
    <row r="958" spans="12:13" x14ac:dyDescent="0.2">
      <c r="L958" s="12"/>
      <c r="M958" s="13"/>
    </row>
    <row r="959" spans="12:13" x14ac:dyDescent="0.2">
      <c r="L959" s="12"/>
      <c r="M959" s="13"/>
    </row>
    <row r="960" spans="12:13" x14ac:dyDescent="0.2">
      <c r="L960" s="12"/>
      <c r="M960" s="13"/>
    </row>
    <row r="961" spans="12:13" x14ac:dyDescent="0.2">
      <c r="L961" s="12"/>
      <c r="M961" s="13"/>
    </row>
    <row r="962" spans="12:13" x14ac:dyDescent="0.2">
      <c r="L962" s="12"/>
      <c r="M962" s="13"/>
    </row>
    <row r="963" spans="12:13" x14ac:dyDescent="0.2">
      <c r="L963" s="12"/>
      <c r="M963" s="13"/>
    </row>
    <row r="964" spans="12:13" x14ac:dyDescent="0.2">
      <c r="L964" s="12"/>
      <c r="M964" s="13"/>
    </row>
    <row r="965" spans="12:13" x14ac:dyDescent="0.2">
      <c r="L965" s="12"/>
      <c r="M965" s="13"/>
    </row>
    <row r="966" spans="12:13" x14ac:dyDescent="0.2">
      <c r="L966" s="12"/>
      <c r="M966" s="13"/>
    </row>
    <row r="967" spans="12:13" x14ac:dyDescent="0.2">
      <c r="L967" s="12"/>
      <c r="M967" s="13"/>
    </row>
    <row r="968" spans="12:13" x14ac:dyDescent="0.2">
      <c r="L968" s="12"/>
      <c r="M968" s="13"/>
    </row>
    <row r="969" spans="12:13" x14ac:dyDescent="0.2">
      <c r="L969" s="12"/>
      <c r="M969" s="13"/>
    </row>
    <row r="970" spans="12:13" x14ac:dyDescent="0.2">
      <c r="L970" s="12"/>
      <c r="M970" s="13"/>
    </row>
    <row r="971" spans="12:13" x14ac:dyDescent="0.2">
      <c r="L971" s="12"/>
      <c r="M971" s="13"/>
    </row>
    <row r="972" spans="12:13" x14ac:dyDescent="0.2">
      <c r="L972" s="12"/>
      <c r="M972" s="13"/>
    </row>
    <row r="973" spans="12:13" x14ac:dyDescent="0.2">
      <c r="L973" s="12"/>
      <c r="M973" s="13"/>
    </row>
    <row r="974" spans="12:13" x14ac:dyDescent="0.2">
      <c r="L974" s="12"/>
      <c r="M974" s="13"/>
    </row>
    <row r="975" spans="12:13" x14ac:dyDescent="0.2">
      <c r="L975" s="12"/>
      <c r="M975" s="13"/>
    </row>
    <row r="976" spans="12:13" x14ac:dyDescent="0.2">
      <c r="L976" s="12"/>
      <c r="M976" s="13"/>
    </row>
    <row r="977" spans="12:13" x14ac:dyDescent="0.2">
      <c r="L977" s="12"/>
      <c r="M977" s="13"/>
    </row>
    <row r="978" spans="12:13" x14ac:dyDescent="0.2">
      <c r="L978" s="12"/>
      <c r="M978" s="13"/>
    </row>
    <row r="979" spans="12:13" x14ac:dyDescent="0.2">
      <c r="L979" s="12"/>
      <c r="M979" s="13"/>
    </row>
    <row r="980" spans="12:13" x14ac:dyDescent="0.2">
      <c r="L980" s="12"/>
      <c r="M980" s="13"/>
    </row>
    <row r="981" spans="12:13" x14ac:dyDescent="0.2">
      <c r="L981" s="12"/>
      <c r="M981" s="13"/>
    </row>
    <row r="982" spans="12:13" x14ac:dyDescent="0.2">
      <c r="L982" s="12"/>
      <c r="M982" s="13"/>
    </row>
    <row r="983" spans="12:13" x14ac:dyDescent="0.2">
      <c r="L983" s="12"/>
      <c r="M983" s="13"/>
    </row>
    <row r="984" spans="12:13" x14ac:dyDescent="0.2">
      <c r="L984" s="12"/>
      <c r="M984" s="13"/>
    </row>
    <row r="985" spans="12:13" x14ac:dyDescent="0.2">
      <c r="L985" s="12"/>
      <c r="M985" s="13"/>
    </row>
    <row r="986" spans="12:13" x14ac:dyDescent="0.2">
      <c r="L986" s="12"/>
      <c r="M986" s="13"/>
    </row>
    <row r="987" spans="12:13" x14ac:dyDescent="0.2">
      <c r="L987" s="12"/>
      <c r="M987" s="13"/>
    </row>
    <row r="988" spans="12:13" x14ac:dyDescent="0.2">
      <c r="L988" s="12"/>
      <c r="M988" s="13"/>
    </row>
    <row r="989" spans="12:13" x14ac:dyDescent="0.2">
      <c r="L989" s="12"/>
      <c r="M989" s="13"/>
    </row>
    <row r="990" spans="12:13" x14ac:dyDescent="0.2">
      <c r="L990" s="12"/>
      <c r="M990" s="13"/>
    </row>
    <row r="991" spans="12:13" x14ac:dyDescent="0.2">
      <c r="L991" s="12"/>
      <c r="M991" s="13"/>
    </row>
    <row r="992" spans="12:13" x14ac:dyDescent="0.2">
      <c r="L992" s="12"/>
      <c r="M992" s="13"/>
    </row>
    <row r="993" spans="12:13" x14ac:dyDescent="0.2">
      <c r="L993" s="12"/>
      <c r="M993" s="13"/>
    </row>
    <row r="994" spans="12:13" x14ac:dyDescent="0.2">
      <c r="L994" s="12"/>
      <c r="M994" s="13"/>
    </row>
    <row r="995" spans="12:13" x14ac:dyDescent="0.2">
      <c r="L995" s="12"/>
      <c r="M995" s="13"/>
    </row>
    <row r="996" spans="12:13" x14ac:dyDescent="0.2">
      <c r="L996" s="12"/>
      <c r="M996" s="13"/>
    </row>
    <row r="997" spans="12:13" x14ac:dyDescent="0.2">
      <c r="L997" s="12"/>
      <c r="M997" s="13"/>
    </row>
    <row r="998" spans="12:13" x14ac:dyDescent="0.2">
      <c r="L998" s="12"/>
      <c r="M998" s="13"/>
    </row>
    <row r="999" spans="12:13" x14ac:dyDescent="0.2">
      <c r="L999" s="12"/>
      <c r="M999" s="13"/>
    </row>
    <row r="1000" spans="12:13" x14ac:dyDescent="0.2">
      <c r="L1000" s="12"/>
      <c r="M1000" s="13"/>
    </row>
    <row r="1001" spans="12:13" x14ac:dyDescent="0.2">
      <c r="L1001" s="12"/>
      <c r="M1001" s="13"/>
    </row>
    <row r="1002" spans="12:13" x14ac:dyDescent="0.2">
      <c r="L1002" s="12"/>
      <c r="M1002" s="13"/>
    </row>
    <row r="1003" spans="12:13" x14ac:dyDescent="0.2">
      <c r="L1003" s="12"/>
      <c r="M1003" s="13"/>
    </row>
    <row r="1004" spans="12:13" x14ac:dyDescent="0.2">
      <c r="L1004" s="12"/>
      <c r="M1004" s="13"/>
    </row>
    <row r="1005" spans="12:13" x14ac:dyDescent="0.2">
      <c r="L1005" s="12"/>
      <c r="M1005" s="13"/>
    </row>
    <row r="1006" spans="12:13" x14ac:dyDescent="0.2">
      <c r="L1006" s="12"/>
      <c r="M1006" s="13"/>
    </row>
    <row r="1007" spans="12:13" x14ac:dyDescent="0.2">
      <c r="L1007" s="12"/>
      <c r="M1007" s="13"/>
    </row>
    <row r="1008" spans="12:13" x14ac:dyDescent="0.2">
      <c r="L1008" s="12"/>
      <c r="M1008" s="13"/>
    </row>
    <row r="1009" spans="12:13" x14ac:dyDescent="0.2">
      <c r="L1009" s="12"/>
      <c r="M1009" s="13"/>
    </row>
    <row r="1010" spans="12:13" x14ac:dyDescent="0.2">
      <c r="L1010" s="12"/>
      <c r="M1010" s="13"/>
    </row>
    <row r="1011" spans="12:13" x14ac:dyDescent="0.2">
      <c r="L1011" s="12"/>
      <c r="M1011" s="13"/>
    </row>
    <row r="1012" spans="12:13" x14ac:dyDescent="0.2">
      <c r="L1012" s="12"/>
      <c r="M1012" s="13"/>
    </row>
    <row r="1013" spans="12:13" x14ac:dyDescent="0.2">
      <c r="L1013" s="12"/>
      <c r="M1013" s="13"/>
    </row>
    <row r="1014" spans="12:13" x14ac:dyDescent="0.2">
      <c r="L1014" s="12"/>
      <c r="M1014" s="13"/>
    </row>
    <row r="1015" spans="12:13" x14ac:dyDescent="0.2">
      <c r="L1015" s="12"/>
      <c r="M1015" s="13"/>
    </row>
    <row r="1016" spans="12:13" x14ac:dyDescent="0.2">
      <c r="L1016" s="12"/>
      <c r="M1016" s="13"/>
    </row>
    <row r="1017" spans="12:13" x14ac:dyDescent="0.2">
      <c r="L1017" s="12"/>
      <c r="M1017" s="13"/>
    </row>
    <row r="1018" spans="12:13" x14ac:dyDescent="0.2">
      <c r="L1018" s="12"/>
      <c r="M1018" s="13"/>
    </row>
    <row r="1019" spans="12:13" x14ac:dyDescent="0.2">
      <c r="L1019" s="12"/>
      <c r="M1019" s="13"/>
    </row>
    <row r="1020" spans="12:13" x14ac:dyDescent="0.2">
      <c r="L1020" s="12"/>
      <c r="M1020" s="13"/>
    </row>
    <row r="1021" spans="12:13" x14ac:dyDescent="0.2">
      <c r="L1021" s="12"/>
      <c r="M1021" s="13"/>
    </row>
    <row r="1022" spans="12:13" x14ac:dyDescent="0.2">
      <c r="L1022" s="12"/>
      <c r="M1022" s="13"/>
    </row>
    <row r="1023" spans="12:13" x14ac:dyDescent="0.2">
      <c r="L1023" s="12"/>
      <c r="M1023" s="13"/>
    </row>
    <row r="1024" spans="12:13" x14ac:dyDescent="0.2">
      <c r="L1024" s="12"/>
      <c r="M1024" s="13"/>
    </row>
    <row r="1025" spans="12:13" x14ac:dyDescent="0.2">
      <c r="L1025" s="12"/>
      <c r="M1025" s="13"/>
    </row>
    <row r="1026" spans="12:13" x14ac:dyDescent="0.2">
      <c r="L1026" s="17"/>
      <c r="M1026" s="18"/>
    </row>
    <row r="1027" spans="12:13" x14ac:dyDescent="0.2">
      <c r="L1027" s="12"/>
      <c r="M1027" s="13"/>
    </row>
    <row r="1028" spans="12:13" x14ac:dyDescent="0.2">
      <c r="L1028" s="12"/>
      <c r="M1028" s="13"/>
    </row>
    <row r="1029" spans="12:13" x14ac:dyDescent="0.2">
      <c r="L1029" s="12"/>
      <c r="M1029" s="13"/>
    </row>
    <row r="1030" spans="12:13" x14ac:dyDescent="0.2">
      <c r="L1030" s="12"/>
      <c r="M1030" s="13"/>
    </row>
    <row r="1031" spans="12:13" x14ac:dyDescent="0.2">
      <c r="L1031" s="12"/>
      <c r="M1031" s="13"/>
    </row>
    <row r="1032" spans="12:13" x14ac:dyDescent="0.2">
      <c r="L1032" s="12"/>
      <c r="M1032" s="13"/>
    </row>
    <row r="1033" spans="12:13" x14ac:dyDescent="0.2">
      <c r="L1033" s="12"/>
      <c r="M1033" s="13"/>
    </row>
    <row r="1034" spans="12:13" x14ac:dyDescent="0.2">
      <c r="L1034" s="12"/>
      <c r="M1034" s="13"/>
    </row>
    <row r="1035" spans="12:13" x14ac:dyDescent="0.2">
      <c r="L1035" s="12"/>
      <c r="M1035" s="13"/>
    </row>
    <row r="1036" spans="12:13" x14ac:dyDescent="0.2">
      <c r="L1036" s="12"/>
      <c r="M1036" s="13"/>
    </row>
    <row r="1037" spans="12:13" x14ac:dyDescent="0.2">
      <c r="L1037" s="12"/>
      <c r="M1037" s="13"/>
    </row>
    <row r="1038" spans="12:13" x14ac:dyDescent="0.2">
      <c r="L1038" s="12"/>
      <c r="M1038" s="13"/>
    </row>
    <row r="1039" spans="12:13" x14ac:dyDescent="0.2">
      <c r="L1039" s="12"/>
      <c r="M1039" s="13"/>
    </row>
    <row r="1040" spans="12:13" x14ac:dyDescent="0.2">
      <c r="L1040" s="12"/>
      <c r="M1040" s="13"/>
    </row>
    <row r="1041" spans="12:13" x14ac:dyDescent="0.2">
      <c r="L1041" s="12"/>
      <c r="M1041" s="13"/>
    </row>
    <row r="1042" spans="12:13" x14ac:dyDescent="0.2">
      <c r="L1042" s="12"/>
      <c r="M1042" s="13"/>
    </row>
    <row r="1043" spans="12:13" x14ac:dyDescent="0.2">
      <c r="L1043" s="12"/>
      <c r="M1043" s="13"/>
    </row>
    <row r="1044" spans="12:13" x14ac:dyDescent="0.2">
      <c r="L1044" s="12"/>
      <c r="M1044" s="13"/>
    </row>
    <row r="1045" spans="12:13" x14ac:dyDescent="0.2">
      <c r="L1045" s="12"/>
      <c r="M1045" s="13"/>
    </row>
    <row r="1046" spans="12:13" x14ac:dyDescent="0.2">
      <c r="L1046" s="12"/>
      <c r="M1046" s="13"/>
    </row>
    <row r="1047" spans="12:13" x14ac:dyDescent="0.2">
      <c r="L1047" s="12"/>
      <c r="M1047" s="13"/>
    </row>
    <row r="1048" spans="12:13" x14ac:dyDescent="0.2">
      <c r="L1048" s="12"/>
      <c r="M1048" s="13"/>
    </row>
    <row r="1049" spans="12:13" x14ac:dyDescent="0.2">
      <c r="L1049" s="12"/>
      <c r="M1049" s="13"/>
    </row>
    <row r="1050" spans="12:13" x14ac:dyDescent="0.2">
      <c r="L1050" s="12"/>
      <c r="M1050" s="13"/>
    </row>
    <row r="1051" spans="12:13" x14ac:dyDescent="0.2">
      <c r="L1051" s="12"/>
      <c r="M1051" s="13"/>
    </row>
    <row r="1052" spans="12:13" x14ac:dyDescent="0.2">
      <c r="L1052" s="12"/>
      <c r="M1052" s="13"/>
    </row>
    <row r="1053" spans="12:13" x14ac:dyDescent="0.2">
      <c r="L1053" s="12"/>
      <c r="M1053" s="13"/>
    </row>
    <row r="1054" spans="12:13" x14ac:dyDescent="0.2">
      <c r="L1054" s="12"/>
      <c r="M1054" s="13"/>
    </row>
    <row r="1055" spans="12:13" x14ac:dyDescent="0.2">
      <c r="L1055" s="12"/>
      <c r="M1055" s="13"/>
    </row>
    <row r="1056" spans="12:13" x14ac:dyDescent="0.2">
      <c r="L1056" s="12"/>
      <c r="M1056" s="13"/>
    </row>
    <row r="1057" spans="12:13" x14ac:dyDescent="0.2">
      <c r="L1057" s="12"/>
      <c r="M1057" s="13"/>
    </row>
    <row r="1058" spans="12:13" x14ac:dyDescent="0.2">
      <c r="L1058" s="12"/>
      <c r="M1058" s="13"/>
    </row>
    <row r="1059" spans="12:13" x14ac:dyDescent="0.2">
      <c r="L1059" s="12"/>
      <c r="M1059" s="13"/>
    </row>
    <row r="1060" spans="12:13" x14ac:dyDescent="0.2">
      <c r="L1060" s="12"/>
      <c r="M1060" s="13"/>
    </row>
    <row r="1061" spans="12:13" x14ac:dyDescent="0.2">
      <c r="L1061" s="12"/>
      <c r="M1061" s="13"/>
    </row>
    <row r="1062" spans="12:13" x14ac:dyDescent="0.2">
      <c r="L1062" s="12"/>
      <c r="M1062" s="13"/>
    </row>
    <row r="1063" spans="12:13" x14ac:dyDescent="0.2">
      <c r="L1063" s="12"/>
      <c r="M1063" s="13"/>
    </row>
    <row r="1064" spans="12:13" x14ac:dyDescent="0.2">
      <c r="L1064" s="12"/>
      <c r="M1064" s="13"/>
    </row>
    <row r="1065" spans="12:13" x14ac:dyDescent="0.2">
      <c r="L1065" s="12"/>
      <c r="M1065" s="13"/>
    </row>
    <row r="1066" spans="12:13" x14ac:dyDescent="0.2">
      <c r="L1066" s="12"/>
      <c r="M1066" s="13"/>
    </row>
    <row r="1067" spans="12:13" x14ac:dyDescent="0.2">
      <c r="L1067" s="12"/>
      <c r="M1067" s="13"/>
    </row>
    <row r="1068" spans="12:13" x14ac:dyDescent="0.2">
      <c r="L1068" s="12"/>
      <c r="M1068" s="13"/>
    </row>
    <row r="1069" spans="12:13" x14ac:dyDescent="0.2">
      <c r="L1069" s="12"/>
      <c r="M1069" s="13"/>
    </row>
    <row r="1070" spans="12:13" x14ac:dyDescent="0.2">
      <c r="L1070" s="12"/>
      <c r="M1070" s="13"/>
    </row>
    <row r="1071" spans="12:13" x14ac:dyDescent="0.2">
      <c r="L1071" s="12"/>
      <c r="M1071" s="13"/>
    </row>
    <row r="1072" spans="12:13" x14ac:dyDescent="0.2">
      <c r="L1072" s="12"/>
      <c r="M1072" s="13"/>
    </row>
    <row r="1073" spans="12:13" x14ac:dyDescent="0.2">
      <c r="L1073" s="12"/>
      <c r="M1073" s="13"/>
    </row>
    <row r="1074" spans="12:13" x14ac:dyDescent="0.2">
      <c r="L1074" s="12"/>
      <c r="M1074" s="13"/>
    </row>
    <row r="1075" spans="12:13" x14ac:dyDescent="0.2">
      <c r="L1075" s="12"/>
      <c r="M1075" s="13"/>
    </row>
    <row r="1076" spans="12:13" x14ac:dyDescent="0.2">
      <c r="L1076" s="12"/>
      <c r="M1076" s="13"/>
    </row>
    <row r="1077" spans="12:13" x14ac:dyDescent="0.2">
      <c r="L1077" s="12"/>
      <c r="M1077" s="13"/>
    </row>
    <row r="1078" spans="12:13" x14ac:dyDescent="0.2">
      <c r="L1078" s="12"/>
      <c r="M1078" s="13"/>
    </row>
    <row r="1079" spans="12:13" x14ac:dyDescent="0.2">
      <c r="L1079" s="12"/>
      <c r="M1079" s="13"/>
    </row>
    <row r="1080" spans="12:13" x14ac:dyDescent="0.2">
      <c r="L1080" s="12"/>
      <c r="M1080" s="13"/>
    </row>
    <row r="1081" spans="12:13" x14ac:dyDescent="0.2">
      <c r="L1081" s="12"/>
      <c r="M1081" s="13"/>
    </row>
    <row r="1082" spans="12:13" x14ac:dyDescent="0.2">
      <c r="L1082" s="12"/>
      <c r="M1082" s="13"/>
    </row>
    <row r="1083" spans="12:13" x14ac:dyDescent="0.2">
      <c r="L1083" s="12"/>
      <c r="M1083" s="13"/>
    </row>
    <row r="1084" spans="12:13" x14ac:dyDescent="0.2">
      <c r="L1084" s="12"/>
      <c r="M1084" s="13"/>
    </row>
    <row r="1085" spans="12:13" x14ac:dyDescent="0.2">
      <c r="L1085" s="12"/>
      <c r="M1085" s="13"/>
    </row>
    <row r="1086" spans="12:13" x14ac:dyDescent="0.2">
      <c r="L1086" s="12"/>
      <c r="M1086" s="13"/>
    </row>
    <row r="1087" spans="12:13" x14ac:dyDescent="0.2">
      <c r="L1087" s="12"/>
      <c r="M1087" s="13"/>
    </row>
    <row r="1088" spans="12:13" x14ac:dyDescent="0.2">
      <c r="L1088" s="12"/>
      <c r="M1088" s="13"/>
    </row>
    <row r="1089" spans="12:13" x14ac:dyDescent="0.2">
      <c r="L1089" s="12"/>
      <c r="M1089" s="13"/>
    </row>
    <row r="1090" spans="12:13" x14ac:dyDescent="0.2">
      <c r="L1090" s="12"/>
      <c r="M1090" s="13"/>
    </row>
    <row r="1091" spans="12:13" x14ac:dyDescent="0.2">
      <c r="L1091" s="12"/>
      <c r="M1091" s="13"/>
    </row>
    <row r="1092" spans="12:13" x14ac:dyDescent="0.2">
      <c r="L1092" s="12"/>
      <c r="M1092" s="13"/>
    </row>
    <row r="1093" spans="12:13" x14ac:dyDescent="0.2">
      <c r="L1093" s="12"/>
      <c r="M1093" s="13"/>
    </row>
    <row r="1094" spans="12:13" x14ac:dyDescent="0.2">
      <c r="L1094" s="12"/>
      <c r="M1094" s="13"/>
    </row>
    <row r="1095" spans="12:13" x14ac:dyDescent="0.2">
      <c r="L1095" s="12"/>
      <c r="M1095" s="13"/>
    </row>
    <row r="1096" spans="12:13" x14ac:dyDescent="0.2">
      <c r="L1096" s="12"/>
      <c r="M1096" s="13"/>
    </row>
    <row r="1097" spans="12:13" x14ac:dyDescent="0.2">
      <c r="L1097" s="12"/>
      <c r="M1097" s="13"/>
    </row>
    <row r="1098" spans="12:13" x14ac:dyDescent="0.2">
      <c r="L1098" s="12"/>
      <c r="M1098" s="13"/>
    </row>
    <row r="1099" spans="12:13" x14ac:dyDescent="0.2">
      <c r="L1099" s="12"/>
      <c r="M1099" s="13"/>
    </row>
    <row r="1100" spans="12:13" x14ac:dyDescent="0.2">
      <c r="L1100" s="12"/>
      <c r="M1100" s="13"/>
    </row>
    <row r="1101" spans="12:13" x14ac:dyDescent="0.2">
      <c r="L1101" s="12"/>
      <c r="M1101" s="13"/>
    </row>
    <row r="1102" spans="12:13" x14ac:dyDescent="0.2">
      <c r="L1102" s="12"/>
      <c r="M1102" s="13"/>
    </row>
    <row r="1103" spans="12:13" x14ac:dyDescent="0.2">
      <c r="L1103" s="12"/>
      <c r="M1103" s="13"/>
    </row>
    <row r="1104" spans="12:13" x14ac:dyDescent="0.2">
      <c r="L1104" s="12"/>
      <c r="M1104" s="13"/>
    </row>
    <row r="1105" spans="12:13" x14ac:dyDescent="0.2">
      <c r="L1105" s="12"/>
      <c r="M1105" s="13"/>
    </row>
    <row r="1106" spans="12:13" x14ac:dyDescent="0.2">
      <c r="L1106" s="12"/>
      <c r="M1106" s="13"/>
    </row>
    <row r="1107" spans="12:13" x14ac:dyDescent="0.2">
      <c r="L1107" s="12"/>
      <c r="M1107" s="13"/>
    </row>
    <row r="1108" spans="12:13" x14ac:dyDescent="0.2">
      <c r="L1108" s="12"/>
      <c r="M1108" s="13"/>
    </row>
    <row r="1109" spans="12:13" x14ac:dyDescent="0.2">
      <c r="L1109" s="12"/>
      <c r="M1109" s="13"/>
    </row>
    <row r="1110" spans="12:13" x14ac:dyDescent="0.2">
      <c r="L1110" s="12"/>
      <c r="M1110" s="13"/>
    </row>
    <row r="1111" spans="12:13" x14ac:dyDescent="0.2">
      <c r="L1111" s="12"/>
      <c r="M1111" s="13"/>
    </row>
    <row r="1112" spans="12:13" x14ac:dyDescent="0.2">
      <c r="L1112" s="12"/>
      <c r="M1112" s="13"/>
    </row>
    <row r="1113" spans="12:13" x14ac:dyDescent="0.2">
      <c r="L1113" s="12"/>
      <c r="M1113" s="13"/>
    </row>
    <row r="1114" spans="12:13" x14ac:dyDescent="0.2">
      <c r="L1114" s="12"/>
      <c r="M1114" s="13"/>
    </row>
    <row r="1115" spans="12:13" x14ac:dyDescent="0.2">
      <c r="L1115" s="12"/>
      <c r="M1115" s="13"/>
    </row>
    <row r="1116" spans="12:13" x14ac:dyDescent="0.2">
      <c r="L1116" s="12"/>
      <c r="M1116" s="13"/>
    </row>
    <row r="1117" spans="12:13" x14ac:dyDescent="0.2">
      <c r="L1117" s="12"/>
      <c r="M1117" s="13"/>
    </row>
    <row r="1118" spans="12:13" x14ac:dyDescent="0.2">
      <c r="L1118" s="12"/>
      <c r="M1118" s="13"/>
    </row>
    <row r="1119" spans="12:13" x14ac:dyDescent="0.2">
      <c r="L1119" s="12"/>
      <c r="M1119" s="13"/>
    </row>
    <row r="1120" spans="12:13" x14ac:dyDescent="0.2">
      <c r="L1120" s="12"/>
      <c r="M1120" s="13"/>
    </row>
    <row r="1121" spans="12:13" x14ac:dyDescent="0.2">
      <c r="L1121" s="12"/>
      <c r="M1121" s="13"/>
    </row>
    <row r="1122" spans="12:13" x14ac:dyDescent="0.2">
      <c r="L1122" s="12"/>
      <c r="M1122" s="13"/>
    </row>
    <row r="1123" spans="12:13" x14ac:dyDescent="0.2">
      <c r="L1123" s="12"/>
      <c r="M1123" s="13"/>
    </row>
    <row r="1124" spans="12:13" x14ac:dyDescent="0.2">
      <c r="L1124" s="12"/>
      <c r="M1124" s="13"/>
    </row>
    <row r="1125" spans="12:13" x14ac:dyDescent="0.2">
      <c r="L1125" s="12"/>
      <c r="M1125" s="13"/>
    </row>
    <row r="1126" spans="12:13" x14ac:dyDescent="0.2">
      <c r="L1126" s="12"/>
      <c r="M1126" s="13"/>
    </row>
    <row r="1127" spans="12:13" x14ac:dyDescent="0.2">
      <c r="L1127" s="12"/>
      <c r="M1127" s="13"/>
    </row>
    <row r="1128" spans="12:13" x14ac:dyDescent="0.2">
      <c r="L1128" s="12"/>
      <c r="M1128" s="13"/>
    </row>
    <row r="1129" spans="12:13" x14ac:dyDescent="0.2">
      <c r="L1129" s="12"/>
      <c r="M1129" s="13"/>
    </row>
    <row r="1130" spans="12:13" x14ac:dyDescent="0.2">
      <c r="L1130" s="12"/>
      <c r="M1130" s="13"/>
    </row>
    <row r="1131" spans="12:13" x14ac:dyDescent="0.2">
      <c r="L1131" s="12"/>
      <c r="M1131" s="13"/>
    </row>
    <row r="1132" spans="12:13" x14ac:dyDescent="0.2">
      <c r="L1132" s="12"/>
      <c r="M1132" s="13"/>
    </row>
    <row r="1133" spans="12:13" x14ac:dyDescent="0.2">
      <c r="L1133" s="12"/>
      <c r="M1133" s="13"/>
    </row>
    <row r="1134" spans="12:13" x14ac:dyDescent="0.2">
      <c r="L1134" s="12"/>
      <c r="M1134" s="13"/>
    </row>
    <row r="1135" spans="12:13" x14ac:dyDescent="0.2">
      <c r="L1135" s="12"/>
      <c r="M1135" s="13"/>
    </row>
    <row r="1136" spans="12:13" x14ac:dyDescent="0.2">
      <c r="L1136" s="12"/>
      <c r="M1136" s="13"/>
    </row>
    <row r="1137" spans="12:13" x14ac:dyDescent="0.2">
      <c r="L1137" s="12"/>
      <c r="M1137" s="13"/>
    </row>
    <row r="1138" spans="12:13" x14ac:dyDescent="0.2">
      <c r="L1138" s="12"/>
      <c r="M1138" s="13"/>
    </row>
    <row r="1139" spans="12:13" x14ac:dyDescent="0.2">
      <c r="L1139" s="12"/>
      <c r="M1139" s="13"/>
    </row>
    <row r="1140" spans="12:13" x14ac:dyDescent="0.2">
      <c r="L1140" s="12"/>
      <c r="M1140" s="13"/>
    </row>
    <row r="1141" spans="12:13" x14ac:dyDescent="0.2">
      <c r="L1141" s="12"/>
      <c r="M1141" s="13"/>
    </row>
    <row r="1142" spans="12:13" x14ac:dyDescent="0.2">
      <c r="L1142" s="12"/>
      <c r="M1142" s="13"/>
    </row>
    <row r="1143" spans="12:13" x14ac:dyDescent="0.2">
      <c r="L1143" s="12"/>
      <c r="M1143" s="13"/>
    </row>
    <row r="1144" spans="12:13" x14ac:dyDescent="0.2">
      <c r="L1144" s="12"/>
      <c r="M1144" s="13"/>
    </row>
    <row r="1145" spans="12:13" x14ac:dyDescent="0.2">
      <c r="L1145" s="12"/>
      <c r="M1145" s="13"/>
    </row>
    <row r="1146" spans="12:13" x14ac:dyDescent="0.2">
      <c r="L1146" s="12"/>
      <c r="M1146" s="13"/>
    </row>
    <row r="1147" spans="12:13" x14ac:dyDescent="0.2">
      <c r="L1147" s="12"/>
      <c r="M1147" s="13"/>
    </row>
    <row r="1148" spans="12:13" x14ac:dyDescent="0.2">
      <c r="L1148" s="12"/>
      <c r="M1148" s="13"/>
    </row>
    <row r="1149" spans="12:13" x14ac:dyDescent="0.2">
      <c r="L1149" s="12"/>
      <c r="M1149" s="13"/>
    </row>
    <row r="1150" spans="12:13" x14ac:dyDescent="0.2">
      <c r="L1150" s="12"/>
      <c r="M1150" s="13"/>
    </row>
    <row r="1151" spans="12:13" x14ac:dyDescent="0.2">
      <c r="L1151" s="12"/>
      <c r="M1151" s="13"/>
    </row>
    <row r="1152" spans="12:13" x14ac:dyDescent="0.2">
      <c r="L1152" s="12"/>
      <c r="M1152" s="13"/>
    </row>
    <row r="1153" spans="12:13" x14ac:dyDescent="0.2">
      <c r="L1153" s="12"/>
      <c r="M1153" s="13"/>
    </row>
    <row r="1154" spans="12:13" x14ac:dyDescent="0.2">
      <c r="L1154" s="12"/>
      <c r="M1154" s="13"/>
    </row>
    <row r="1155" spans="12:13" x14ac:dyDescent="0.2">
      <c r="L1155" s="12"/>
      <c r="M1155" s="13"/>
    </row>
    <row r="1156" spans="12:13" x14ac:dyDescent="0.2">
      <c r="L1156" s="12"/>
      <c r="M1156" s="13"/>
    </row>
    <row r="1157" spans="12:13" x14ac:dyDescent="0.2">
      <c r="L1157" s="12"/>
      <c r="M1157" s="13"/>
    </row>
    <row r="1158" spans="12:13" x14ac:dyDescent="0.2">
      <c r="L1158" s="12"/>
      <c r="M1158" s="13"/>
    </row>
    <row r="1159" spans="12:13" x14ac:dyDescent="0.2">
      <c r="L1159" s="12"/>
      <c r="M1159" s="13"/>
    </row>
    <row r="1160" spans="12:13" x14ac:dyDescent="0.2">
      <c r="L1160" s="12"/>
      <c r="M1160" s="13"/>
    </row>
    <row r="1161" spans="12:13" x14ac:dyDescent="0.2">
      <c r="L1161" s="12"/>
      <c r="M1161" s="13"/>
    </row>
    <row r="1162" spans="12:13" x14ac:dyDescent="0.2">
      <c r="L1162" s="12"/>
      <c r="M1162" s="13"/>
    </row>
    <row r="1163" spans="12:13" x14ac:dyDescent="0.2">
      <c r="L1163" s="12"/>
      <c r="M1163" s="13"/>
    </row>
    <row r="1164" spans="12:13" x14ac:dyDescent="0.2">
      <c r="L1164" s="12"/>
      <c r="M1164" s="13"/>
    </row>
    <row r="1165" spans="12:13" x14ac:dyDescent="0.2">
      <c r="L1165" s="12"/>
      <c r="M1165" s="13"/>
    </row>
    <row r="1166" spans="12:13" x14ac:dyDescent="0.2">
      <c r="L1166" s="12"/>
      <c r="M1166" s="13"/>
    </row>
    <row r="1167" spans="12:13" x14ac:dyDescent="0.2">
      <c r="L1167" s="12"/>
      <c r="M1167" s="13"/>
    </row>
    <row r="1168" spans="12:13" x14ac:dyDescent="0.2">
      <c r="L1168" s="12"/>
      <c r="M1168" s="13"/>
    </row>
    <row r="1169" spans="12:13" x14ac:dyDescent="0.2">
      <c r="L1169" s="12"/>
      <c r="M1169" s="13"/>
    </row>
    <row r="1170" spans="12:13" x14ac:dyDescent="0.2">
      <c r="L1170" s="12"/>
      <c r="M1170" s="13"/>
    </row>
    <row r="1171" spans="12:13" x14ac:dyDescent="0.2">
      <c r="L1171" s="12"/>
      <c r="M1171" s="13"/>
    </row>
    <row r="1172" spans="12:13" x14ac:dyDescent="0.2">
      <c r="L1172" s="12"/>
      <c r="M1172" s="13"/>
    </row>
    <row r="1173" spans="12:13" x14ac:dyDescent="0.2">
      <c r="L1173" s="12"/>
      <c r="M1173" s="13"/>
    </row>
    <row r="1174" spans="12:13" x14ac:dyDescent="0.2">
      <c r="L1174" s="12"/>
      <c r="M1174" s="13"/>
    </row>
    <row r="1175" spans="12:13" x14ac:dyDescent="0.2">
      <c r="L1175" s="12"/>
      <c r="M1175" s="13"/>
    </row>
    <row r="1176" spans="12:13" x14ac:dyDescent="0.2">
      <c r="L1176" s="12"/>
      <c r="M1176" s="13"/>
    </row>
    <row r="1177" spans="12:13" x14ac:dyDescent="0.2">
      <c r="L1177" s="12"/>
      <c r="M1177" s="13"/>
    </row>
    <row r="1178" spans="12:13" x14ac:dyDescent="0.2">
      <c r="L1178" s="12"/>
      <c r="M1178" s="13"/>
    </row>
    <row r="1179" spans="12:13" x14ac:dyDescent="0.2">
      <c r="L1179" s="12"/>
      <c r="M1179" s="13"/>
    </row>
    <row r="1180" spans="12:13" x14ac:dyDescent="0.2">
      <c r="L1180" s="12"/>
      <c r="M1180" s="13"/>
    </row>
    <row r="1181" spans="12:13" x14ac:dyDescent="0.2">
      <c r="L1181" s="12"/>
      <c r="M1181" s="13"/>
    </row>
    <row r="1182" spans="12:13" x14ac:dyDescent="0.2">
      <c r="L1182" s="12"/>
      <c r="M1182" s="13"/>
    </row>
    <row r="1183" spans="12:13" x14ac:dyDescent="0.2">
      <c r="L1183" s="12"/>
      <c r="M1183" s="13"/>
    </row>
    <row r="1184" spans="12:13" x14ac:dyDescent="0.2">
      <c r="L1184" s="12"/>
      <c r="M1184" s="13"/>
    </row>
    <row r="1185" spans="12:13" x14ac:dyDescent="0.2">
      <c r="L1185" s="12"/>
      <c r="M1185" s="13"/>
    </row>
    <row r="1186" spans="12:13" x14ac:dyDescent="0.2">
      <c r="L1186" s="12"/>
      <c r="M1186" s="13"/>
    </row>
    <row r="1187" spans="12:13" x14ac:dyDescent="0.2">
      <c r="L1187" s="12"/>
      <c r="M1187" s="13"/>
    </row>
    <row r="1188" spans="12:13" x14ac:dyDescent="0.2">
      <c r="L1188" s="12"/>
      <c r="M1188" s="13"/>
    </row>
    <row r="1189" spans="12:13" x14ac:dyDescent="0.2">
      <c r="L1189" s="12"/>
      <c r="M1189" s="13"/>
    </row>
    <row r="1190" spans="12:13" x14ac:dyDescent="0.2">
      <c r="L1190" s="12"/>
      <c r="M1190" s="13"/>
    </row>
    <row r="1191" spans="12:13" x14ac:dyDescent="0.2">
      <c r="L1191" s="12"/>
      <c r="M1191" s="13"/>
    </row>
    <row r="1192" spans="12:13" x14ac:dyDescent="0.2">
      <c r="L1192" s="12"/>
      <c r="M1192" s="13"/>
    </row>
    <row r="1193" spans="12:13" x14ac:dyDescent="0.2">
      <c r="L1193" s="12"/>
      <c r="M1193" s="13"/>
    </row>
    <row r="1194" spans="12:13" x14ac:dyDescent="0.2">
      <c r="L1194" s="12"/>
      <c r="M1194" s="13"/>
    </row>
    <row r="1195" spans="12:13" x14ac:dyDescent="0.2">
      <c r="L1195" s="12"/>
      <c r="M1195" s="13"/>
    </row>
    <row r="1196" spans="12:13" x14ac:dyDescent="0.2">
      <c r="L1196" s="12"/>
      <c r="M1196" s="13"/>
    </row>
    <row r="1197" spans="12:13" x14ac:dyDescent="0.2">
      <c r="L1197" s="12"/>
      <c r="M1197" s="13"/>
    </row>
    <row r="1198" spans="12:13" x14ac:dyDescent="0.2">
      <c r="L1198" s="12"/>
      <c r="M1198" s="13"/>
    </row>
    <row r="1199" spans="12:13" x14ac:dyDescent="0.2">
      <c r="L1199" s="12"/>
      <c r="M1199" s="13"/>
    </row>
    <row r="1200" spans="12:13" x14ac:dyDescent="0.2">
      <c r="L1200" s="12"/>
      <c r="M1200" s="13"/>
    </row>
    <row r="1201" spans="12:13" x14ac:dyDescent="0.2">
      <c r="L1201" s="12"/>
      <c r="M1201" s="13"/>
    </row>
    <row r="1202" spans="12:13" x14ac:dyDescent="0.2">
      <c r="L1202" s="12"/>
      <c r="M1202" s="13"/>
    </row>
    <row r="1203" spans="12:13" x14ac:dyDescent="0.2">
      <c r="L1203" s="12"/>
      <c r="M1203" s="13"/>
    </row>
    <row r="1204" spans="12:13" x14ac:dyDescent="0.2">
      <c r="L1204" s="12"/>
      <c r="M1204" s="13"/>
    </row>
    <row r="1205" spans="12:13" x14ac:dyDescent="0.2">
      <c r="L1205" s="12"/>
      <c r="M1205" s="13"/>
    </row>
    <row r="1206" spans="12:13" x14ac:dyDescent="0.2">
      <c r="L1206" s="12"/>
      <c r="M1206" s="13"/>
    </row>
    <row r="1207" spans="12:13" x14ac:dyDescent="0.2">
      <c r="L1207" s="12"/>
      <c r="M1207" s="13"/>
    </row>
    <row r="1208" spans="12:13" x14ac:dyDescent="0.2">
      <c r="L1208" s="12"/>
      <c r="M1208" s="13"/>
    </row>
    <row r="1209" spans="12:13" x14ac:dyDescent="0.2">
      <c r="L1209" s="12"/>
      <c r="M1209" s="13"/>
    </row>
    <row r="1210" spans="12:13" x14ac:dyDescent="0.2">
      <c r="L1210" s="12"/>
      <c r="M1210" s="13"/>
    </row>
    <row r="1211" spans="12:13" x14ac:dyDescent="0.2">
      <c r="L1211" s="12"/>
      <c r="M1211" s="13"/>
    </row>
    <row r="1212" spans="12:13" x14ac:dyDescent="0.2">
      <c r="L1212" s="12"/>
      <c r="M1212" s="13"/>
    </row>
    <row r="1213" spans="12:13" x14ac:dyDescent="0.2">
      <c r="L1213" s="12"/>
      <c r="M1213" s="13"/>
    </row>
    <row r="1214" spans="12:13" x14ac:dyDescent="0.2">
      <c r="L1214" s="12"/>
      <c r="M1214" s="13"/>
    </row>
    <row r="1215" spans="12:13" x14ac:dyDescent="0.2">
      <c r="L1215" s="12"/>
      <c r="M1215" s="13"/>
    </row>
    <row r="1216" spans="12:13" x14ac:dyDescent="0.2">
      <c r="L1216" s="12"/>
      <c r="M1216" s="13"/>
    </row>
    <row r="1217" spans="12:13" x14ac:dyDescent="0.2">
      <c r="L1217" s="12"/>
      <c r="M1217" s="13"/>
    </row>
    <row r="1218" spans="12:13" x14ac:dyDescent="0.2">
      <c r="L1218" s="12"/>
      <c r="M1218" s="13"/>
    </row>
    <row r="1219" spans="12:13" x14ac:dyDescent="0.2">
      <c r="L1219" s="12"/>
      <c r="M1219" s="13"/>
    </row>
    <row r="1220" spans="12:13" x14ac:dyDescent="0.2">
      <c r="L1220" s="12"/>
      <c r="M1220" s="13"/>
    </row>
    <row r="1221" spans="12:13" x14ac:dyDescent="0.2">
      <c r="L1221" s="12"/>
      <c r="M1221" s="13"/>
    </row>
    <row r="1222" spans="12:13" x14ac:dyDescent="0.2">
      <c r="L1222" s="12"/>
      <c r="M1222" s="13"/>
    </row>
    <row r="1223" spans="12:13" x14ac:dyDescent="0.2">
      <c r="L1223" s="12"/>
      <c r="M1223" s="13"/>
    </row>
    <row r="1224" spans="12:13" x14ac:dyDescent="0.2">
      <c r="L1224" s="12"/>
      <c r="M1224" s="13"/>
    </row>
    <row r="1225" spans="12:13" x14ac:dyDescent="0.2">
      <c r="L1225" s="12"/>
      <c r="M1225" s="13"/>
    </row>
    <row r="1226" spans="12:13" x14ac:dyDescent="0.2">
      <c r="L1226" s="12"/>
      <c r="M1226" s="13"/>
    </row>
    <row r="1227" spans="12:13" x14ac:dyDescent="0.2">
      <c r="L1227" s="12"/>
      <c r="M1227" s="13"/>
    </row>
    <row r="1228" spans="12:13" x14ac:dyDescent="0.2">
      <c r="L1228" s="12"/>
      <c r="M1228" s="13"/>
    </row>
    <row r="1229" spans="12:13" x14ac:dyDescent="0.2">
      <c r="L1229" s="12"/>
      <c r="M1229" s="13"/>
    </row>
    <row r="1230" spans="12:13" x14ac:dyDescent="0.2">
      <c r="L1230" s="12"/>
      <c r="M1230" s="13"/>
    </row>
    <row r="1231" spans="12:13" x14ac:dyDescent="0.2">
      <c r="L1231" s="12"/>
      <c r="M1231" s="13"/>
    </row>
    <row r="1232" spans="12:13" x14ac:dyDescent="0.2">
      <c r="L1232" s="12"/>
      <c r="M1232" s="13"/>
    </row>
    <row r="1233" spans="12:13" x14ac:dyDescent="0.2">
      <c r="L1233" s="12"/>
      <c r="M1233" s="13"/>
    </row>
    <row r="1234" spans="12:13" x14ac:dyDescent="0.2">
      <c r="L1234" s="12"/>
      <c r="M1234" s="13"/>
    </row>
    <row r="1235" spans="12:13" x14ac:dyDescent="0.2">
      <c r="L1235" s="12"/>
      <c r="M1235" s="13"/>
    </row>
    <row r="1236" spans="12:13" x14ac:dyDescent="0.2">
      <c r="L1236" s="12"/>
      <c r="M1236" s="13"/>
    </row>
    <row r="1237" spans="12:13" x14ac:dyDescent="0.2">
      <c r="L1237" s="12"/>
      <c r="M1237" s="13"/>
    </row>
    <row r="1238" spans="12:13" x14ac:dyDescent="0.2">
      <c r="L1238" s="12"/>
      <c r="M1238" s="13"/>
    </row>
    <row r="1239" spans="12:13" x14ac:dyDescent="0.2">
      <c r="L1239" s="12"/>
      <c r="M1239" s="13"/>
    </row>
    <row r="1240" spans="12:13" x14ac:dyDescent="0.2">
      <c r="L1240" s="12"/>
      <c r="M1240" s="13"/>
    </row>
    <row r="1241" spans="12:13" x14ac:dyDescent="0.2">
      <c r="L1241" s="12"/>
      <c r="M1241" s="13"/>
    </row>
    <row r="1242" spans="12:13" x14ac:dyDescent="0.2">
      <c r="L1242" s="12"/>
      <c r="M1242" s="13"/>
    </row>
    <row r="1243" spans="12:13" x14ac:dyDescent="0.2">
      <c r="L1243" s="12"/>
      <c r="M1243" s="13"/>
    </row>
    <row r="1244" spans="12:13" x14ac:dyDescent="0.2">
      <c r="L1244" s="12"/>
      <c r="M1244" s="13"/>
    </row>
    <row r="1245" spans="12:13" x14ac:dyDescent="0.2">
      <c r="L1245" s="12"/>
      <c r="M1245" s="13"/>
    </row>
    <row r="1246" spans="12:13" x14ac:dyDescent="0.2">
      <c r="L1246" s="12"/>
      <c r="M1246" s="13"/>
    </row>
    <row r="1247" spans="12:13" x14ac:dyDescent="0.2">
      <c r="L1247" s="12"/>
      <c r="M1247" s="13"/>
    </row>
    <row r="1248" spans="12:13" x14ac:dyDescent="0.2">
      <c r="L1248" s="12"/>
      <c r="M1248" s="13"/>
    </row>
    <row r="1249" spans="12:13" x14ac:dyDescent="0.2">
      <c r="L1249" s="12"/>
      <c r="M1249" s="13"/>
    </row>
    <row r="1250" spans="12:13" x14ac:dyDescent="0.2">
      <c r="L1250" s="12"/>
      <c r="M1250" s="13"/>
    </row>
    <row r="1251" spans="12:13" x14ac:dyDescent="0.2">
      <c r="L1251" s="12"/>
      <c r="M1251" s="13"/>
    </row>
    <row r="1252" spans="12:13" x14ac:dyDescent="0.2">
      <c r="L1252" s="12"/>
      <c r="M1252" s="13"/>
    </row>
    <row r="1253" spans="12:13" x14ac:dyDescent="0.2">
      <c r="L1253" s="12"/>
      <c r="M1253" s="13"/>
    </row>
    <row r="1254" spans="12:13" x14ac:dyDescent="0.2">
      <c r="L1254" s="12"/>
      <c r="M1254" s="13"/>
    </row>
    <row r="1255" spans="12:13" x14ac:dyDescent="0.2">
      <c r="L1255" s="12"/>
      <c r="M1255" s="13"/>
    </row>
    <row r="1256" spans="12:13" x14ac:dyDescent="0.2">
      <c r="L1256" s="12"/>
      <c r="M1256" s="13"/>
    </row>
    <row r="1257" spans="12:13" x14ac:dyDescent="0.2">
      <c r="L1257" s="12"/>
      <c r="M1257" s="13"/>
    </row>
    <row r="1258" spans="12:13" x14ac:dyDescent="0.2">
      <c r="L1258" s="12"/>
      <c r="M1258" s="13"/>
    </row>
    <row r="1259" spans="12:13" x14ac:dyDescent="0.2">
      <c r="L1259" s="12"/>
      <c r="M1259" s="13"/>
    </row>
    <row r="1260" spans="12:13" x14ac:dyDescent="0.2">
      <c r="L1260" s="12"/>
      <c r="M1260" s="13"/>
    </row>
    <row r="1261" spans="12:13" x14ac:dyDescent="0.2">
      <c r="L1261" s="12"/>
      <c r="M1261" s="13"/>
    </row>
    <row r="1262" spans="12:13" x14ac:dyDescent="0.2">
      <c r="L1262" s="12"/>
      <c r="M1262" s="13"/>
    </row>
    <row r="1263" spans="12:13" x14ac:dyDescent="0.2">
      <c r="L1263" s="12"/>
      <c r="M1263" s="13"/>
    </row>
    <row r="1264" spans="12:13" x14ac:dyDescent="0.2">
      <c r="L1264" s="12"/>
      <c r="M1264" s="13"/>
    </row>
    <row r="1265" spans="12:13" x14ac:dyDescent="0.2">
      <c r="L1265" s="12"/>
      <c r="M1265" s="13"/>
    </row>
    <row r="1266" spans="12:13" x14ac:dyDescent="0.2">
      <c r="L1266" s="12"/>
      <c r="M1266" s="13"/>
    </row>
    <row r="1267" spans="12:13" x14ac:dyDescent="0.2">
      <c r="L1267" s="12"/>
      <c r="M1267" s="13"/>
    </row>
    <row r="1268" spans="12:13" x14ac:dyDescent="0.2">
      <c r="L1268" s="12"/>
      <c r="M1268" s="13"/>
    </row>
    <row r="1269" spans="12:13" x14ac:dyDescent="0.2">
      <c r="L1269" s="12"/>
      <c r="M1269" s="13"/>
    </row>
    <row r="1270" spans="12:13" x14ac:dyDescent="0.2">
      <c r="L1270" s="12"/>
      <c r="M1270" s="13"/>
    </row>
    <row r="1271" spans="12:13" x14ac:dyDescent="0.2">
      <c r="L1271" s="12"/>
      <c r="M1271" s="13"/>
    </row>
    <row r="1272" spans="12:13" x14ac:dyDescent="0.2">
      <c r="L1272" s="12"/>
      <c r="M1272" s="13"/>
    </row>
    <row r="1273" spans="12:13" x14ac:dyDescent="0.2">
      <c r="L1273" s="12"/>
      <c r="M1273" s="13"/>
    </row>
    <row r="1274" spans="12:13" x14ac:dyDescent="0.2">
      <c r="L1274" s="12"/>
      <c r="M1274" s="13"/>
    </row>
    <row r="1275" spans="12:13" x14ac:dyDescent="0.2">
      <c r="L1275" s="12"/>
      <c r="M1275" s="13"/>
    </row>
    <row r="1276" spans="12:13" x14ac:dyDescent="0.2">
      <c r="L1276" s="12"/>
      <c r="M1276" s="13"/>
    </row>
    <row r="1277" spans="12:13" x14ac:dyDescent="0.2">
      <c r="L1277" s="12"/>
      <c r="M1277" s="13"/>
    </row>
    <row r="1278" spans="12:13" x14ac:dyDescent="0.2">
      <c r="L1278" s="12"/>
      <c r="M1278" s="13"/>
    </row>
    <row r="1279" spans="12:13" x14ac:dyDescent="0.2">
      <c r="L1279" s="12"/>
      <c r="M1279" s="13"/>
    </row>
    <row r="1280" spans="12:13" x14ac:dyDescent="0.2">
      <c r="L1280" s="12"/>
      <c r="M1280" s="13"/>
    </row>
    <row r="1281" spans="12:13" x14ac:dyDescent="0.2">
      <c r="L1281" s="12"/>
      <c r="M1281" s="13"/>
    </row>
    <row r="1282" spans="12:13" x14ac:dyDescent="0.2">
      <c r="L1282" s="17"/>
      <c r="M1282" s="18"/>
    </row>
    <row r="1283" spans="12:13" x14ac:dyDescent="0.2">
      <c r="L1283" s="12"/>
      <c r="M1283" s="13"/>
    </row>
    <row r="1284" spans="12:13" x14ac:dyDescent="0.2">
      <c r="L1284" s="12"/>
      <c r="M1284" s="13"/>
    </row>
    <row r="1285" spans="12:13" x14ac:dyDescent="0.2">
      <c r="L1285" s="12"/>
      <c r="M1285" s="13"/>
    </row>
    <row r="1286" spans="12:13" x14ac:dyDescent="0.2">
      <c r="L1286" s="12"/>
      <c r="M1286" s="13"/>
    </row>
    <row r="1287" spans="12:13" x14ac:dyDescent="0.2">
      <c r="L1287" s="12"/>
      <c r="M1287" s="13"/>
    </row>
    <row r="1288" spans="12:13" x14ac:dyDescent="0.2">
      <c r="L1288" s="12"/>
      <c r="M1288" s="13"/>
    </row>
    <row r="1289" spans="12:13" x14ac:dyDescent="0.2">
      <c r="L1289" s="12"/>
      <c r="M1289" s="13"/>
    </row>
    <row r="1290" spans="12:13" x14ac:dyDescent="0.2">
      <c r="L1290" s="12"/>
      <c r="M1290" s="13"/>
    </row>
    <row r="1291" spans="12:13" x14ac:dyDescent="0.2">
      <c r="L1291" s="12"/>
      <c r="M1291" s="13"/>
    </row>
    <row r="1292" spans="12:13" x14ac:dyDescent="0.2">
      <c r="L1292" s="12"/>
      <c r="M1292" s="13"/>
    </row>
    <row r="1293" spans="12:13" x14ac:dyDescent="0.2">
      <c r="L1293" s="12"/>
      <c r="M1293" s="13"/>
    </row>
    <row r="1294" spans="12:13" x14ac:dyDescent="0.2">
      <c r="L1294" s="12"/>
      <c r="M1294" s="13"/>
    </row>
    <row r="1295" spans="12:13" x14ac:dyDescent="0.2">
      <c r="L1295" s="12"/>
      <c r="M1295" s="13"/>
    </row>
    <row r="1296" spans="12:13" x14ac:dyDescent="0.2">
      <c r="L1296" s="12"/>
      <c r="M1296" s="13"/>
    </row>
    <row r="1297" spans="12:13" x14ac:dyDescent="0.2">
      <c r="L1297" s="12"/>
      <c r="M1297" s="13"/>
    </row>
    <row r="1298" spans="12:13" x14ac:dyDescent="0.2">
      <c r="L1298" s="12"/>
      <c r="M1298" s="13"/>
    </row>
    <row r="1299" spans="12:13" x14ac:dyDescent="0.2">
      <c r="L1299" s="12"/>
      <c r="M1299" s="13"/>
    </row>
    <row r="1300" spans="12:13" x14ac:dyDescent="0.2">
      <c r="L1300" s="12"/>
      <c r="M1300" s="13"/>
    </row>
    <row r="1301" spans="12:13" x14ac:dyDescent="0.2">
      <c r="L1301" s="12"/>
      <c r="M1301" s="13"/>
    </row>
    <row r="1302" spans="12:13" x14ac:dyDescent="0.2">
      <c r="L1302" s="12"/>
      <c r="M1302" s="13"/>
    </row>
    <row r="1303" spans="12:13" x14ac:dyDescent="0.2">
      <c r="L1303" s="12"/>
      <c r="M1303" s="13"/>
    </row>
    <row r="1304" spans="12:13" x14ac:dyDescent="0.2">
      <c r="L1304" s="12"/>
      <c r="M1304" s="13"/>
    </row>
    <row r="1305" spans="12:13" x14ac:dyDescent="0.2">
      <c r="L1305" s="12"/>
      <c r="M1305" s="13"/>
    </row>
    <row r="1306" spans="12:13" x14ac:dyDescent="0.2">
      <c r="L1306" s="12"/>
      <c r="M1306" s="13"/>
    </row>
    <row r="1307" spans="12:13" x14ac:dyDescent="0.2">
      <c r="L1307" s="12"/>
      <c r="M1307" s="13"/>
    </row>
    <row r="1308" spans="12:13" x14ac:dyDescent="0.2">
      <c r="L1308" s="12"/>
      <c r="M1308" s="13"/>
    </row>
    <row r="1309" spans="12:13" x14ac:dyDescent="0.2">
      <c r="L1309" s="12"/>
      <c r="M1309" s="13"/>
    </row>
    <row r="1310" spans="12:13" x14ac:dyDescent="0.2">
      <c r="L1310" s="12"/>
      <c r="M1310" s="13"/>
    </row>
    <row r="1311" spans="12:13" x14ac:dyDescent="0.2">
      <c r="L1311" s="12"/>
      <c r="M1311" s="13"/>
    </row>
    <row r="1312" spans="12:13" x14ac:dyDescent="0.2">
      <c r="L1312" s="12"/>
      <c r="M1312" s="13"/>
    </row>
    <row r="1313" spans="12:13" x14ac:dyDescent="0.2">
      <c r="L1313" s="12"/>
      <c r="M1313" s="13"/>
    </row>
    <row r="1314" spans="12:13" x14ac:dyDescent="0.2">
      <c r="L1314" s="12"/>
      <c r="M1314" s="13"/>
    </row>
    <row r="1315" spans="12:13" x14ac:dyDescent="0.2">
      <c r="L1315" s="12"/>
      <c r="M1315" s="13"/>
    </row>
    <row r="1316" spans="12:13" x14ac:dyDescent="0.2">
      <c r="L1316" s="12"/>
      <c r="M1316" s="13"/>
    </row>
    <row r="1317" spans="12:13" x14ac:dyDescent="0.2">
      <c r="L1317" s="12"/>
      <c r="M1317" s="13"/>
    </row>
    <row r="1318" spans="12:13" x14ac:dyDescent="0.2">
      <c r="L1318" s="12"/>
      <c r="M1318" s="13"/>
    </row>
    <row r="1319" spans="12:13" x14ac:dyDescent="0.2">
      <c r="L1319" s="12"/>
      <c r="M1319" s="13"/>
    </row>
    <row r="1320" spans="12:13" x14ac:dyDescent="0.2">
      <c r="L1320" s="12"/>
      <c r="M1320" s="13"/>
    </row>
    <row r="1321" spans="12:13" x14ac:dyDescent="0.2">
      <c r="L1321" s="12"/>
      <c r="M1321" s="13"/>
    </row>
    <row r="1322" spans="12:13" x14ac:dyDescent="0.2">
      <c r="L1322" s="12"/>
      <c r="M1322" s="13"/>
    </row>
    <row r="1323" spans="12:13" x14ac:dyDescent="0.2">
      <c r="L1323" s="12"/>
      <c r="M1323" s="13"/>
    </row>
    <row r="1324" spans="12:13" x14ac:dyDescent="0.2">
      <c r="L1324" s="12"/>
      <c r="M1324" s="13"/>
    </row>
    <row r="1325" spans="12:13" x14ac:dyDescent="0.2">
      <c r="L1325" s="12"/>
      <c r="M1325" s="13"/>
    </row>
    <row r="1326" spans="12:13" x14ac:dyDescent="0.2">
      <c r="L1326" s="12"/>
      <c r="M1326" s="13"/>
    </row>
    <row r="1327" spans="12:13" x14ac:dyDescent="0.2">
      <c r="L1327" s="12"/>
      <c r="M1327" s="13"/>
    </row>
    <row r="1328" spans="12:13" x14ac:dyDescent="0.2">
      <c r="L1328" s="12"/>
      <c r="M1328" s="13"/>
    </row>
    <row r="1329" spans="12:13" x14ac:dyDescent="0.2">
      <c r="L1329" s="12"/>
      <c r="M1329" s="13"/>
    </row>
    <row r="1330" spans="12:13" x14ac:dyDescent="0.2">
      <c r="L1330" s="12"/>
      <c r="M1330" s="13"/>
    </row>
    <row r="1331" spans="12:13" x14ac:dyDescent="0.2">
      <c r="L1331" s="12"/>
      <c r="M1331" s="13"/>
    </row>
    <row r="1332" spans="12:13" x14ac:dyDescent="0.2">
      <c r="L1332" s="12"/>
      <c r="M1332" s="13"/>
    </row>
    <row r="1333" spans="12:13" x14ac:dyDescent="0.2">
      <c r="L1333" s="12"/>
      <c r="M1333" s="13"/>
    </row>
    <row r="1334" spans="12:13" x14ac:dyDescent="0.2">
      <c r="L1334" s="12"/>
      <c r="M1334" s="13"/>
    </row>
    <row r="1335" spans="12:13" x14ac:dyDescent="0.2">
      <c r="L1335" s="12"/>
      <c r="M1335" s="13"/>
    </row>
    <row r="1336" spans="12:13" x14ac:dyDescent="0.2">
      <c r="L1336" s="12"/>
      <c r="M1336" s="13"/>
    </row>
    <row r="1337" spans="12:13" x14ac:dyDescent="0.2">
      <c r="L1337" s="12"/>
      <c r="M1337" s="13"/>
    </row>
    <row r="1338" spans="12:13" x14ac:dyDescent="0.2">
      <c r="L1338" s="12"/>
      <c r="M1338" s="13"/>
    </row>
    <row r="1339" spans="12:13" x14ac:dyDescent="0.2">
      <c r="L1339" s="12"/>
      <c r="M1339" s="13"/>
    </row>
    <row r="1340" spans="12:13" x14ac:dyDescent="0.2">
      <c r="L1340" s="12"/>
      <c r="M1340" s="13"/>
    </row>
    <row r="1341" spans="12:13" x14ac:dyDescent="0.2">
      <c r="L1341" s="12"/>
      <c r="M1341" s="13"/>
    </row>
    <row r="1342" spans="12:13" x14ac:dyDescent="0.2">
      <c r="L1342" s="12"/>
      <c r="M1342" s="13"/>
    </row>
    <row r="1343" spans="12:13" x14ac:dyDescent="0.2">
      <c r="L1343" s="12"/>
      <c r="M1343" s="13"/>
    </row>
    <row r="1344" spans="12:13" x14ac:dyDescent="0.2">
      <c r="L1344" s="12"/>
      <c r="M1344" s="13"/>
    </row>
    <row r="1345" spans="12:13" x14ac:dyDescent="0.2">
      <c r="L1345" s="12"/>
      <c r="M1345" s="13"/>
    </row>
    <row r="1346" spans="12:13" x14ac:dyDescent="0.2">
      <c r="L1346" s="12"/>
      <c r="M1346" s="13"/>
    </row>
    <row r="1347" spans="12:13" x14ac:dyDescent="0.2">
      <c r="L1347" s="12"/>
      <c r="M1347" s="13"/>
    </row>
    <row r="1348" spans="12:13" x14ac:dyDescent="0.2">
      <c r="L1348" s="12"/>
      <c r="M1348" s="13"/>
    </row>
    <row r="1349" spans="12:13" x14ac:dyDescent="0.2">
      <c r="L1349" s="12"/>
      <c r="M1349" s="13"/>
    </row>
    <row r="1350" spans="12:13" x14ac:dyDescent="0.2">
      <c r="L1350" s="12"/>
      <c r="M1350" s="13"/>
    </row>
    <row r="1351" spans="12:13" x14ac:dyDescent="0.2">
      <c r="L1351" s="12"/>
      <c r="M1351" s="13"/>
    </row>
    <row r="1352" spans="12:13" x14ac:dyDescent="0.2">
      <c r="L1352" s="12"/>
      <c r="M1352" s="13"/>
    </row>
    <row r="1353" spans="12:13" x14ac:dyDescent="0.2">
      <c r="L1353" s="12"/>
      <c r="M1353" s="13"/>
    </row>
    <row r="1354" spans="12:13" x14ac:dyDescent="0.2">
      <c r="L1354" s="12"/>
      <c r="M1354" s="13"/>
    </row>
    <row r="1355" spans="12:13" x14ac:dyDescent="0.2">
      <c r="L1355" s="12"/>
      <c r="M1355" s="13"/>
    </row>
    <row r="1356" spans="12:13" x14ac:dyDescent="0.2">
      <c r="L1356" s="12"/>
      <c r="M1356" s="13"/>
    </row>
    <row r="1357" spans="12:13" x14ac:dyDescent="0.2">
      <c r="L1357" s="12"/>
      <c r="M1357" s="13"/>
    </row>
    <row r="1358" spans="12:13" x14ac:dyDescent="0.2">
      <c r="L1358" s="12"/>
      <c r="M1358" s="13"/>
    </row>
    <row r="1359" spans="12:13" x14ac:dyDescent="0.2">
      <c r="L1359" s="12"/>
      <c r="M1359" s="13"/>
    </row>
    <row r="1360" spans="12:13" x14ac:dyDescent="0.2">
      <c r="L1360" s="12"/>
      <c r="M1360" s="13"/>
    </row>
    <row r="1361" spans="12:13" x14ac:dyDescent="0.2">
      <c r="L1361" s="12"/>
      <c r="M1361" s="13"/>
    </row>
    <row r="1362" spans="12:13" x14ac:dyDescent="0.2">
      <c r="L1362" s="12"/>
      <c r="M1362" s="13"/>
    </row>
    <row r="1363" spans="12:13" x14ac:dyDescent="0.2">
      <c r="L1363" s="12"/>
      <c r="M1363" s="13"/>
    </row>
    <row r="1364" spans="12:13" x14ac:dyDescent="0.2">
      <c r="L1364" s="12"/>
      <c r="M1364" s="13"/>
    </row>
    <row r="1365" spans="12:13" x14ac:dyDescent="0.2">
      <c r="L1365" s="12"/>
      <c r="M1365" s="13"/>
    </row>
    <row r="1366" spans="12:13" x14ac:dyDescent="0.2">
      <c r="L1366" s="12"/>
      <c r="M1366" s="13"/>
    </row>
    <row r="1367" spans="12:13" x14ac:dyDescent="0.2">
      <c r="L1367" s="12"/>
      <c r="M1367" s="13"/>
    </row>
    <row r="1368" spans="12:13" x14ac:dyDescent="0.2">
      <c r="L1368" s="12"/>
      <c r="M1368" s="13"/>
    </row>
    <row r="1369" spans="12:13" x14ac:dyDescent="0.2">
      <c r="L1369" s="12"/>
      <c r="M1369" s="13"/>
    </row>
    <row r="1370" spans="12:13" x14ac:dyDescent="0.2">
      <c r="L1370" s="12"/>
      <c r="M1370" s="13"/>
    </row>
    <row r="1371" spans="12:13" x14ac:dyDescent="0.2">
      <c r="L1371" s="12"/>
      <c r="M1371" s="13"/>
    </row>
    <row r="1372" spans="12:13" x14ac:dyDescent="0.2">
      <c r="L1372" s="12"/>
      <c r="M1372" s="13"/>
    </row>
    <row r="1373" spans="12:13" x14ac:dyDescent="0.2">
      <c r="L1373" s="12"/>
      <c r="M1373" s="13"/>
    </row>
    <row r="1374" spans="12:13" x14ac:dyDescent="0.2">
      <c r="L1374" s="12"/>
      <c r="M1374" s="13"/>
    </row>
    <row r="1375" spans="12:13" x14ac:dyDescent="0.2">
      <c r="L1375" s="12"/>
      <c r="M1375" s="13"/>
    </row>
    <row r="1376" spans="12:13" x14ac:dyDescent="0.2">
      <c r="L1376" s="12"/>
      <c r="M1376" s="13"/>
    </row>
    <row r="1377" spans="12:13" x14ac:dyDescent="0.2">
      <c r="L1377" s="12"/>
      <c r="M1377" s="13"/>
    </row>
    <row r="1378" spans="12:13" x14ac:dyDescent="0.2">
      <c r="L1378" s="12"/>
      <c r="M1378" s="13"/>
    </row>
    <row r="1379" spans="12:13" x14ac:dyDescent="0.2">
      <c r="L1379" s="12"/>
      <c r="M1379" s="13"/>
    </row>
    <row r="1380" spans="12:13" x14ac:dyDescent="0.2">
      <c r="L1380" s="12"/>
      <c r="M1380" s="13"/>
    </row>
    <row r="1381" spans="12:13" x14ac:dyDescent="0.2">
      <c r="L1381" s="12"/>
      <c r="M1381" s="13"/>
    </row>
    <row r="1382" spans="12:13" x14ac:dyDescent="0.2">
      <c r="L1382" s="12"/>
      <c r="M1382" s="13"/>
    </row>
    <row r="1383" spans="12:13" x14ac:dyDescent="0.2">
      <c r="L1383" s="12"/>
      <c r="M1383" s="13"/>
    </row>
    <row r="1384" spans="12:13" x14ac:dyDescent="0.2">
      <c r="L1384" s="12"/>
      <c r="M1384" s="13"/>
    </row>
    <row r="1385" spans="12:13" x14ac:dyDescent="0.2">
      <c r="L1385" s="12"/>
      <c r="M1385" s="13"/>
    </row>
    <row r="1386" spans="12:13" x14ac:dyDescent="0.2">
      <c r="L1386" s="12"/>
      <c r="M1386" s="13"/>
    </row>
    <row r="1387" spans="12:13" x14ac:dyDescent="0.2">
      <c r="L1387" s="12"/>
      <c r="M1387" s="13"/>
    </row>
    <row r="1388" spans="12:13" x14ac:dyDescent="0.2">
      <c r="L1388" s="12"/>
      <c r="M1388" s="13"/>
    </row>
    <row r="1389" spans="12:13" x14ac:dyDescent="0.2">
      <c r="L1389" s="12"/>
      <c r="M1389" s="13"/>
    </row>
    <row r="1390" spans="12:13" x14ac:dyDescent="0.2">
      <c r="L1390" s="12"/>
      <c r="M1390" s="13"/>
    </row>
    <row r="1391" spans="12:13" x14ac:dyDescent="0.2">
      <c r="L1391" s="12"/>
      <c r="M1391" s="13"/>
    </row>
    <row r="1392" spans="12:13" x14ac:dyDescent="0.2">
      <c r="L1392" s="12"/>
      <c r="M1392" s="13"/>
    </row>
    <row r="1393" spans="12:13" x14ac:dyDescent="0.2">
      <c r="L1393" s="12"/>
      <c r="M1393" s="13"/>
    </row>
    <row r="1394" spans="12:13" x14ac:dyDescent="0.2">
      <c r="L1394" s="12"/>
      <c r="M1394" s="13"/>
    </row>
    <row r="1395" spans="12:13" x14ac:dyDescent="0.2">
      <c r="L1395" s="12"/>
      <c r="M1395" s="13"/>
    </row>
    <row r="1396" spans="12:13" x14ac:dyDescent="0.2">
      <c r="L1396" s="12"/>
      <c r="M1396" s="13"/>
    </row>
    <row r="1397" spans="12:13" x14ac:dyDescent="0.2">
      <c r="L1397" s="12"/>
      <c r="M1397" s="13"/>
    </row>
    <row r="1398" spans="12:13" x14ac:dyDescent="0.2">
      <c r="L1398" s="12"/>
      <c r="M1398" s="13"/>
    </row>
    <row r="1399" spans="12:13" x14ac:dyDescent="0.2">
      <c r="L1399" s="12"/>
      <c r="M1399" s="13"/>
    </row>
    <row r="1400" spans="12:13" x14ac:dyDescent="0.2">
      <c r="L1400" s="12"/>
      <c r="M1400" s="13"/>
    </row>
    <row r="1401" spans="12:13" x14ac:dyDescent="0.2">
      <c r="L1401" s="12"/>
      <c r="M1401" s="13"/>
    </row>
    <row r="1402" spans="12:13" x14ac:dyDescent="0.2">
      <c r="L1402" s="12"/>
      <c r="M1402" s="13"/>
    </row>
    <row r="1403" spans="12:13" x14ac:dyDescent="0.2">
      <c r="L1403" s="12"/>
      <c r="M1403" s="13"/>
    </row>
    <row r="1404" spans="12:13" x14ac:dyDescent="0.2">
      <c r="L1404" s="12"/>
      <c r="M1404" s="13"/>
    </row>
    <row r="1405" spans="12:13" x14ac:dyDescent="0.2">
      <c r="L1405" s="12"/>
      <c r="M1405" s="13"/>
    </row>
    <row r="1406" spans="12:13" x14ac:dyDescent="0.2">
      <c r="L1406" s="12"/>
      <c r="M1406" s="13"/>
    </row>
    <row r="1407" spans="12:13" x14ac:dyDescent="0.2">
      <c r="L1407" s="12"/>
      <c r="M1407" s="13"/>
    </row>
    <row r="1408" spans="12:13" x14ac:dyDescent="0.2">
      <c r="L1408" s="12"/>
      <c r="M1408" s="13"/>
    </row>
    <row r="1409" spans="12:13" x14ac:dyDescent="0.2">
      <c r="L1409" s="12"/>
      <c r="M1409" s="13"/>
    </row>
    <row r="1410" spans="12:13" x14ac:dyDescent="0.2">
      <c r="L1410" s="12"/>
      <c r="M1410" s="13"/>
    </row>
    <row r="1411" spans="12:13" x14ac:dyDescent="0.2">
      <c r="L1411" s="12"/>
      <c r="M1411" s="13"/>
    </row>
    <row r="1412" spans="12:13" x14ac:dyDescent="0.2">
      <c r="L1412" s="12"/>
      <c r="M1412" s="13"/>
    </row>
    <row r="1413" spans="12:13" x14ac:dyDescent="0.2">
      <c r="L1413" s="12"/>
      <c r="M1413" s="13"/>
    </row>
    <row r="1414" spans="12:13" x14ac:dyDescent="0.2">
      <c r="L1414" s="12"/>
      <c r="M1414" s="13"/>
    </row>
    <row r="1415" spans="12:13" x14ac:dyDescent="0.2">
      <c r="L1415" s="12"/>
      <c r="M1415" s="13"/>
    </row>
    <row r="1416" spans="12:13" x14ac:dyDescent="0.2">
      <c r="L1416" s="12"/>
      <c r="M1416" s="13"/>
    </row>
    <row r="1417" spans="12:13" x14ac:dyDescent="0.2">
      <c r="L1417" s="12"/>
      <c r="M1417" s="13"/>
    </row>
    <row r="1418" spans="12:13" x14ac:dyDescent="0.2">
      <c r="L1418" s="12"/>
      <c r="M1418" s="13"/>
    </row>
    <row r="1419" spans="12:13" x14ac:dyDescent="0.2">
      <c r="L1419" s="12"/>
      <c r="M1419" s="13"/>
    </row>
    <row r="1420" spans="12:13" x14ac:dyDescent="0.2">
      <c r="L1420" s="12"/>
      <c r="M1420" s="13"/>
    </row>
    <row r="1421" spans="12:13" x14ac:dyDescent="0.2">
      <c r="L1421" s="12"/>
      <c r="M1421" s="13"/>
    </row>
    <row r="1422" spans="12:13" x14ac:dyDescent="0.2">
      <c r="L1422" s="12"/>
      <c r="M1422" s="13"/>
    </row>
    <row r="1423" spans="12:13" x14ac:dyDescent="0.2">
      <c r="L1423" s="12"/>
      <c r="M1423" s="13"/>
    </row>
    <row r="1424" spans="12:13" x14ac:dyDescent="0.2">
      <c r="L1424" s="12"/>
      <c r="M1424" s="13"/>
    </row>
    <row r="1425" spans="12:13" x14ac:dyDescent="0.2">
      <c r="L1425" s="12"/>
      <c r="M1425" s="13"/>
    </row>
    <row r="1426" spans="12:13" x14ac:dyDescent="0.2">
      <c r="L1426" s="12"/>
      <c r="M1426" s="13"/>
    </row>
    <row r="1427" spans="12:13" x14ac:dyDescent="0.2">
      <c r="L1427" s="12"/>
      <c r="M1427" s="13"/>
    </row>
    <row r="1428" spans="12:13" x14ac:dyDescent="0.2">
      <c r="L1428" s="12"/>
      <c r="M1428" s="13"/>
    </row>
    <row r="1429" spans="12:13" x14ac:dyDescent="0.2">
      <c r="L1429" s="12"/>
      <c r="M1429" s="13"/>
    </row>
    <row r="1430" spans="12:13" x14ac:dyDescent="0.2">
      <c r="L1430" s="12"/>
      <c r="M1430" s="13"/>
    </row>
    <row r="1431" spans="12:13" x14ac:dyDescent="0.2">
      <c r="L1431" s="12"/>
      <c r="M1431" s="13"/>
    </row>
    <row r="1432" spans="12:13" x14ac:dyDescent="0.2">
      <c r="L1432" s="12"/>
      <c r="M1432" s="13"/>
    </row>
    <row r="1433" spans="12:13" x14ac:dyDescent="0.2">
      <c r="L1433" s="12"/>
      <c r="M1433" s="13"/>
    </row>
    <row r="1434" spans="12:13" x14ac:dyDescent="0.2">
      <c r="L1434" s="12"/>
      <c r="M1434" s="13"/>
    </row>
    <row r="1435" spans="12:13" x14ac:dyDescent="0.2">
      <c r="L1435" s="12"/>
      <c r="M1435" s="13"/>
    </row>
    <row r="1436" spans="12:13" x14ac:dyDescent="0.2">
      <c r="L1436" s="12"/>
      <c r="M1436" s="13"/>
    </row>
    <row r="1437" spans="12:13" x14ac:dyDescent="0.2">
      <c r="L1437" s="12"/>
      <c r="M1437" s="13"/>
    </row>
    <row r="1438" spans="12:13" x14ac:dyDescent="0.2">
      <c r="L1438" s="12"/>
      <c r="M1438" s="13"/>
    </row>
    <row r="1439" spans="12:13" x14ac:dyDescent="0.2">
      <c r="L1439" s="12"/>
      <c r="M1439" s="13"/>
    </row>
    <row r="1440" spans="12:13" x14ac:dyDescent="0.2">
      <c r="L1440" s="12"/>
      <c r="M1440" s="13"/>
    </row>
    <row r="1441" spans="12:13" x14ac:dyDescent="0.2">
      <c r="L1441" s="12"/>
      <c r="M1441" s="13"/>
    </row>
    <row r="1442" spans="12:13" x14ac:dyDescent="0.2">
      <c r="L1442" s="12"/>
      <c r="M1442" s="13"/>
    </row>
    <row r="1443" spans="12:13" x14ac:dyDescent="0.2">
      <c r="L1443" s="12"/>
      <c r="M1443" s="13"/>
    </row>
    <row r="1444" spans="12:13" x14ac:dyDescent="0.2">
      <c r="L1444" s="12"/>
      <c r="M1444" s="13"/>
    </row>
    <row r="1445" spans="12:13" x14ac:dyDescent="0.2">
      <c r="L1445" s="12"/>
      <c r="M1445" s="13"/>
    </row>
    <row r="1446" spans="12:13" x14ac:dyDescent="0.2">
      <c r="L1446" s="12"/>
      <c r="M1446" s="13"/>
    </row>
    <row r="1447" spans="12:13" x14ac:dyDescent="0.2">
      <c r="L1447" s="12"/>
      <c r="M1447" s="13"/>
    </row>
    <row r="1448" spans="12:13" x14ac:dyDescent="0.2">
      <c r="L1448" s="12"/>
      <c r="M1448" s="13"/>
    </row>
    <row r="1449" spans="12:13" x14ac:dyDescent="0.2">
      <c r="L1449" s="12"/>
      <c r="M1449" s="13"/>
    </row>
    <row r="1450" spans="12:13" x14ac:dyDescent="0.2">
      <c r="L1450" s="12"/>
      <c r="M1450" s="13"/>
    </row>
    <row r="1451" spans="12:13" x14ac:dyDescent="0.2">
      <c r="L1451" s="12"/>
      <c r="M1451" s="13"/>
    </row>
    <row r="1452" spans="12:13" x14ac:dyDescent="0.2">
      <c r="L1452" s="12"/>
      <c r="M1452" s="13"/>
    </row>
    <row r="1453" spans="12:13" x14ac:dyDescent="0.2">
      <c r="L1453" s="12"/>
      <c r="M1453" s="13"/>
    </row>
    <row r="1454" spans="12:13" x14ac:dyDescent="0.2">
      <c r="L1454" s="12"/>
      <c r="M1454" s="13"/>
    </row>
    <row r="1455" spans="12:13" x14ac:dyDescent="0.2">
      <c r="L1455" s="12"/>
      <c r="M1455" s="13"/>
    </row>
    <row r="1456" spans="12:13" x14ac:dyDescent="0.2">
      <c r="L1456" s="12"/>
      <c r="M1456" s="13"/>
    </row>
    <row r="1457" spans="12:13" x14ac:dyDescent="0.2">
      <c r="L1457" s="12"/>
      <c r="M1457" s="13"/>
    </row>
    <row r="1458" spans="12:13" x14ac:dyDescent="0.2">
      <c r="L1458" s="12"/>
      <c r="M1458" s="13"/>
    </row>
    <row r="1459" spans="12:13" x14ac:dyDescent="0.2">
      <c r="L1459" s="12"/>
      <c r="M1459" s="13"/>
    </row>
    <row r="1460" spans="12:13" x14ac:dyDescent="0.2">
      <c r="L1460" s="12"/>
      <c r="M1460" s="13"/>
    </row>
    <row r="1461" spans="12:13" x14ac:dyDescent="0.2">
      <c r="L1461" s="12"/>
      <c r="M1461" s="13"/>
    </row>
    <row r="1462" spans="12:13" x14ac:dyDescent="0.2">
      <c r="L1462" s="12"/>
      <c r="M1462" s="13"/>
    </row>
    <row r="1463" spans="12:13" x14ac:dyDescent="0.2">
      <c r="L1463" s="12"/>
      <c r="M1463" s="13"/>
    </row>
    <row r="1464" spans="12:13" x14ac:dyDescent="0.2">
      <c r="L1464" s="12"/>
      <c r="M1464" s="13"/>
    </row>
    <row r="1465" spans="12:13" x14ac:dyDescent="0.2">
      <c r="L1465" s="12"/>
      <c r="M1465" s="13"/>
    </row>
    <row r="1466" spans="12:13" x14ac:dyDescent="0.2">
      <c r="L1466" s="12"/>
      <c r="M1466" s="13"/>
    </row>
    <row r="1467" spans="12:13" x14ac:dyDescent="0.2">
      <c r="L1467" s="12"/>
      <c r="M1467" s="13"/>
    </row>
    <row r="1468" spans="12:13" x14ac:dyDescent="0.2">
      <c r="L1468" s="12"/>
      <c r="M1468" s="13"/>
    </row>
    <row r="1469" spans="12:13" x14ac:dyDescent="0.2">
      <c r="L1469" s="12"/>
      <c r="M1469" s="13"/>
    </row>
    <row r="1470" spans="12:13" x14ac:dyDescent="0.2">
      <c r="L1470" s="12"/>
      <c r="M1470" s="13"/>
    </row>
    <row r="1471" spans="12:13" x14ac:dyDescent="0.2">
      <c r="L1471" s="12"/>
      <c r="M1471" s="13"/>
    </row>
    <row r="1472" spans="12:13" x14ac:dyDescent="0.2">
      <c r="L1472" s="12"/>
      <c r="M1472" s="13"/>
    </row>
    <row r="1473" spans="12:13" x14ac:dyDescent="0.2">
      <c r="L1473" s="12"/>
      <c r="M1473" s="13"/>
    </row>
    <row r="1474" spans="12:13" x14ac:dyDescent="0.2">
      <c r="L1474" s="12"/>
      <c r="M1474" s="13"/>
    </row>
    <row r="1475" spans="12:13" x14ac:dyDescent="0.2">
      <c r="L1475" s="12"/>
      <c r="M1475" s="13"/>
    </row>
    <row r="1476" spans="12:13" x14ac:dyDescent="0.2">
      <c r="L1476" s="12"/>
      <c r="M1476" s="13"/>
    </row>
    <row r="1477" spans="12:13" x14ac:dyDescent="0.2">
      <c r="L1477" s="12"/>
      <c r="M1477" s="13"/>
    </row>
    <row r="1478" spans="12:13" x14ac:dyDescent="0.2">
      <c r="L1478" s="12"/>
      <c r="M1478" s="13"/>
    </row>
    <row r="1479" spans="12:13" x14ac:dyDescent="0.2">
      <c r="L1479" s="12"/>
      <c r="M1479" s="13"/>
    </row>
    <row r="1480" spans="12:13" x14ac:dyDescent="0.2">
      <c r="L1480" s="12"/>
      <c r="M1480" s="13"/>
    </row>
    <row r="1481" spans="12:13" x14ac:dyDescent="0.2">
      <c r="L1481" s="12"/>
      <c r="M1481" s="13"/>
    </row>
    <row r="1482" spans="12:13" x14ac:dyDescent="0.2">
      <c r="L1482" s="12"/>
      <c r="M1482" s="13"/>
    </row>
    <row r="1483" spans="12:13" x14ac:dyDescent="0.2">
      <c r="L1483" s="12"/>
      <c r="M1483" s="13"/>
    </row>
    <row r="1484" spans="12:13" x14ac:dyDescent="0.2">
      <c r="L1484" s="12"/>
      <c r="M1484" s="13"/>
    </row>
    <row r="1485" spans="12:13" x14ac:dyDescent="0.2">
      <c r="L1485" s="12"/>
      <c r="M1485" s="13"/>
    </row>
    <row r="1486" spans="12:13" x14ac:dyDescent="0.2">
      <c r="L1486" s="12"/>
      <c r="M1486" s="13"/>
    </row>
    <row r="1487" spans="12:13" x14ac:dyDescent="0.2">
      <c r="L1487" s="12"/>
      <c r="M1487" s="13"/>
    </row>
    <row r="1488" spans="12:13" x14ac:dyDescent="0.2">
      <c r="L1488" s="12"/>
      <c r="M1488" s="13"/>
    </row>
    <row r="1489" spans="12:13" x14ac:dyDescent="0.2">
      <c r="L1489" s="12"/>
      <c r="M1489" s="13"/>
    </row>
    <row r="1490" spans="12:13" x14ac:dyDescent="0.2">
      <c r="L1490" s="12"/>
      <c r="M1490" s="13"/>
    </row>
    <row r="1491" spans="12:13" x14ac:dyDescent="0.2">
      <c r="L1491" s="12"/>
      <c r="M1491" s="13"/>
    </row>
    <row r="1492" spans="12:13" x14ac:dyDescent="0.2">
      <c r="L1492" s="12"/>
      <c r="M1492" s="13"/>
    </row>
    <row r="1493" spans="12:13" x14ac:dyDescent="0.2">
      <c r="L1493" s="12"/>
      <c r="M1493" s="13"/>
    </row>
    <row r="1494" spans="12:13" x14ac:dyDescent="0.2">
      <c r="L1494" s="12"/>
      <c r="M1494" s="13"/>
    </row>
    <row r="1495" spans="12:13" x14ac:dyDescent="0.2">
      <c r="L1495" s="12"/>
      <c r="M1495" s="13"/>
    </row>
    <row r="1496" spans="12:13" x14ac:dyDescent="0.2">
      <c r="L1496" s="12"/>
      <c r="M1496" s="13"/>
    </row>
    <row r="1497" spans="12:13" x14ac:dyDescent="0.2">
      <c r="L1497" s="12"/>
      <c r="M1497" s="13"/>
    </row>
    <row r="1498" spans="12:13" x14ac:dyDescent="0.2">
      <c r="L1498" s="12"/>
      <c r="M1498" s="13"/>
    </row>
    <row r="1499" spans="12:13" x14ac:dyDescent="0.2">
      <c r="L1499" s="12"/>
      <c r="M1499" s="13"/>
    </row>
    <row r="1500" spans="12:13" x14ac:dyDescent="0.2">
      <c r="L1500" s="12"/>
      <c r="M1500" s="13"/>
    </row>
    <row r="1501" spans="12:13" x14ac:dyDescent="0.2">
      <c r="L1501" s="12"/>
      <c r="M1501" s="13"/>
    </row>
    <row r="1502" spans="12:13" x14ac:dyDescent="0.2">
      <c r="L1502" s="12"/>
      <c r="M1502" s="13"/>
    </row>
    <row r="1503" spans="12:13" x14ac:dyDescent="0.2">
      <c r="L1503" s="12"/>
      <c r="M1503" s="13"/>
    </row>
    <row r="1504" spans="12:13" x14ac:dyDescent="0.2">
      <c r="L1504" s="12"/>
      <c r="M1504" s="13"/>
    </row>
    <row r="1505" spans="12:13" x14ac:dyDescent="0.2">
      <c r="L1505" s="12"/>
      <c r="M1505" s="13"/>
    </row>
    <row r="1506" spans="12:13" x14ac:dyDescent="0.2">
      <c r="L1506" s="12"/>
      <c r="M1506" s="13"/>
    </row>
    <row r="1507" spans="12:13" x14ac:dyDescent="0.2">
      <c r="L1507" s="12"/>
      <c r="M1507" s="13"/>
    </row>
    <row r="1508" spans="12:13" x14ac:dyDescent="0.2">
      <c r="L1508" s="12"/>
      <c r="M1508" s="13"/>
    </row>
    <row r="1509" spans="12:13" x14ac:dyDescent="0.2">
      <c r="L1509" s="12"/>
      <c r="M1509" s="13"/>
    </row>
    <row r="1510" spans="12:13" x14ac:dyDescent="0.2">
      <c r="L1510" s="12"/>
      <c r="M1510" s="13"/>
    </row>
    <row r="1511" spans="12:13" x14ac:dyDescent="0.2">
      <c r="L1511" s="12"/>
      <c r="M1511" s="13"/>
    </row>
    <row r="1512" spans="12:13" x14ac:dyDescent="0.2">
      <c r="L1512" s="12"/>
      <c r="M1512" s="13"/>
    </row>
    <row r="1513" spans="12:13" x14ac:dyDescent="0.2">
      <c r="L1513" s="12"/>
      <c r="M1513" s="13"/>
    </row>
    <row r="1514" spans="12:13" x14ac:dyDescent="0.2">
      <c r="L1514" s="12"/>
      <c r="M1514" s="13"/>
    </row>
    <row r="1515" spans="12:13" x14ac:dyDescent="0.2">
      <c r="L1515" s="12"/>
      <c r="M1515" s="13"/>
    </row>
    <row r="1516" spans="12:13" x14ac:dyDescent="0.2">
      <c r="L1516" s="12"/>
      <c r="M1516" s="13"/>
    </row>
    <row r="1517" spans="12:13" x14ac:dyDescent="0.2">
      <c r="L1517" s="12"/>
      <c r="M1517" s="13"/>
    </row>
    <row r="1518" spans="12:13" x14ac:dyDescent="0.2">
      <c r="L1518" s="12"/>
      <c r="M1518" s="13"/>
    </row>
    <row r="1519" spans="12:13" x14ac:dyDescent="0.2">
      <c r="L1519" s="12"/>
      <c r="M1519" s="13"/>
    </row>
    <row r="1520" spans="12:13" x14ac:dyDescent="0.2">
      <c r="L1520" s="12"/>
      <c r="M1520" s="13"/>
    </row>
    <row r="1521" spans="12:13" x14ac:dyDescent="0.2">
      <c r="L1521" s="12"/>
      <c r="M1521" s="13"/>
    </row>
    <row r="1522" spans="12:13" x14ac:dyDescent="0.2">
      <c r="L1522" s="12"/>
      <c r="M1522" s="13"/>
    </row>
    <row r="1523" spans="12:13" x14ac:dyDescent="0.2">
      <c r="L1523" s="12"/>
      <c r="M1523" s="13"/>
    </row>
    <row r="1524" spans="12:13" x14ac:dyDescent="0.2">
      <c r="L1524" s="12"/>
      <c r="M1524" s="13"/>
    </row>
    <row r="1525" spans="12:13" x14ac:dyDescent="0.2">
      <c r="L1525" s="12"/>
      <c r="M1525" s="13"/>
    </row>
    <row r="1526" spans="12:13" x14ac:dyDescent="0.2">
      <c r="L1526" s="12"/>
      <c r="M1526" s="13"/>
    </row>
    <row r="1527" spans="12:13" x14ac:dyDescent="0.2">
      <c r="L1527" s="12"/>
      <c r="M1527" s="13"/>
    </row>
    <row r="1528" spans="12:13" x14ac:dyDescent="0.2">
      <c r="L1528" s="12"/>
      <c r="M1528" s="13"/>
    </row>
    <row r="1529" spans="12:13" x14ac:dyDescent="0.2">
      <c r="L1529" s="12"/>
      <c r="M1529" s="13"/>
    </row>
    <row r="1530" spans="12:13" x14ac:dyDescent="0.2">
      <c r="L1530" s="12"/>
      <c r="M1530" s="13"/>
    </row>
    <row r="1531" spans="12:13" x14ac:dyDescent="0.2">
      <c r="L1531" s="12"/>
      <c r="M1531" s="13"/>
    </row>
    <row r="1532" spans="12:13" x14ac:dyDescent="0.2">
      <c r="L1532" s="12"/>
      <c r="M1532" s="13"/>
    </row>
    <row r="1533" spans="12:13" x14ac:dyDescent="0.2">
      <c r="L1533" s="12"/>
      <c r="M1533" s="13"/>
    </row>
    <row r="1534" spans="12:13" x14ac:dyDescent="0.2">
      <c r="L1534" s="12"/>
      <c r="M1534" s="13"/>
    </row>
    <row r="1535" spans="12:13" x14ac:dyDescent="0.2">
      <c r="L1535" s="12"/>
      <c r="M1535" s="13"/>
    </row>
    <row r="1536" spans="12:13" x14ac:dyDescent="0.2">
      <c r="L1536" s="12"/>
      <c r="M1536" s="13"/>
    </row>
    <row r="1537" spans="12:13" x14ac:dyDescent="0.2">
      <c r="L1537" s="12"/>
      <c r="M1537" s="13"/>
    </row>
    <row r="1538" spans="12:13" x14ac:dyDescent="0.2">
      <c r="L1538" s="17"/>
      <c r="M1538" s="18"/>
    </row>
    <row r="1539" spans="12:13" x14ac:dyDescent="0.2">
      <c r="L1539" s="12"/>
      <c r="M1539" s="13"/>
    </row>
    <row r="1540" spans="12:13" x14ac:dyDescent="0.2">
      <c r="L1540" s="12"/>
      <c r="M1540" s="13"/>
    </row>
    <row r="1541" spans="12:13" x14ac:dyDescent="0.2">
      <c r="L1541" s="12"/>
      <c r="M1541" s="13"/>
    </row>
    <row r="1542" spans="12:13" x14ac:dyDescent="0.2">
      <c r="L1542" s="12"/>
      <c r="M1542" s="13"/>
    </row>
    <row r="1543" spans="12:13" x14ac:dyDescent="0.2">
      <c r="L1543" s="12"/>
      <c r="M1543" s="13"/>
    </row>
    <row r="1544" spans="12:13" x14ac:dyDescent="0.2">
      <c r="L1544" s="12"/>
      <c r="M1544" s="13"/>
    </row>
    <row r="1545" spans="12:13" x14ac:dyDescent="0.2">
      <c r="L1545" s="12"/>
      <c r="M1545" s="13"/>
    </row>
    <row r="1546" spans="12:13" x14ac:dyDescent="0.2">
      <c r="L1546" s="12"/>
      <c r="M1546" s="13"/>
    </row>
    <row r="1547" spans="12:13" x14ac:dyDescent="0.2">
      <c r="L1547" s="12"/>
      <c r="M1547" s="13"/>
    </row>
    <row r="1548" spans="12:13" x14ac:dyDescent="0.2">
      <c r="L1548" s="12"/>
      <c r="M1548" s="13"/>
    </row>
    <row r="1549" spans="12:13" x14ac:dyDescent="0.2">
      <c r="L1549" s="12"/>
      <c r="M1549" s="13"/>
    </row>
    <row r="1550" spans="12:13" x14ac:dyDescent="0.2">
      <c r="L1550" s="12"/>
      <c r="M1550" s="13"/>
    </row>
    <row r="1551" spans="12:13" x14ac:dyDescent="0.2">
      <c r="L1551" s="12"/>
      <c r="M1551" s="13"/>
    </row>
    <row r="1552" spans="12:13" x14ac:dyDescent="0.2">
      <c r="L1552" s="12"/>
      <c r="M1552" s="13"/>
    </row>
    <row r="1553" spans="12:13" x14ac:dyDescent="0.2">
      <c r="L1553" s="12"/>
      <c r="M1553" s="13"/>
    </row>
    <row r="1554" spans="12:13" x14ac:dyDescent="0.2">
      <c r="L1554" s="12"/>
      <c r="M1554" s="13"/>
    </row>
    <row r="1555" spans="12:13" x14ac:dyDescent="0.2">
      <c r="L1555" s="12"/>
      <c r="M1555" s="13"/>
    </row>
    <row r="1556" spans="12:13" x14ac:dyDescent="0.2">
      <c r="L1556" s="12"/>
      <c r="M1556" s="13"/>
    </row>
    <row r="1557" spans="12:13" x14ac:dyDescent="0.2">
      <c r="L1557" s="12"/>
      <c r="M1557" s="13"/>
    </row>
    <row r="1558" spans="12:13" x14ac:dyDescent="0.2">
      <c r="L1558" s="12"/>
      <c r="M1558" s="13"/>
    </row>
    <row r="1559" spans="12:13" x14ac:dyDescent="0.2">
      <c r="L1559" s="12"/>
      <c r="M1559" s="13"/>
    </row>
    <row r="1560" spans="12:13" x14ac:dyDescent="0.2">
      <c r="L1560" s="12"/>
      <c r="M1560" s="13"/>
    </row>
    <row r="1561" spans="12:13" x14ac:dyDescent="0.2">
      <c r="L1561" s="12"/>
      <c r="M1561" s="13"/>
    </row>
    <row r="1562" spans="12:13" x14ac:dyDescent="0.2">
      <c r="L1562" s="12"/>
      <c r="M1562" s="13"/>
    </row>
    <row r="1563" spans="12:13" x14ac:dyDescent="0.2">
      <c r="L1563" s="12"/>
      <c r="M1563" s="13"/>
    </row>
    <row r="1564" spans="12:13" x14ac:dyDescent="0.2">
      <c r="L1564" s="12"/>
      <c r="M1564" s="13"/>
    </row>
    <row r="1565" spans="12:13" x14ac:dyDescent="0.2">
      <c r="L1565" s="12"/>
      <c r="M1565" s="13"/>
    </row>
    <row r="1566" spans="12:13" x14ac:dyDescent="0.2">
      <c r="L1566" s="12"/>
      <c r="M1566" s="13"/>
    </row>
    <row r="1567" spans="12:13" x14ac:dyDescent="0.2">
      <c r="L1567" s="12"/>
      <c r="M1567" s="13"/>
    </row>
    <row r="1568" spans="12:13" x14ac:dyDescent="0.2">
      <c r="L1568" s="12"/>
      <c r="M1568" s="13"/>
    </row>
    <row r="1569" spans="12:13" x14ac:dyDescent="0.2">
      <c r="L1569" s="12"/>
      <c r="M1569" s="13"/>
    </row>
    <row r="1570" spans="12:13" x14ac:dyDescent="0.2">
      <c r="L1570" s="12"/>
      <c r="M1570" s="13"/>
    </row>
    <row r="1571" spans="12:13" x14ac:dyDescent="0.2">
      <c r="L1571" s="12"/>
      <c r="M1571" s="13"/>
    </row>
    <row r="1572" spans="12:13" x14ac:dyDescent="0.2">
      <c r="L1572" s="12"/>
      <c r="M1572" s="13"/>
    </row>
    <row r="1573" spans="12:13" x14ac:dyDescent="0.2">
      <c r="L1573" s="12"/>
      <c r="M1573" s="13"/>
    </row>
    <row r="1574" spans="12:13" x14ac:dyDescent="0.2">
      <c r="L1574" s="12"/>
      <c r="M1574" s="13"/>
    </row>
    <row r="1575" spans="12:13" x14ac:dyDescent="0.2">
      <c r="L1575" s="12"/>
      <c r="M1575" s="13"/>
    </row>
    <row r="1576" spans="12:13" x14ac:dyDescent="0.2">
      <c r="L1576" s="12"/>
      <c r="M1576" s="13"/>
    </row>
    <row r="1577" spans="12:13" x14ac:dyDescent="0.2">
      <c r="L1577" s="12"/>
      <c r="M1577" s="13"/>
    </row>
    <row r="1578" spans="12:13" x14ac:dyDescent="0.2">
      <c r="L1578" s="12"/>
      <c r="M1578" s="13"/>
    </row>
    <row r="1579" spans="12:13" x14ac:dyDescent="0.2">
      <c r="L1579" s="12"/>
      <c r="M1579" s="13"/>
    </row>
    <row r="1580" spans="12:13" x14ac:dyDescent="0.2">
      <c r="L1580" s="12"/>
      <c r="M1580" s="13"/>
    </row>
    <row r="1581" spans="12:13" x14ac:dyDescent="0.2">
      <c r="L1581" s="12"/>
      <c r="M1581" s="13"/>
    </row>
    <row r="1582" spans="12:13" x14ac:dyDescent="0.2">
      <c r="L1582" s="12"/>
      <c r="M1582" s="13"/>
    </row>
    <row r="1583" spans="12:13" x14ac:dyDescent="0.2">
      <c r="L1583" s="12"/>
      <c r="M1583" s="13"/>
    </row>
    <row r="1584" spans="12:13" x14ac:dyDescent="0.2">
      <c r="L1584" s="12"/>
      <c r="M1584" s="13"/>
    </row>
    <row r="1585" spans="12:13" x14ac:dyDescent="0.2">
      <c r="L1585" s="12"/>
      <c r="M1585" s="13"/>
    </row>
    <row r="1586" spans="12:13" x14ac:dyDescent="0.2">
      <c r="L1586" s="12"/>
      <c r="M1586" s="13"/>
    </row>
    <row r="1587" spans="12:13" x14ac:dyDescent="0.2">
      <c r="L1587" s="12"/>
      <c r="M1587" s="13"/>
    </row>
    <row r="1588" spans="12:13" x14ac:dyDescent="0.2">
      <c r="L1588" s="12"/>
      <c r="M1588" s="13"/>
    </row>
    <row r="1589" spans="12:13" x14ac:dyDescent="0.2">
      <c r="L1589" s="12"/>
      <c r="M1589" s="13"/>
    </row>
    <row r="1590" spans="12:13" x14ac:dyDescent="0.2">
      <c r="L1590" s="12"/>
      <c r="M1590" s="13"/>
    </row>
    <row r="1591" spans="12:13" x14ac:dyDescent="0.2">
      <c r="L1591" s="12"/>
      <c r="M1591" s="13"/>
    </row>
    <row r="1592" spans="12:13" x14ac:dyDescent="0.2">
      <c r="L1592" s="12"/>
      <c r="M1592" s="13"/>
    </row>
    <row r="1593" spans="12:13" x14ac:dyDescent="0.2">
      <c r="L1593" s="12"/>
      <c r="M1593" s="13"/>
    </row>
    <row r="1594" spans="12:13" x14ac:dyDescent="0.2">
      <c r="L1594" s="12"/>
      <c r="M1594" s="13"/>
    </row>
    <row r="1595" spans="12:13" x14ac:dyDescent="0.2">
      <c r="L1595" s="12"/>
      <c r="M1595" s="13"/>
    </row>
    <row r="1596" spans="12:13" x14ac:dyDescent="0.2">
      <c r="L1596" s="12"/>
      <c r="M1596" s="13"/>
    </row>
    <row r="1597" spans="12:13" x14ac:dyDescent="0.2">
      <c r="L1597" s="12"/>
      <c r="M1597" s="13"/>
    </row>
    <row r="1598" spans="12:13" x14ac:dyDescent="0.2">
      <c r="L1598" s="12"/>
      <c r="M1598" s="13"/>
    </row>
    <row r="1599" spans="12:13" x14ac:dyDescent="0.2">
      <c r="L1599" s="12"/>
      <c r="M1599" s="13"/>
    </row>
    <row r="1600" spans="12:13" x14ac:dyDescent="0.2">
      <c r="L1600" s="12"/>
      <c r="M1600" s="13"/>
    </row>
    <row r="1601" spans="12:13" x14ac:dyDescent="0.2">
      <c r="L1601" s="12"/>
      <c r="M1601" s="13"/>
    </row>
    <row r="1602" spans="12:13" x14ac:dyDescent="0.2">
      <c r="L1602" s="12"/>
      <c r="M1602" s="13"/>
    </row>
    <row r="1603" spans="12:13" x14ac:dyDescent="0.2">
      <c r="L1603" s="12"/>
      <c r="M1603" s="13"/>
    </row>
    <row r="1604" spans="12:13" x14ac:dyDescent="0.2">
      <c r="L1604" s="12"/>
      <c r="M1604" s="13"/>
    </row>
    <row r="1605" spans="12:13" x14ac:dyDescent="0.2">
      <c r="L1605" s="12"/>
      <c r="M1605" s="13"/>
    </row>
    <row r="1606" spans="12:13" x14ac:dyDescent="0.2">
      <c r="L1606" s="12"/>
      <c r="M1606" s="13"/>
    </row>
    <row r="1607" spans="12:13" x14ac:dyDescent="0.2">
      <c r="L1607" s="12"/>
      <c r="M1607" s="13"/>
    </row>
    <row r="1608" spans="12:13" x14ac:dyDescent="0.2">
      <c r="L1608" s="12"/>
      <c r="M1608" s="13"/>
    </row>
    <row r="1609" spans="12:13" x14ac:dyDescent="0.2">
      <c r="L1609" s="12"/>
      <c r="M1609" s="13"/>
    </row>
    <row r="1610" spans="12:13" x14ac:dyDescent="0.2">
      <c r="L1610" s="12"/>
      <c r="M1610" s="13"/>
    </row>
    <row r="1611" spans="12:13" x14ac:dyDescent="0.2">
      <c r="L1611" s="12"/>
      <c r="M1611" s="13"/>
    </row>
    <row r="1612" spans="12:13" x14ac:dyDescent="0.2">
      <c r="L1612" s="12"/>
      <c r="M1612" s="13"/>
    </row>
    <row r="1613" spans="12:13" x14ac:dyDescent="0.2">
      <c r="L1613" s="12"/>
      <c r="M1613" s="13"/>
    </row>
    <row r="1614" spans="12:13" x14ac:dyDescent="0.2">
      <c r="L1614" s="12"/>
      <c r="M1614" s="13"/>
    </row>
    <row r="1615" spans="12:13" x14ac:dyDescent="0.2">
      <c r="L1615" s="12"/>
      <c r="M1615" s="13"/>
    </row>
    <row r="1616" spans="12:13" x14ac:dyDescent="0.2">
      <c r="L1616" s="12"/>
      <c r="M1616" s="13"/>
    </row>
    <row r="1617" spans="12:13" x14ac:dyDescent="0.2">
      <c r="L1617" s="12"/>
      <c r="M1617" s="13"/>
    </row>
    <row r="1618" spans="12:13" x14ac:dyDescent="0.2">
      <c r="L1618" s="12"/>
      <c r="M1618" s="13"/>
    </row>
    <row r="1619" spans="12:13" x14ac:dyDescent="0.2">
      <c r="L1619" s="12"/>
      <c r="M1619" s="13"/>
    </row>
    <row r="1620" spans="12:13" x14ac:dyDescent="0.2">
      <c r="L1620" s="12"/>
      <c r="M1620" s="13"/>
    </row>
    <row r="1621" spans="12:13" x14ac:dyDescent="0.2">
      <c r="L1621" s="12"/>
      <c r="M1621" s="13"/>
    </row>
    <row r="1622" spans="12:13" x14ac:dyDescent="0.2">
      <c r="L1622" s="12"/>
      <c r="M1622" s="13"/>
    </row>
    <row r="1623" spans="12:13" x14ac:dyDescent="0.2">
      <c r="L1623" s="12"/>
      <c r="M1623" s="13"/>
    </row>
    <row r="1624" spans="12:13" x14ac:dyDescent="0.2">
      <c r="L1624" s="12"/>
      <c r="M1624" s="13"/>
    </row>
    <row r="1625" spans="12:13" x14ac:dyDescent="0.2">
      <c r="L1625" s="12"/>
      <c r="M1625" s="13"/>
    </row>
    <row r="1626" spans="12:13" x14ac:dyDescent="0.2">
      <c r="L1626" s="12"/>
      <c r="M1626" s="13"/>
    </row>
    <row r="1627" spans="12:13" x14ac:dyDescent="0.2">
      <c r="L1627" s="12"/>
      <c r="M1627" s="13"/>
    </row>
    <row r="1628" spans="12:13" x14ac:dyDescent="0.2">
      <c r="L1628" s="12"/>
      <c r="M1628" s="13"/>
    </row>
    <row r="1629" spans="12:13" x14ac:dyDescent="0.2">
      <c r="L1629" s="12"/>
      <c r="M1629" s="13"/>
    </row>
    <row r="1630" spans="12:13" x14ac:dyDescent="0.2">
      <c r="L1630" s="12"/>
      <c r="M1630" s="13"/>
    </row>
    <row r="1631" spans="12:13" x14ac:dyDescent="0.2">
      <c r="L1631" s="12"/>
      <c r="M1631" s="13"/>
    </row>
    <row r="1632" spans="12:13" x14ac:dyDescent="0.2">
      <c r="L1632" s="12"/>
      <c r="M1632" s="13"/>
    </row>
    <row r="1633" spans="12:13" x14ac:dyDescent="0.2">
      <c r="L1633" s="12"/>
      <c r="M1633" s="13"/>
    </row>
    <row r="1634" spans="12:13" x14ac:dyDescent="0.2">
      <c r="L1634" s="12"/>
      <c r="M1634" s="13"/>
    </row>
    <row r="1635" spans="12:13" x14ac:dyDescent="0.2">
      <c r="L1635" s="12"/>
      <c r="M1635" s="13"/>
    </row>
    <row r="1636" spans="12:13" x14ac:dyDescent="0.2">
      <c r="L1636" s="12"/>
      <c r="M1636" s="13"/>
    </row>
    <row r="1637" spans="12:13" x14ac:dyDescent="0.2">
      <c r="L1637" s="12"/>
      <c r="M1637" s="13"/>
    </row>
    <row r="1638" spans="12:13" x14ac:dyDescent="0.2">
      <c r="L1638" s="12"/>
      <c r="M1638" s="13"/>
    </row>
    <row r="1639" spans="12:13" x14ac:dyDescent="0.2">
      <c r="L1639" s="12"/>
      <c r="M1639" s="13"/>
    </row>
    <row r="1640" spans="12:13" x14ac:dyDescent="0.2">
      <c r="L1640" s="12"/>
      <c r="M1640" s="13"/>
    </row>
    <row r="1641" spans="12:13" x14ac:dyDescent="0.2">
      <c r="L1641" s="12"/>
      <c r="M1641" s="13"/>
    </row>
    <row r="1642" spans="12:13" x14ac:dyDescent="0.2">
      <c r="L1642" s="12"/>
      <c r="M1642" s="13"/>
    </row>
    <row r="1643" spans="12:13" x14ac:dyDescent="0.2">
      <c r="L1643" s="12"/>
      <c r="M1643" s="13"/>
    </row>
    <row r="1644" spans="12:13" x14ac:dyDescent="0.2">
      <c r="L1644" s="12"/>
      <c r="M1644" s="13"/>
    </row>
    <row r="1645" spans="12:13" x14ac:dyDescent="0.2">
      <c r="L1645" s="12"/>
      <c r="M1645" s="13"/>
    </row>
    <row r="1646" spans="12:13" x14ac:dyDescent="0.2">
      <c r="L1646" s="12"/>
      <c r="M1646" s="13"/>
    </row>
    <row r="1647" spans="12:13" x14ac:dyDescent="0.2">
      <c r="L1647" s="12"/>
      <c r="M1647" s="13"/>
    </row>
    <row r="1648" spans="12:13" x14ac:dyDescent="0.2">
      <c r="L1648" s="12"/>
      <c r="M1648" s="13"/>
    </row>
    <row r="1649" spans="12:13" x14ac:dyDescent="0.2">
      <c r="L1649" s="12"/>
      <c r="M1649" s="13"/>
    </row>
    <row r="1650" spans="12:13" x14ac:dyDescent="0.2">
      <c r="L1650" s="12"/>
      <c r="M1650" s="13"/>
    </row>
    <row r="1651" spans="12:13" x14ac:dyDescent="0.2">
      <c r="L1651" s="12"/>
      <c r="M1651" s="13"/>
    </row>
    <row r="1652" spans="12:13" x14ac:dyDescent="0.2">
      <c r="L1652" s="12"/>
      <c r="M1652" s="13"/>
    </row>
    <row r="1653" spans="12:13" x14ac:dyDescent="0.2">
      <c r="L1653" s="12"/>
      <c r="M1653" s="13"/>
    </row>
    <row r="1654" spans="12:13" x14ac:dyDescent="0.2">
      <c r="L1654" s="12"/>
      <c r="M1654" s="13"/>
    </row>
    <row r="1655" spans="12:13" x14ac:dyDescent="0.2">
      <c r="L1655" s="12"/>
      <c r="M1655" s="13"/>
    </row>
    <row r="1656" spans="12:13" x14ac:dyDescent="0.2">
      <c r="L1656" s="12"/>
      <c r="M1656" s="13"/>
    </row>
    <row r="1657" spans="12:13" x14ac:dyDescent="0.2">
      <c r="L1657" s="12"/>
      <c r="M1657" s="13"/>
    </row>
    <row r="1658" spans="12:13" x14ac:dyDescent="0.2">
      <c r="L1658" s="12"/>
      <c r="M1658" s="13"/>
    </row>
    <row r="1659" spans="12:13" x14ac:dyDescent="0.2">
      <c r="L1659" s="12"/>
      <c r="M1659" s="13"/>
    </row>
    <row r="1660" spans="12:13" x14ac:dyDescent="0.2">
      <c r="L1660" s="12"/>
      <c r="M1660" s="13"/>
    </row>
    <row r="1661" spans="12:13" x14ac:dyDescent="0.2">
      <c r="L1661" s="12"/>
      <c r="M1661" s="13"/>
    </row>
    <row r="1662" spans="12:13" x14ac:dyDescent="0.2">
      <c r="L1662" s="12"/>
      <c r="M1662" s="13"/>
    </row>
    <row r="1663" spans="12:13" x14ac:dyDescent="0.2">
      <c r="L1663" s="12"/>
      <c r="M1663" s="13"/>
    </row>
    <row r="1664" spans="12:13" x14ac:dyDescent="0.2">
      <c r="L1664" s="12"/>
      <c r="M1664" s="13"/>
    </row>
    <row r="1665" spans="12:13" x14ac:dyDescent="0.2">
      <c r="L1665" s="12"/>
      <c r="M1665" s="13"/>
    </row>
    <row r="1666" spans="12:13" x14ac:dyDescent="0.2">
      <c r="L1666" s="12"/>
      <c r="M1666" s="13"/>
    </row>
    <row r="1667" spans="12:13" x14ac:dyDescent="0.2">
      <c r="L1667" s="12"/>
      <c r="M1667" s="13"/>
    </row>
    <row r="1668" spans="12:13" x14ac:dyDescent="0.2">
      <c r="L1668" s="12"/>
      <c r="M1668" s="13"/>
    </row>
    <row r="1669" spans="12:13" x14ac:dyDescent="0.2">
      <c r="L1669" s="12"/>
      <c r="M1669" s="13"/>
    </row>
    <row r="1670" spans="12:13" x14ac:dyDescent="0.2">
      <c r="L1670" s="12"/>
      <c r="M1670" s="13"/>
    </row>
    <row r="1671" spans="12:13" x14ac:dyDescent="0.2">
      <c r="L1671" s="12"/>
      <c r="M1671" s="13"/>
    </row>
    <row r="1672" spans="12:13" x14ac:dyDescent="0.2">
      <c r="L1672" s="12"/>
      <c r="M1672" s="13"/>
    </row>
    <row r="1673" spans="12:13" x14ac:dyDescent="0.2">
      <c r="L1673" s="12"/>
      <c r="M1673" s="13"/>
    </row>
    <row r="1674" spans="12:13" x14ac:dyDescent="0.2">
      <c r="L1674" s="12"/>
      <c r="M1674" s="13"/>
    </row>
    <row r="1675" spans="12:13" x14ac:dyDescent="0.2">
      <c r="L1675" s="12"/>
      <c r="M1675" s="13"/>
    </row>
    <row r="1676" spans="12:13" x14ac:dyDescent="0.2">
      <c r="L1676" s="12"/>
      <c r="M1676" s="13"/>
    </row>
    <row r="1677" spans="12:13" x14ac:dyDescent="0.2">
      <c r="L1677" s="12"/>
      <c r="M1677" s="13"/>
    </row>
    <row r="1678" spans="12:13" x14ac:dyDescent="0.2">
      <c r="L1678" s="12"/>
      <c r="M1678" s="13"/>
    </row>
    <row r="1679" spans="12:13" x14ac:dyDescent="0.2">
      <c r="L1679" s="12"/>
      <c r="M1679" s="13"/>
    </row>
    <row r="1680" spans="12:13" x14ac:dyDescent="0.2">
      <c r="L1680" s="12"/>
      <c r="M1680" s="13"/>
    </row>
    <row r="1681" spans="12:13" x14ac:dyDescent="0.2">
      <c r="L1681" s="12"/>
      <c r="M1681" s="13"/>
    </row>
    <row r="1682" spans="12:13" x14ac:dyDescent="0.2">
      <c r="L1682" s="12"/>
      <c r="M1682" s="13"/>
    </row>
    <row r="1683" spans="12:13" x14ac:dyDescent="0.2">
      <c r="L1683" s="12"/>
      <c r="M1683" s="13"/>
    </row>
    <row r="1684" spans="12:13" x14ac:dyDescent="0.2">
      <c r="L1684" s="12"/>
      <c r="M1684" s="13"/>
    </row>
    <row r="1685" spans="12:13" x14ac:dyDescent="0.2">
      <c r="L1685" s="12"/>
      <c r="M1685" s="13"/>
    </row>
    <row r="1686" spans="12:13" x14ac:dyDescent="0.2">
      <c r="L1686" s="12"/>
      <c r="M1686" s="13"/>
    </row>
    <row r="1687" spans="12:13" x14ac:dyDescent="0.2">
      <c r="L1687" s="12"/>
      <c r="M1687" s="13"/>
    </row>
    <row r="1688" spans="12:13" x14ac:dyDescent="0.2">
      <c r="L1688" s="12"/>
      <c r="M1688" s="13"/>
    </row>
    <row r="1689" spans="12:13" x14ac:dyDescent="0.2">
      <c r="L1689" s="12"/>
      <c r="M1689" s="13"/>
    </row>
    <row r="1690" spans="12:13" x14ac:dyDescent="0.2">
      <c r="L1690" s="12"/>
      <c r="M1690" s="13"/>
    </row>
    <row r="1691" spans="12:13" x14ac:dyDescent="0.2">
      <c r="L1691" s="12"/>
      <c r="M1691" s="13"/>
    </row>
    <row r="1692" spans="12:13" x14ac:dyDescent="0.2">
      <c r="L1692" s="12"/>
      <c r="M1692" s="13"/>
    </row>
    <row r="1693" spans="12:13" x14ac:dyDescent="0.2">
      <c r="L1693" s="12"/>
      <c r="M1693" s="13"/>
    </row>
    <row r="1694" spans="12:13" x14ac:dyDescent="0.2">
      <c r="L1694" s="12"/>
      <c r="M1694" s="13"/>
    </row>
    <row r="1695" spans="12:13" x14ac:dyDescent="0.2">
      <c r="L1695" s="12"/>
      <c r="M1695" s="13"/>
    </row>
    <row r="1696" spans="12:13" x14ac:dyDescent="0.2">
      <c r="L1696" s="12"/>
      <c r="M1696" s="13"/>
    </row>
    <row r="1697" spans="12:13" x14ac:dyDescent="0.2">
      <c r="L1697" s="12"/>
      <c r="M1697" s="13"/>
    </row>
    <row r="1698" spans="12:13" x14ac:dyDescent="0.2">
      <c r="L1698" s="12"/>
      <c r="M1698" s="13"/>
    </row>
    <row r="1699" spans="12:13" x14ac:dyDescent="0.2">
      <c r="L1699" s="12"/>
      <c r="M1699" s="13"/>
    </row>
    <row r="1700" spans="12:13" x14ac:dyDescent="0.2">
      <c r="L1700" s="12"/>
      <c r="M1700" s="13"/>
    </row>
    <row r="1701" spans="12:13" x14ac:dyDescent="0.2">
      <c r="L1701" s="12"/>
      <c r="M1701" s="13"/>
    </row>
    <row r="1702" spans="12:13" x14ac:dyDescent="0.2">
      <c r="L1702" s="12"/>
      <c r="M1702" s="13"/>
    </row>
    <row r="1703" spans="12:13" x14ac:dyDescent="0.2">
      <c r="L1703" s="12"/>
      <c r="M1703" s="13"/>
    </row>
    <row r="1704" spans="12:13" x14ac:dyDescent="0.2">
      <c r="L1704" s="12"/>
      <c r="M1704" s="13"/>
    </row>
    <row r="1705" spans="12:13" x14ac:dyDescent="0.2">
      <c r="L1705" s="12"/>
      <c r="M1705" s="13"/>
    </row>
    <row r="1706" spans="12:13" x14ac:dyDescent="0.2">
      <c r="L1706" s="12"/>
      <c r="M1706" s="13"/>
    </row>
    <row r="1707" spans="12:13" x14ac:dyDescent="0.2">
      <c r="L1707" s="12"/>
      <c r="M1707" s="13"/>
    </row>
    <row r="1708" spans="12:13" x14ac:dyDescent="0.2">
      <c r="L1708" s="12"/>
      <c r="M1708" s="13"/>
    </row>
    <row r="1709" spans="12:13" x14ac:dyDescent="0.2">
      <c r="L1709" s="12"/>
      <c r="M1709" s="13"/>
    </row>
    <row r="1710" spans="12:13" x14ac:dyDescent="0.2">
      <c r="L1710" s="12"/>
      <c r="M1710" s="13"/>
    </row>
    <row r="1711" spans="12:13" x14ac:dyDescent="0.2">
      <c r="L1711" s="12"/>
      <c r="M1711" s="13"/>
    </row>
    <row r="1712" spans="12:13" x14ac:dyDescent="0.2">
      <c r="L1712" s="12"/>
      <c r="M1712" s="13"/>
    </row>
    <row r="1713" spans="12:13" x14ac:dyDescent="0.2">
      <c r="L1713" s="12"/>
      <c r="M1713" s="13"/>
    </row>
    <row r="1714" spans="12:13" x14ac:dyDescent="0.2">
      <c r="L1714" s="12"/>
      <c r="M1714" s="13"/>
    </row>
    <row r="1715" spans="12:13" x14ac:dyDescent="0.2">
      <c r="L1715" s="12"/>
      <c r="M1715" s="13"/>
    </row>
    <row r="1716" spans="12:13" x14ac:dyDescent="0.2">
      <c r="L1716" s="12"/>
      <c r="M1716" s="13"/>
    </row>
    <row r="1717" spans="12:13" x14ac:dyDescent="0.2">
      <c r="L1717" s="12"/>
      <c r="M1717" s="13"/>
    </row>
    <row r="1718" spans="12:13" x14ac:dyDescent="0.2">
      <c r="L1718" s="12"/>
      <c r="M1718" s="13"/>
    </row>
    <row r="1719" spans="12:13" x14ac:dyDescent="0.2">
      <c r="L1719" s="12"/>
      <c r="M1719" s="13"/>
    </row>
    <row r="1720" spans="12:13" x14ac:dyDescent="0.2">
      <c r="L1720" s="12"/>
      <c r="M1720" s="13"/>
    </row>
    <row r="1721" spans="12:13" x14ac:dyDescent="0.2">
      <c r="L1721" s="12"/>
      <c r="M1721" s="13"/>
    </row>
    <row r="1722" spans="12:13" x14ac:dyDescent="0.2">
      <c r="L1722" s="12"/>
      <c r="M1722" s="13"/>
    </row>
    <row r="1723" spans="12:13" x14ac:dyDescent="0.2">
      <c r="L1723" s="12"/>
      <c r="M1723" s="13"/>
    </row>
    <row r="1724" spans="12:13" x14ac:dyDescent="0.2">
      <c r="L1724" s="12"/>
      <c r="M1724" s="13"/>
    </row>
    <row r="1725" spans="12:13" x14ac:dyDescent="0.2">
      <c r="L1725" s="12"/>
      <c r="M1725" s="13"/>
    </row>
    <row r="1726" spans="12:13" x14ac:dyDescent="0.2">
      <c r="L1726" s="12"/>
      <c r="M1726" s="13"/>
    </row>
    <row r="1727" spans="12:13" x14ac:dyDescent="0.2">
      <c r="L1727" s="12"/>
      <c r="M1727" s="13"/>
    </row>
    <row r="1728" spans="12:13" x14ac:dyDescent="0.2">
      <c r="L1728" s="12"/>
      <c r="M1728" s="13"/>
    </row>
    <row r="1729" spans="12:13" x14ac:dyDescent="0.2">
      <c r="L1729" s="12"/>
      <c r="M1729" s="13"/>
    </row>
    <row r="1730" spans="12:13" x14ac:dyDescent="0.2">
      <c r="L1730" s="12"/>
      <c r="M1730" s="13"/>
    </row>
    <row r="1731" spans="12:13" x14ac:dyDescent="0.2">
      <c r="L1731" s="12"/>
      <c r="M1731" s="13"/>
    </row>
    <row r="1732" spans="12:13" x14ac:dyDescent="0.2">
      <c r="L1732" s="12"/>
      <c r="M1732" s="13"/>
    </row>
    <row r="1733" spans="12:13" x14ac:dyDescent="0.2">
      <c r="L1733" s="12"/>
      <c r="M1733" s="13"/>
    </row>
    <row r="1734" spans="12:13" x14ac:dyDescent="0.2">
      <c r="L1734" s="12"/>
      <c r="M1734" s="13"/>
    </row>
    <row r="1735" spans="12:13" x14ac:dyDescent="0.2">
      <c r="L1735" s="12"/>
      <c r="M1735" s="13"/>
    </row>
    <row r="1736" spans="12:13" x14ac:dyDescent="0.2">
      <c r="L1736" s="12"/>
      <c r="M1736" s="13"/>
    </row>
    <row r="1737" spans="12:13" x14ac:dyDescent="0.2">
      <c r="L1737" s="12"/>
      <c r="M1737" s="13"/>
    </row>
    <row r="1738" spans="12:13" x14ac:dyDescent="0.2">
      <c r="L1738" s="12"/>
      <c r="M1738" s="13"/>
    </row>
    <row r="1739" spans="12:13" x14ac:dyDescent="0.2">
      <c r="L1739" s="12"/>
      <c r="M1739" s="13"/>
    </row>
    <row r="1740" spans="12:13" x14ac:dyDescent="0.2">
      <c r="L1740" s="12"/>
      <c r="M1740" s="13"/>
    </row>
    <row r="1741" spans="12:13" x14ac:dyDescent="0.2">
      <c r="L1741" s="12"/>
      <c r="M1741" s="13"/>
    </row>
    <row r="1742" spans="12:13" x14ac:dyDescent="0.2">
      <c r="L1742" s="12"/>
      <c r="M1742" s="13"/>
    </row>
    <row r="1743" spans="12:13" x14ac:dyDescent="0.2">
      <c r="L1743" s="12"/>
      <c r="M1743" s="13"/>
    </row>
    <row r="1744" spans="12:13" x14ac:dyDescent="0.2">
      <c r="L1744" s="12"/>
      <c r="M1744" s="13"/>
    </row>
    <row r="1745" spans="12:13" x14ac:dyDescent="0.2">
      <c r="L1745" s="12"/>
      <c r="M1745" s="13"/>
    </row>
    <row r="1746" spans="12:13" x14ac:dyDescent="0.2">
      <c r="L1746" s="12"/>
      <c r="M1746" s="13"/>
    </row>
    <row r="1747" spans="12:13" x14ac:dyDescent="0.2">
      <c r="L1747" s="12"/>
      <c r="M1747" s="13"/>
    </row>
    <row r="1748" spans="12:13" x14ac:dyDescent="0.2">
      <c r="L1748" s="12"/>
      <c r="M1748" s="13"/>
    </row>
    <row r="1749" spans="12:13" x14ac:dyDescent="0.2">
      <c r="L1749" s="12"/>
      <c r="M1749" s="13"/>
    </row>
    <row r="1750" spans="12:13" x14ac:dyDescent="0.2">
      <c r="L1750" s="12"/>
      <c r="M1750" s="13"/>
    </row>
    <row r="1751" spans="12:13" x14ac:dyDescent="0.2">
      <c r="L1751" s="12"/>
      <c r="M1751" s="13"/>
    </row>
    <row r="1752" spans="12:13" x14ac:dyDescent="0.2">
      <c r="L1752" s="12"/>
      <c r="M1752" s="13"/>
    </row>
    <row r="1753" spans="12:13" x14ac:dyDescent="0.2">
      <c r="L1753" s="12"/>
      <c r="M1753" s="13"/>
    </row>
    <row r="1754" spans="12:13" x14ac:dyDescent="0.2">
      <c r="L1754" s="12"/>
      <c r="M1754" s="13"/>
    </row>
    <row r="1755" spans="12:13" x14ac:dyDescent="0.2">
      <c r="L1755" s="12"/>
      <c r="M1755" s="13"/>
    </row>
    <row r="1756" spans="12:13" x14ac:dyDescent="0.2">
      <c r="L1756" s="12"/>
      <c r="M1756" s="13"/>
    </row>
    <row r="1757" spans="12:13" x14ac:dyDescent="0.2">
      <c r="L1757" s="12"/>
      <c r="M1757" s="13"/>
    </row>
    <row r="1758" spans="12:13" x14ac:dyDescent="0.2">
      <c r="L1758" s="12"/>
      <c r="M1758" s="13"/>
    </row>
    <row r="1759" spans="12:13" x14ac:dyDescent="0.2">
      <c r="L1759" s="12"/>
      <c r="M1759" s="13"/>
    </row>
    <row r="1760" spans="12:13" x14ac:dyDescent="0.2">
      <c r="L1760" s="12"/>
      <c r="M1760" s="13"/>
    </row>
    <row r="1761" spans="12:13" x14ac:dyDescent="0.2">
      <c r="L1761" s="12"/>
      <c r="M1761" s="13"/>
    </row>
    <row r="1762" spans="12:13" x14ac:dyDescent="0.2">
      <c r="L1762" s="12"/>
      <c r="M1762" s="13"/>
    </row>
    <row r="1763" spans="12:13" x14ac:dyDescent="0.2">
      <c r="L1763" s="12"/>
      <c r="M1763" s="13"/>
    </row>
    <row r="1764" spans="12:13" x14ac:dyDescent="0.2">
      <c r="L1764" s="12"/>
      <c r="M1764" s="13"/>
    </row>
    <row r="1765" spans="12:13" x14ac:dyDescent="0.2">
      <c r="L1765" s="12"/>
      <c r="M1765" s="13"/>
    </row>
    <row r="1766" spans="12:13" x14ac:dyDescent="0.2">
      <c r="L1766" s="12"/>
      <c r="M1766" s="13"/>
    </row>
    <row r="1767" spans="12:13" x14ac:dyDescent="0.2">
      <c r="L1767" s="12"/>
      <c r="M1767" s="13"/>
    </row>
    <row r="1768" spans="12:13" x14ac:dyDescent="0.2">
      <c r="L1768" s="12"/>
      <c r="M1768" s="13"/>
    </row>
    <row r="1769" spans="12:13" x14ac:dyDescent="0.2">
      <c r="L1769" s="12"/>
      <c r="M1769" s="13"/>
    </row>
    <row r="1770" spans="12:13" x14ac:dyDescent="0.2">
      <c r="L1770" s="12"/>
      <c r="M1770" s="13"/>
    </row>
    <row r="1771" spans="12:13" x14ac:dyDescent="0.2">
      <c r="L1771" s="12"/>
      <c r="M1771" s="13"/>
    </row>
    <row r="1772" spans="12:13" x14ac:dyDescent="0.2">
      <c r="L1772" s="12"/>
      <c r="M1772" s="13"/>
    </row>
    <row r="1773" spans="12:13" x14ac:dyDescent="0.2">
      <c r="L1773" s="12"/>
      <c r="M1773" s="13"/>
    </row>
    <row r="1774" spans="12:13" x14ac:dyDescent="0.2">
      <c r="L1774" s="12"/>
      <c r="M1774" s="13"/>
    </row>
    <row r="1775" spans="12:13" x14ac:dyDescent="0.2">
      <c r="L1775" s="12"/>
      <c r="M1775" s="13"/>
    </row>
    <row r="1776" spans="12:13" x14ac:dyDescent="0.2">
      <c r="L1776" s="12"/>
      <c r="M1776" s="13"/>
    </row>
    <row r="1777" spans="12:13" x14ac:dyDescent="0.2">
      <c r="L1777" s="12"/>
      <c r="M1777" s="13"/>
    </row>
    <row r="1778" spans="12:13" x14ac:dyDescent="0.2">
      <c r="L1778" s="12"/>
      <c r="M1778" s="13"/>
    </row>
    <row r="1779" spans="12:13" x14ac:dyDescent="0.2">
      <c r="L1779" s="12"/>
      <c r="M1779" s="13"/>
    </row>
    <row r="1780" spans="12:13" x14ac:dyDescent="0.2">
      <c r="L1780" s="12"/>
      <c r="M1780" s="13"/>
    </row>
    <row r="1781" spans="12:13" x14ac:dyDescent="0.2">
      <c r="L1781" s="12"/>
      <c r="M1781" s="13"/>
    </row>
    <row r="1782" spans="12:13" x14ac:dyDescent="0.2">
      <c r="L1782" s="12"/>
      <c r="M1782" s="13"/>
    </row>
    <row r="1783" spans="12:13" x14ac:dyDescent="0.2">
      <c r="L1783" s="12"/>
      <c r="M1783" s="13"/>
    </row>
    <row r="1784" spans="12:13" x14ac:dyDescent="0.2">
      <c r="L1784" s="12"/>
      <c r="M1784" s="13"/>
    </row>
    <row r="1785" spans="12:13" x14ac:dyDescent="0.2">
      <c r="L1785" s="12"/>
      <c r="M1785" s="13"/>
    </row>
    <row r="1786" spans="12:13" x14ac:dyDescent="0.2">
      <c r="L1786" s="12"/>
      <c r="M1786" s="13"/>
    </row>
    <row r="1787" spans="12:13" x14ac:dyDescent="0.2">
      <c r="L1787" s="12"/>
      <c r="M1787" s="13"/>
    </row>
    <row r="1788" spans="12:13" x14ac:dyDescent="0.2">
      <c r="L1788" s="12"/>
      <c r="M1788" s="13"/>
    </row>
    <row r="1789" spans="12:13" x14ac:dyDescent="0.2">
      <c r="L1789" s="12"/>
      <c r="M1789" s="13"/>
    </row>
    <row r="1790" spans="12:13" x14ac:dyDescent="0.2">
      <c r="L1790" s="12"/>
      <c r="M1790" s="13"/>
    </row>
    <row r="1791" spans="12:13" x14ac:dyDescent="0.2">
      <c r="L1791" s="12"/>
      <c r="M1791" s="13"/>
    </row>
    <row r="1792" spans="12:13" x14ac:dyDescent="0.2">
      <c r="L1792" s="12"/>
      <c r="M1792" s="13"/>
    </row>
    <row r="1793" spans="12:13" x14ac:dyDescent="0.2">
      <c r="L1793" s="12"/>
      <c r="M1793" s="13"/>
    </row>
    <row r="1794" spans="12:13" x14ac:dyDescent="0.2">
      <c r="L1794" s="17"/>
      <c r="M1794" s="18"/>
    </row>
    <row r="1795" spans="12:13" x14ac:dyDescent="0.2">
      <c r="L1795" s="12"/>
      <c r="M1795" s="13"/>
    </row>
    <row r="1796" spans="12:13" x14ac:dyDescent="0.2">
      <c r="L1796" s="12"/>
      <c r="M1796" s="13"/>
    </row>
    <row r="1797" spans="12:13" x14ac:dyDescent="0.2">
      <c r="L1797" s="12"/>
      <c r="M1797" s="13"/>
    </row>
    <row r="1798" spans="12:13" x14ac:dyDescent="0.2">
      <c r="L1798" s="12"/>
      <c r="M1798" s="13"/>
    </row>
    <row r="1799" spans="12:13" x14ac:dyDescent="0.2">
      <c r="L1799" s="12"/>
      <c r="M1799" s="13"/>
    </row>
    <row r="1800" spans="12:13" x14ac:dyDescent="0.2">
      <c r="L1800" s="12"/>
      <c r="M1800" s="13"/>
    </row>
    <row r="1801" spans="12:13" x14ac:dyDescent="0.2">
      <c r="L1801" s="12"/>
      <c r="M1801" s="13"/>
    </row>
    <row r="1802" spans="12:13" x14ac:dyDescent="0.2">
      <c r="L1802" s="12"/>
      <c r="M1802" s="13"/>
    </row>
    <row r="1803" spans="12:13" x14ac:dyDescent="0.2">
      <c r="L1803" s="12"/>
      <c r="M1803" s="13"/>
    </row>
    <row r="1804" spans="12:13" x14ac:dyDescent="0.2">
      <c r="L1804" s="12"/>
      <c r="M1804" s="13"/>
    </row>
    <row r="1805" spans="12:13" x14ac:dyDescent="0.2">
      <c r="L1805" s="12"/>
      <c r="M1805" s="13"/>
    </row>
    <row r="1806" spans="12:13" x14ac:dyDescent="0.2">
      <c r="L1806" s="12"/>
      <c r="M1806" s="13"/>
    </row>
    <row r="1807" spans="12:13" x14ac:dyDescent="0.2">
      <c r="L1807" s="12"/>
      <c r="M1807" s="13"/>
    </row>
    <row r="1808" spans="12:13" x14ac:dyDescent="0.2">
      <c r="L1808" s="12"/>
      <c r="M1808" s="13"/>
    </row>
    <row r="1809" spans="12:13" x14ac:dyDescent="0.2">
      <c r="L1809" s="12"/>
      <c r="M1809" s="13"/>
    </row>
    <row r="1810" spans="12:13" x14ac:dyDescent="0.2">
      <c r="L1810" s="12"/>
      <c r="M1810" s="13"/>
    </row>
    <row r="1811" spans="12:13" x14ac:dyDescent="0.2">
      <c r="L1811" s="12"/>
      <c r="M1811" s="13"/>
    </row>
    <row r="1812" spans="12:13" x14ac:dyDescent="0.2">
      <c r="L1812" s="12"/>
      <c r="M1812" s="13"/>
    </row>
    <row r="1813" spans="12:13" x14ac:dyDescent="0.2">
      <c r="L1813" s="12"/>
      <c r="M1813" s="13"/>
    </row>
    <row r="1814" spans="12:13" x14ac:dyDescent="0.2">
      <c r="L1814" s="12"/>
      <c r="M1814" s="13"/>
    </row>
    <row r="1815" spans="12:13" x14ac:dyDescent="0.2">
      <c r="L1815" s="12"/>
      <c r="M1815" s="13"/>
    </row>
    <row r="1816" spans="12:13" x14ac:dyDescent="0.2">
      <c r="L1816" s="12"/>
      <c r="M1816" s="13"/>
    </row>
    <row r="1817" spans="12:13" x14ac:dyDescent="0.2">
      <c r="L1817" s="12"/>
      <c r="M1817" s="13"/>
    </row>
    <row r="1818" spans="12:13" x14ac:dyDescent="0.2">
      <c r="L1818" s="12"/>
      <c r="M1818" s="13"/>
    </row>
    <row r="1819" spans="12:13" x14ac:dyDescent="0.2">
      <c r="L1819" s="12"/>
      <c r="M1819" s="13"/>
    </row>
    <row r="1820" spans="12:13" x14ac:dyDescent="0.2">
      <c r="L1820" s="12"/>
      <c r="M1820" s="13"/>
    </row>
    <row r="1821" spans="12:13" x14ac:dyDescent="0.2">
      <c r="L1821" s="12"/>
      <c r="M1821" s="13"/>
    </row>
    <row r="1822" spans="12:13" x14ac:dyDescent="0.2">
      <c r="L1822" s="12"/>
      <c r="M1822" s="13"/>
    </row>
    <row r="1823" spans="12:13" x14ac:dyDescent="0.2">
      <c r="L1823" s="12"/>
      <c r="M1823" s="13"/>
    </row>
    <row r="1824" spans="12:13" x14ac:dyDescent="0.2">
      <c r="L1824" s="12"/>
      <c r="M1824" s="13"/>
    </row>
    <row r="1825" spans="12:13" x14ac:dyDescent="0.2">
      <c r="L1825" s="12"/>
      <c r="M1825" s="13"/>
    </row>
    <row r="1826" spans="12:13" x14ac:dyDescent="0.2">
      <c r="L1826" s="12"/>
      <c r="M1826" s="13"/>
    </row>
    <row r="1827" spans="12:13" x14ac:dyDescent="0.2">
      <c r="L1827" s="12"/>
      <c r="M1827" s="13"/>
    </row>
    <row r="1828" spans="12:13" x14ac:dyDescent="0.2">
      <c r="L1828" s="12"/>
      <c r="M1828" s="13"/>
    </row>
    <row r="1829" spans="12:13" x14ac:dyDescent="0.2">
      <c r="L1829" s="12"/>
      <c r="M1829" s="13"/>
    </row>
    <row r="1830" spans="12:13" x14ac:dyDescent="0.2">
      <c r="L1830" s="12"/>
      <c r="M1830" s="13"/>
    </row>
    <row r="1831" spans="12:13" x14ac:dyDescent="0.2">
      <c r="L1831" s="12"/>
      <c r="M1831" s="13"/>
    </row>
    <row r="1832" spans="12:13" x14ac:dyDescent="0.2">
      <c r="L1832" s="12"/>
      <c r="M1832" s="13"/>
    </row>
    <row r="1833" spans="12:13" x14ac:dyDescent="0.2">
      <c r="L1833" s="12"/>
      <c r="M1833" s="13"/>
    </row>
    <row r="1834" spans="12:13" x14ac:dyDescent="0.2">
      <c r="L1834" s="12"/>
      <c r="M1834" s="13"/>
    </row>
    <row r="1835" spans="12:13" x14ac:dyDescent="0.2">
      <c r="L1835" s="12"/>
      <c r="M1835" s="13"/>
    </row>
    <row r="1836" spans="12:13" x14ac:dyDescent="0.2">
      <c r="L1836" s="12"/>
      <c r="M1836" s="13"/>
    </row>
    <row r="1837" spans="12:13" x14ac:dyDescent="0.2">
      <c r="L1837" s="12"/>
      <c r="M1837" s="13"/>
    </row>
    <row r="1838" spans="12:13" x14ac:dyDescent="0.2">
      <c r="L1838" s="12"/>
      <c r="M1838" s="13"/>
    </row>
    <row r="1839" spans="12:13" x14ac:dyDescent="0.2">
      <c r="L1839" s="12"/>
      <c r="M1839" s="13"/>
    </row>
    <row r="1840" spans="12:13" x14ac:dyDescent="0.2">
      <c r="L1840" s="12"/>
      <c r="M1840" s="13"/>
    </row>
    <row r="1841" spans="12:13" x14ac:dyDescent="0.2">
      <c r="L1841" s="12"/>
      <c r="M1841" s="13"/>
    </row>
    <row r="1842" spans="12:13" x14ac:dyDescent="0.2">
      <c r="L1842" s="12"/>
      <c r="M1842" s="13"/>
    </row>
    <row r="1843" spans="12:13" x14ac:dyDescent="0.2">
      <c r="L1843" s="12"/>
      <c r="M1843" s="13"/>
    </row>
    <row r="1844" spans="12:13" x14ac:dyDescent="0.2">
      <c r="L1844" s="12"/>
      <c r="M1844" s="13"/>
    </row>
    <row r="1845" spans="12:13" x14ac:dyDescent="0.2">
      <c r="L1845" s="12"/>
      <c r="M1845" s="13"/>
    </row>
    <row r="1846" spans="12:13" x14ac:dyDescent="0.2">
      <c r="L1846" s="12"/>
      <c r="M1846" s="13"/>
    </row>
    <row r="1847" spans="12:13" x14ac:dyDescent="0.2">
      <c r="L1847" s="12"/>
      <c r="M1847" s="13"/>
    </row>
    <row r="1848" spans="12:13" x14ac:dyDescent="0.2">
      <c r="L1848" s="12"/>
      <c r="M1848" s="13"/>
    </row>
    <row r="1849" spans="12:13" x14ac:dyDescent="0.2">
      <c r="L1849" s="12"/>
      <c r="M1849" s="13"/>
    </row>
    <row r="1850" spans="12:13" x14ac:dyDescent="0.2">
      <c r="L1850" s="12"/>
      <c r="M1850" s="13"/>
    </row>
    <row r="1851" spans="12:13" x14ac:dyDescent="0.2">
      <c r="L1851" s="12"/>
      <c r="M1851" s="13"/>
    </row>
    <row r="1852" spans="12:13" x14ac:dyDescent="0.2">
      <c r="L1852" s="12"/>
      <c r="M1852" s="13"/>
    </row>
    <row r="1853" spans="12:13" x14ac:dyDescent="0.2">
      <c r="L1853" s="12"/>
      <c r="M1853" s="13"/>
    </row>
    <row r="1854" spans="12:13" x14ac:dyDescent="0.2">
      <c r="L1854" s="12"/>
      <c r="M1854" s="13"/>
    </row>
    <row r="1855" spans="12:13" x14ac:dyDescent="0.2">
      <c r="L1855" s="12"/>
      <c r="M1855" s="13"/>
    </row>
    <row r="1856" spans="12:13" x14ac:dyDescent="0.2">
      <c r="L1856" s="12"/>
      <c r="M1856" s="13"/>
    </row>
    <row r="1857" spans="12:13" x14ac:dyDescent="0.2">
      <c r="L1857" s="12"/>
      <c r="M1857" s="13"/>
    </row>
    <row r="1858" spans="12:13" x14ac:dyDescent="0.2">
      <c r="L1858" s="12"/>
      <c r="M1858" s="13"/>
    </row>
    <row r="1859" spans="12:13" x14ac:dyDescent="0.2">
      <c r="L1859" s="12"/>
      <c r="M1859" s="13"/>
    </row>
    <row r="1860" spans="12:13" x14ac:dyDescent="0.2">
      <c r="L1860" s="12"/>
      <c r="M1860" s="13"/>
    </row>
    <row r="1861" spans="12:13" x14ac:dyDescent="0.2">
      <c r="L1861" s="12"/>
      <c r="M1861" s="13"/>
    </row>
    <row r="1862" spans="12:13" x14ac:dyDescent="0.2">
      <c r="L1862" s="12"/>
      <c r="M1862" s="13"/>
    </row>
    <row r="1863" spans="12:13" x14ac:dyDescent="0.2">
      <c r="L1863" s="12"/>
      <c r="M1863" s="13"/>
    </row>
    <row r="1864" spans="12:13" x14ac:dyDescent="0.2">
      <c r="L1864" s="12"/>
      <c r="M1864" s="13"/>
    </row>
    <row r="1865" spans="12:13" x14ac:dyDescent="0.2">
      <c r="L1865" s="12"/>
      <c r="M1865" s="13"/>
    </row>
    <row r="1866" spans="12:13" x14ac:dyDescent="0.2">
      <c r="L1866" s="12"/>
      <c r="M1866" s="13"/>
    </row>
    <row r="1867" spans="12:13" x14ac:dyDescent="0.2">
      <c r="L1867" s="12"/>
      <c r="M1867" s="13"/>
    </row>
    <row r="1868" spans="12:13" x14ac:dyDescent="0.2">
      <c r="L1868" s="12"/>
      <c r="M1868" s="13"/>
    </row>
    <row r="1869" spans="12:13" x14ac:dyDescent="0.2">
      <c r="L1869" s="12"/>
      <c r="M1869" s="13"/>
    </row>
    <row r="1870" spans="12:13" x14ac:dyDescent="0.2">
      <c r="L1870" s="12"/>
      <c r="M1870" s="13"/>
    </row>
    <row r="1871" spans="12:13" x14ac:dyDescent="0.2">
      <c r="L1871" s="12"/>
      <c r="M1871" s="13"/>
    </row>
    <row r="1872" spans="12:13" x14ac:dyDescent="0.2">
      <c r="L1872" s="12"/>
      <c r="M1872" s="13"/>
    </row>
    <row r="1873" spans="12:13" x14ac:dyDescent="0.2">
      <c r="L1873" s="12"/>
      <c r="M1873" s="13"/>
    </row>
    <row r="1874" spans="12:13" x14ac:dyDescent="0.2">
      <c r="L1874" s="12"/>
      <c r="M1874" s="13"/>
    </row>
    <row r="1875" spans="12:13" x14ac:dyDescent="0.2">
      <c r="L1875" s="12"/>
      <c r="M1875" s="13"/>
    </row>
    <row r="1876" spans="12:13" x14ac:dyDescent="0.2">
      <c r="L1876" s="12"/>
      <c r="M1876" s="13"/>
    </row>
    <row r="1877" spans="12:13" x14ac:dyDescent="0.2">
      <c r="L1877" s="12"/>
      <c r="M1877" s="13"/>
    </row>
    <row r="1878" spans="12:13" x14ac:dyDescent="0.2">
      <c r="L1878" s="12"/>
      <c r="M1878" s="13"/>
    </row>
    <row r="1879" spans="12:13" x14ac:dyDescent="0.2">
      <c r="L1879" s="12"/>
      <c r="M1879" s="13"/>
    </row>
    <row r="1880" spans="12:13" x14ac:dyDescent="0.2">
      <c r="L1880" s="12"/>
      <c r="M1880" s="13"/>
    </row>
    <row r="1881" spans="12:13" x14ac:dyDescent="0.2">
      <c r="L1881" s="12"/>
      <c r="M1881" s="13"/>
    </row>
    <row r="1882" spans="12:13" x14ac:dyDescent="0.2">
      <c r="L1882" s="12"/>
      <c r="M1882" s="13"/>
    </row>
    <row r="1883" spans="12:13" x14ac:dyDescent="0.2">
      <c r="L1883" s="12"/>
      <c r="M1883" s="13"/>
    </row>
    <row r="1884" spans="12:13" x14ac:dyDescent="0.2">
      <c r="L1884" s="12"/>
      <c r="M1884" s="13"/>
    </row>
    <row r="1885" spans="12:13" x14ac:dyDescent="0.2">
      <c r="L1885" s="12"/>
      <c r="M1885" s="13"/>
    </row>
    <row r="1886" spans="12:13" x14ac:dyDescent="0.2">
      <c r="L1886" s="12"/>
      <c r="M1886" s="13"/>
    </row>
    <row r="1887" spans="12:13" x14ac:dyDescent="0.2">
      <c r="L1887" s="12"/>
      <c r="M1887" s="13"/>
    </row>
    <row r="1888" spans="12:13" x14ac:dyDescent="0.2">
      <c r="L1888" s="12"/>
      <c r="M1888" s="13"/>
    </row>
    <row r="1889" spans="12:13" x14ac:dyDescent="0.2">
      <c r="L1889" s="12"/>
      <c r="M1889" s="13"/>
    </row>
    <row r="1890" spans="12:13" x14ac:dyDescent="0.2">
      <c r="L1890" s="12"/>
      <c r="M1890" s="13"/>
    </row>
    <row r="1891" spans="12:13" x14ac:dyDescent="0.2">
      <c r="L1891" s="12"/>
      <c r="M1891" s="13"/>
    </row>
    <row r="1892" spans="12:13" x14ac:dyDescent="0.2">
      <c r="L1892" s="12"/>
      <c r="M1892" s="13"/>
    </row>
    <row r="1893" spans="12:13" x14ac:dyDescent="0.2">
      <c r="L1893" s="12"/>
      <c r="M1893" s="13"/>
    </row>
    <row r="1894" spans="12:13" x14ac:dyDescent="0.2">
      <c r="L1894" s="12"/>
      <c r="M1894" s="13"/>
    </row>
    <row r="1895" spans="12:13" x14ac:dyDescent="0.2">
      <c r="L1895" s="12"/>
      <c r="M1895" s="13"/>
    </row>
    <row r="1896" spans="12:13" x14ac:dyDescent="0.2">
      <c r="L1896" s="12"/>
      <c r="M1896" s="13"/>
    </row>
    <row r="1897" spans="12:13" x14ac:dyDescent="0.2">
      <c r="L1897" s="12"/>
      <c r="M1897" s="13"/>
    </row>
    <row r="1898" spans="12:13" x14ac:dyDescent="0.2">
      <c r="L1898" s="12"/>
      <c r="M1898" s="13"/>
    </row>
    <row r="1899" spans="12:13" x14ac:dyDescent="0.2">
      <c r="L1899" s="12"/>
      <c r="M1899" s="13"/>
    </row>
    <row r="1900" spans="12:13" x14ac:dyDescent="0.2">
      <c r="L1900" s="12"/>
      <c r="M1900" s="13"/>
    </row>
    <row r="1901" spans="12:13" x14ac:dyDescent="0.2">
      <c r="L1901" s="12"/>
      <c r="M1901" s="13"/>
    </row>
    <row r="1902" spans="12:13" x14ac:dyDescent="0.2">
      <c r="L1902" s="12"/>
      <c r="M1902" s="13"/>
    </row>
    <row r="1903" spans="12:13" x14ac:dyDescent="0.2">
      <c r="L1903" s="12"/>
      <c r="M1903" s="13"/>
    </row>
    <row r="1904" spans="12:13" x14ac:dyDescent="0.2">
      <c r="L1904" s="12"/>
      <c r="M1904" s="13"/>
    </row>
    <row r="1905" spans="12:13" x14ac:dyDescent="0.2">
      <c r="L1905" s="12"/>
      <c r="M1905" s="13"/>
    </row>
    <row r="1906" spans="12:13" x14ac:dyDescent="0.2">
      <c r="L1906" s="12"/>
      <c r="M1906" s="13"/>
    </row>
    <row r="1907" spans="12:13" x14ac:dyDescent="0.2">
      <c r="L1907" s="12"/>
      <c r="M1907" s="13"/>
    </row>
    <row r="1908" spans="12:13" x14ac:dyDescent="0.2">
      <c r="L1908" s="12"/>
      <c r="M1908" s="13"/>
    </row>
    <row r="1909" spans="12:13" x14ac:dyDescent="0.2">
      <c r="L1909" s="12"/>
      <c r="M1909" s="13"/>
    </row>
    <row r="1910" spans="12:13" x14ac:dyDescent="0.2">
      <c r="L1910" s="12"/>
      <c r="M1910" s="13"/>
    </row>
    <row r="1911" spans="12:13" x14ac:dyDescent="0.2">
      <c r="L1911" s="12"/>
      <c r="M1911" s="13"/>
    </row>
    <row r="1912" spans="12:13" x14ac:dyDescent="0.2">
      <c r="L1912" s="12"/>
      <c r="M1912" s="13"/>
    </row>
    <row r="1913" spans="12:13" x14ac:dyDescent="0.2">
      <c r="L1913" s="12"/>
      <c r="M1913" s="13"/>
    </row>
    <row r="1914" spans="12:13" x14ac:dyDescent="0.2">
      <c r="L1914" s="12"/>
      <c r="M1914" s="13"/>
    </row>
    <row r="1915" spans="12:13" x14ac:dyDescent="0.2">
      <c r="L1915" s="12"/>
      <c r="M1915" s="13"/>
    </row>
    <row r="1916" spans="12:13" x14ac:dyDescent="0.2">
      <c r="L1916" s="12"/>
      <c r="M1916" s="13"/>
    </row>
    <row r="1917" spans="12:13" x14ac:dyDescent="0.2">
      <c r="L1917" s="12"/>
      <c r="M1917" s="13"/>
    </row>
    <row r="1918" spans="12:13" x14ac:dyDescent="0.2">
      <c r="L1918" s="12"/>
      <c r="M1918" s="13"/>
    </row>
    <row r="1919" spans="12:13" x14ac:dyDescent="0.2">
      <c r="L1919" s="12"/>
      <c r="M1919" s="13"/>
    </row>
    <row r="1920" spans="12:13" x14ac:dyDescent="0.2">
      <c r="L1920" s="12"/>
      <c r="M1920" s="13"/>
    </row>
    <row r="1921" spans="12:13" x14ac:dyDescent="0.2">
      <c r="L1921" s="12"/>
      <c r="M1921" s="13"/>
    </row>
    <row r="1922" spans="12:13" x14ac:dyDescent="0.2">
      <c r="L1922" s="12"/>
      <c r="M1922" s="13"/>
    </row>
    <row r="1923" spans="12:13" x14ac:dyDescent="0.2">
      <c r="L1923" s="12"/>
      <c r="M1923" s="13"/>
    </row>
    <row r="1924" spans="12:13" x14ac:dyDescent="0.2">
      <c r="L1924" s="12"/>
      <c r="M1924" s="13"/>
    </row>
    <row r="1925" spans="12:13" x14ac:dyDescent="0.2">
      <c r="L1925" s="12"/>
      <c r="M1925" s="13"/>
    </row>
    <row r="1926" spans="12:13" x14ac:dyDescent="0.2">
      <c r="L1926" s="12"/>
      <c r="M1926" s="13"/>
    </row>
    <row r="1927" spans="12:13" x14ac:dyDescent="0.2">
      <c r="L1927" s="12"/>
      <c r="M1927" s="13"/>
    </row>
    <row r="1928" spans="12:13" x14ac:dyDescent="0.2">
      <c r="L1928" s="12"/>
      <c r="M1928" s="13"/>
    </row>
    <row r="1929" spans="12:13" x14ac:dyDescent="0.2">
      <c r="L1929" s="12"/>
      <c r="M1929" s="13"/>
    </row>
    <row r="1930" spans="12:13" x14ac:dyDescent="0.2">
      <c r="L1930" s="12"/>
      <c r="M1930" s="13"/>
    </row>
    <row r="1931" spans="12:13" x14ac:dyDescent="0.2">
      <c r="L1931" s="12"/>
      <c r="M1931" s="13"/>
    </row>
    <row r="1932" spans="12:13" x14ac:dyDescent="0.2">
      <c r="L1932" s="12"/>
      <c r="M1932" s="13"/>
    </row>
    <row r="1933" spans="12:13" x14ac:dyDescent="0.2">
      <c r="L1933" s="12"/>
      <c r="M1933" s="13"/>
    </row>
    <row r="1934" spans="12:13" x14ac:dyDescent="0.2">
      <c r="L1934" s="12"/>
      <c r="M1934" s="13"/>
    </row>
    <row r="1935" spans="12:13" x14ac:dyDescent="0.2">
      <c r="L1935" s="12"/>
      <c r="M1935" s="13"/>
    </row>
    <row r="1936" spans="12:13" x14ac:dyDescent="0.2">
      <c r="L1936" s="12"/>
      <c r="M1936" s="13"/>
    </row>
    <row r="1937" spans="12:13" x14ac:dyDescent="0.2">
      <c r="L1937" s="12"/>
      <c r="M1937" s="13"/>
    </row>
    <row r="1938" spans="12:13" x14ac:dyDescent="0.2">
      <c r="L1938" s="12"/>
      <c r="M1938" s="13"/>
    </row>
    <row r="1939" spans="12:13" x14ac:dyDescent="0.2">
      <c r="L1939" s="12"/>
      <c r="M1939" s="13"/>
    </row>
    <row r="1940" spans="12:13" x14ac:dyDescent="0.2">
      <c r="L1940" s="12"/>
      <c r="M1940" s="13"/>
    </row>
    <row r="1941" spans="12:13" x14ac:dyDescent="0.2">
      <c r="L1941" s="12"/>
      <c r="M1941" s="13"/>
    </row>
    <row r="1942" spans="12:13" x14ac:dyDescent="0.2">
      <c r="L1942" s="12"/>
      <c r="M1942" s="13"/>
    </row>
    <row r="1943" spans="12:13" x14ac:dyDescent="0.2">
      <c r="L1943" s="12"/>
      <c r="M1943" s="13"/>
    </row>
    <row r="1944" spans="12:13" x14ac:dyDescent="0.2">
      <c r="L1944" s="12"/>
      <c r="M1944" s="13"/>
    </row>
    <row r="1945" spans="12:13" x14ac:dyDescent="0.2">
      <c r="L1945" s="12"/>
      <c r="M1945" s="13"/>
    </row>
    <row r="1946" spans="12:13" x14ac:dyDescent="0.2">
      <c r="L1946" s="12"/>
      <c r="M1946" s="13"/>
    </row>
    <row r="1947" spans="12:13" x14ac:dyDescent="0.2">
      <c r="L1947" s="12"/>
      <c r="M1947" s="13"/>
    </row>
    <row r="1948" spans="12:13" x14ac:dyDescent="0.2">
      <c r="L1948" s="12"/>
      <c r="M1948" s="13"/>
    </row>
    <row r="1949" spans="12:13" x14ac:dyDescent="0.2">
      <c r="L1949" s="12"/>
      <c r="M1949" s="13"/>
    </row>
    <row r="1950" spans="12:13" x14ac:dyDescent="0.2">
      <c r="L1950" s="12"/>
      <c r="M1950" s="13"/>
    </row>
    <row r="1951" spans="12:13" x14ac:dyDescent="0.2">
      <c r="L1951" s="12"/>
      <c r="M1951" s="13"/>
    </row>
    <row r="1952" spans="12:13" x14ac:dyDescent="0.2">
      <c r="L1952" s="12"/>
      <c r="M1952" s="13"/>
    </row>
    <row r="1953" spans="12:13" x14ac:dyDescent="0.2">
      <c r="L1953" s="12"/>
      <c r="M1953" s="13"/>
    </row>
    <row r="1954" spans="12:13" x14ac:dyDescent="0.2">
      <c r="L1954" s="12"/>
      <c r="M1954" s="13"/>
    </row>
    <row r="1955" spans="12:13" x14ac:dyDescent="0.2">
      <c r="L1955" s="12"/>
      <c r="M1955" s="13"/>
    </row>
    <row r="1956" spans="12:13" x14ac:dyDescent="0.2">
      <c r="L1956" s="12"/>
      <c r="M1956" s="13"/>
    </row>
    <row r="1957" spans="12:13" x14ac:dyDescent="0.2">
      <c r="L1957" s="12"/>
      <c r="M1957" s="13"/>
    </row>
    <row r="1958" spans="12:13" x14ac:dyDescent="0.2">
      <c r="L1958" s="12"/>
      <c r="M1958" s="13"/>
    </row>
    <row r="1959" spans="12:13" x14ac:dyDescent="0.2">
      <c r="L1959" s="12"/>
      <c r="M1959" s="13"/>
    </row>
    <row r="1960" spans="12:13" x14ac:dyDescent="0.2">
      <c r="L1960" s="12"/>
      <c r="M1960" s="13"/>
    </row>
    <row r="1961" spans="12:13" x14ac:dyDescent="0.2">
      <c r="L1961" s="12"/>
      <c r="M1961" s="13"/>
    </row>
    <row r="1962" spans="12:13" x14ac:dyDescent="0.2">
      <c r="L1962" s="12"/>
      <c r="M1962" s="13"/>
    </row>
    <row r="1963" spans="12:13" x14ac:dyDescent="0.2">
      <c r="L1963" s="12"/>
      <c r="M1963" s="13"/>
    </row>
    <row r="1964" spans="12:13" x14ac:dyDescent="0.2">
      <c r="L1964" s="12"/>
      <c r="M1964" s="13"/>
    </row>
    <row r="1965" spans="12:13" x14ac:dyDescent="0.2">
      <c r="L1965" s="12"/>
      <c r="M1965" s="13"/>
    </row>
    <row r="1966" spans="12:13" x14ac:dyDescent="0.2">
      <c r="L1966" s="12"/>
      <c r="M1966" s="13"/>
    </row>
    <row r="1967" spans="12:13" x14ac:dyDescent="0.2">
      <c r="L1967" s="12"/>
      <c r="M1967" s="13"/>
    </row>
    <row r="1968" spans="12:13" x14ac:dyDescent="0.2">
      <c r="L1968" s="12"/>
      <c r="M1968" s="13"/>
    </row>
    <row r="1969" spans="12:13" x14ac:dyDescent="0.2">
      <c r="L1969" s="12"/>
      <c r="M1969" s="13"/>
    </row>
    <row r="1970" spans="12:13" x14ac:dyDescent="0.2">
      <c r="L1970" s="12"/>
      <c r="M1970" s="13"/>
    </row>
    <row r="1971" spans="12:13" x14ac:dyDescent="0.2">
      <c r="L1971" s="12"/>
      <c r="M1971" s="13"/>
    </row>
    <row r="1972" spans="12:13" x14ac:dyDescent="0.2">
      <c r="L1972" s="12"/>
      <c r="M1972" s="13"/>
    </row>
    <row r="1973" spans="12:13" x14ac:dyDescent="0.2">
      <c r="L1973" s="12"/>
      <c r="M1973" s="13"/>
    </row>
    <row r="1974" spans="12:13" x14ac:dyDescent="0.2">
      <c r="L1974" s="12"/>
      <c r="M1974" s="13"/>
    </row>
    <row r="1975" spans="12:13" x14ac:dyDescent="0.2">
      <c r="L1975" s="12"/>
      <c r="M1975" s="13"/>
    </row>
    <row r="1976" spans="12:13" x14ac:dyDescent="0.2">
      <c r="L1976" s="12"/>
      <c r="M1976" s="13"/>
    </row>
    <row r="1977" spans="12:13" x14ac:dyDescent="0.2">
      <c r="L1977" s="12"/>
      <c r="M1977" s="13"/>
    </row>
    <row r="1978" spans="12:13" x14ac:dyDescent="0.2">
      <c r="L1978" s="12"/>
      <c r="M1978" s="13"/>
    </row>
    <row r="1979" spans="12:13" x14ac:dyDescent="0.2">
      <c r="L1979" s="12"/>
      <c r="M1979" s="13"/>
    </row>
    <row r="1980" spans="12:13" x14ac:dyDescent="0.2">
      <c r="L1980" s="12"/>
      <c r="M1980" s="13"/>
    </row>
    <row r="1981" spans="12:13" x14ac:dyDescent="0.2">
      <c r="L1981" s="12"/>
      <c r="M1981" s="13"/>
    </row>
    <row r="1982" spans="12:13" x14ac:dyDescent="0.2">
      <c r="L1982" s="12"/>
      <c r="M1982" s="13"/>
    </row>
    <row r="1983" spans="12:13" x14ac:dyDescent="0.2">
      <c r="L1983" s="12"/>
      <c r="M1983" s="13"/>
    </row>
    <row r="1984" spans="12:13" x14ac:dyDescent="0.2">
      <c r="L1984" s="12"/>
      <c r="M1984" s="13"/>
    </row>
    <row r="1985" spans="12:13" x14ac:dyDescent="0.2">
      <c r="L1985" s="12"/>
      <c r="M1985" s="13"/>
    </row>
    <row r="1986" spans="12:13" x14ac:dyDescent="0.2">
      <c r="L1986" s="12"/>
      <c r="M1986" s="13"/>
    </row>
    <row r="1987" spans="12:13" x14ac:dyDescent="0.2">
      <c r="L1987" s="12"/>
      <c r="M1987" s="13"/>
    </row>
    <row r="1988" spans="12:13" x14ac:dyDescent="0.2">
      <c r="L1988" s="12"/>
      <c r="M1988" s="13"/>
    </row>
    <row r="1989" spans="12:13" x14ac:dyDescent="0.2">
      <c r="L1989" s="12"/>
      <c r="M1989" s="13"/>
    </row>
    <row r="1990" spans="12:13" x14ac:dyDescent="0.2">
      <c r="L1990" s="12"/>
      <c r="M1990" s="13"/>
    </row>
    <row r="1991" spans="12:13" x14ac:dyDescent="0.2">
      <c r="L1991" s="12"/>
      <c r="M1991" s="13"/>
    </row>
    <row r="1992" spans="12:13" x14ac:dyDescent="0.2">
      <c r="L1992" s="12"/>
      <c r="M1992" s="13"/>
    </row>
    <row r="1993" spans="12:13" x14ac:dyDescent="0.2">
      <c r="L1993" s="12"/>
      <c r="M1993" s="13"/>
    </row>
    <row r="1994" spans="12:13" x14ac:dyDescent="0.2">
      <c r="L1994" s="12"/>
      <c r="M1994" s="13"/>
    </row>
    <row r="1995" spans="12:13" x14ac:dyDescent="0.2">
      <c r="L1995" s="12"/>
      <c r="M1995" s="13"/>
    </row>
    <row r="1996" spans="12:13" x14ac:dyDescent="0.2">
      <c r="L1996" s="12"/>
      <c r="M1996" s="13"/>
    </row>
    <row r="1997" spans="12:13" x14ac:dyDescent="0.2">
      <c r="L1997" s="12"/>
      <c r="M1997" s="13"/>
    </row>
    <row r="1998" spans="12:13" x14ac:dyDescent="0.2">
      <c r="L1998" s="12"/>
      <c r="M1998" s="13"/>
    </row>
    <row r="1999" spans="12:13" x14ac:dyDescent="0.2">
      <c r="L1999" s="12"/>
      <c r="M1999" s="13"/>
    </row>
    <row r="2000" spans="12:13" x14ac:dyDescent="0.2">
      <c r="L2000" s="12"/>
      <c r="M2000" s="13"/>
    </row>
    <row r="2001" spans="12:13" x14ac:dyDescent="0.2">
      <c r="L2001" s="12"/>
      <c r="M2001" s="13"/>
    </row>
    <row r="2002" spans="12:13" x14ac:dyDescent="0.2">
      <c r="L2002" s="12"/>
      <c r="M2002" s="13"/>
    </row>
    <row r="2003" spans="12:13" x14ac:dyDescent="0.2">
      <c r="L2003" s="12"/>
      <c r="M2003" s="13"/>
    </row>
    <row r="2004" spans="12:13" x14ac:dyDescent="0.2">
      <c r="L2004" s="12"/>
      <c r="M2004" s="13"/>
    </row>
    <row r="2005" spans="12:13" x14ac:dyDescent="0.2">
      <c r="L2005" s="12"/>
      <c r="M2005" s="13"/>
    </row>
    <row r="2006" spans="12:13" x14ac:dyDescent="0.2">
      <c r="L2006" s="12"/>
      <c r="M2006" s="13"/>
    </row>
    <row r="2007" spans="12:13" x14ac:dyDescent="0.2">
      <c r="L2007" s="12"/>
      <c r="M2007" s="13"/>
    </row>
    <row r="2008" spans="12:13" x14ac:dyDescent="0.2">
      <c r="L2008" s="12"/>
      <c r="M2008" s="13"/>
    </row>
    <row r="2009" spans="12:13" x14ac:dyDescent="0.2">
      <c r="L2009" s="12"/>
      <c r="M2009" s="13"/>
    </row>
    <row r="2010" spans="12:13" x14ac:dyDescent="0.2">
      <c r="L2010" s="12"/>
      <c r="M2010" s="13"/>
    </row>
    <row r="2011" spans="12:13" x14ac:dyDescent="0.2">
      <c r="L2011" s="12"/>
      <c r="M2011" s="13"/>
    </row>
    <row r="2012" spans="12:13" x14ac:dyDescent="0.2">
      <c r="L2012" s="12"/>
      <c r="M2012" s="13"/>
    </row>
    <row r="2013" spans="12:13" x14ac:dyDescent="0.2">
      <c r="L2013" s="12"/>
      <c r="M2013" s="13"/>
    </row>
    <row r="2014" spans="12:13" x14ac:dyDescent="0.2">
      <c r="L2014" s="12"/>
      <c r="M2014" s="13"/>
    </row>
    <row r="2015" spans="12:13" x14ac:dyDescent="0.2">
      <c r="L2015" s="12"/>
      <c r="M2015" s="13"/>
    </row>
    <row r="2016" spans="12:13" x14ac:dyDescent="0.2">
      <c r="L2016" s="12"/>
      <c r="M2016" s="13"/>
    </row>
    <row r="2017" spans="12:13" x14ac:dyDescent="0.2">
      <c r="L2017" s="12"/>
      <c r="M2017" s="13"/>
    </row>
    <row r="2018" spans="12:13" x14ac:dyDescent="0.2">
      <c r="L2018" s="12"/>
      <c r="M2018" s="13"/>
    </row>
    <row r="2019" spans="12:13" x14ac:dyDescent="0.2">
      <c r="L2019" s="12"/>
      <c r="M2019" s="13"/>
    </row>
    <row r="2020" spans="12:13" x14ac:dyDescent="0.2">
      <c r="L2020" s="12"/>
      <c r="M2020" s="13"/>
    </row>
    <row r="2021" spans="12:13" x14ac:dyDescent="0.2">
      <c r="L2021" s="12"/>
      <c r="M2021" s="13"/>
    </row>
    <row r="2022" spans="12:13" x14ac:dyDescent="0.2">
      <c r="L2022" s="12"/>
      <c r="M2022" s="13"/>
    </row>
    <row r="2023" spans="12:13" x14ac:dyDescent="0.2">
      <c r="L2023" s="12"/>
      <c r="M2023" s="13"/>
    </row>
    <row r="2024" spans="12:13" x14ac:dyDescent="0.2">
      <c r="L2024" s="12"/>
      <c r="M2024" s="13"/>
    </row>
    <row r="2025" spans="12:13" x14ac:dyDescent="0.2">
      <c r="L2025" s="12"/>
      <c r="M2025" s="13"/>
    </row>
    <row r="2026" spans="12:13" x14ac:dyDescent="0.2">
      <c r="L2026" s="12"/>
      <c r="M2026" s="13"/>
    </row>
    <row r="2027" spans="12:13" x14ac:dyDescent="0.2">
      <c r="L2027" s="12"/>
      <c r="M2027" s="13"/>
    </row>
    <row r="2028" spans="12:13" x14ac:dyDescent="0.2">
      <c r="L2028" s="12"/>
      <c r="M2028" s="13"/>
    </row>
    <row r="2029" spans="12:13" x14ac:dyDescent="0.2">
      <c r="L2029" s="12"/>
      <c r="M2029" s="13"/>
    </row>
    <row r="2030" spans="12:13" x14ac:dyDescent="0.2">
      <c r="L2030" s="12"/>
      <c r="M2030" s="13"/>
    </row>
    <row r="2031" spans="12:13" x14ac:dyDescent="0.2">
      <c r="L2031" s="12"/>
      <c r="M2031" s="13"/>
    </row>
    <row r="2032" spans="12:13" x14ac:dyDescent="0.2">
      <c r="L2032" s="12"/>
      <c r="M2032" s="13"/>
    </row>
    <row r="2033" spans="12:13" x14ac:dyDescent="0.2">
      <c r="L2033" s="12"/>
      <c r="M2033" s="13"/>
    </row>
    <row r="2034" spans="12:13" x14ac:dyDescent="0.2">
      <c r="L2034" s="12"/>
      <c r="M2034" s="13"/>
    </row>
    <row r="2035" spans="12:13" x14ac:dyDescent="0.2">
      <c r="L2035" s="12"/>
      <c r="M2035" s="13"/>
    </row>
    <row r="2036" spans="12:13" x14ac:dyDescent="0.2">
      <c r="L2036" s="12"/>
      <c r="M2036" s="13"/>
    </row>
    <row r="2037" spans="12:13" x14ac:dyDescent="0.2">
      <c r="L2037" s="12"/>
      <c r="M2037" s="13"/>
    </row>
    <row r="2038" spans="12:13" x14ac:dyDescent="0.2">
      <c r="L2038" s="12"/>
      <c r="M2038" s="13"/>
    </row>
    <row r="2039" spans="12:13" x14ac:dyDescent="0.2">
      <c r="L2039" s="12"/>
      <c r="M2039" s="13"/>
    </row>
    <row r="2040" spans="12:13" x14ac:dyDescent="0.2">
      <c r="L2040" s="12"/>
      <c r="M2040" s="13"/>
    </row>
    <row r="2041" spans="12:13" x14ac:dyDescent="0.2">
      <c r="L2041" s="12"/>
      <c r="M2041" s="13"/>
    </row>
    <row r="2042" spans="12:13" x14ac:dyDescent="0.2">
      <c r="L2042" s="12"/>
      <c r="M2042" s="13"/>
    </row>
    <row r="2043" spans="12:13" x14ac:dyDescent="0.2">
      <c r="L2043" s="12"/>
      <c r="M2043" s="13"/>
    </row>
    <row r="2044" spans="12:13" x14ac:dyDescent="0.2">
      <c r="L2044" s="12"/>
      <c r="M2044" s="13"/>
    </row>
    <row r="2045" spans="12:13" x14ac:dyDescent="0.2">
      <c r="L2045" s="12"/>
      <c r="M2045" s="13"/>
    </row>
    <row r="2046" spans="12:13" x14ac:dyDescent="0.2">
      <c r="L2046" s="12"/>
      <c r="M2046" s="13"/>
    </row>
    <row r="2047" spans="12:13" x14ac:dyDescent="0.2">
      <c r="L2047" s="12"/>
      <c r="M2047" s="13"/>
    </row>
    <row r="2048" spans="12:13" x14ac:dyDescent="0.2">
      <c r="L2048" s="12"/>
      <c r="M2048" s="13"/>
    </row>
    <row r="2049" spans="12:13" x14ac:dyDescent="0.2">
      <c r="L2049" s="12"/>
      <c r="M2049" s="13"/>
    </row>
    <row r="2050" spans="12:13" x14ac:dyDescent="0.2">
      <c r="L2050" s="17"/>
      <c r="M2050" s="18"/>
    </row>
    <row r="2051" spans="12:13" x14ac:dyDescent="0.2">
      <c r="L2051" s="12"/>
      <c r="M2051" s="13"/>
    </row>
    <row r="2052" spans="12:13" x14ac:dyDescent="0.2">
      <c r="L2052" s="12"/>
      <c r="M2052" s="13"/>
    </row>
    <row r="2053" spans="12:13" x14ac:dyDescent="0.2">
      <c r="L2053" s="12"/>
      <c r="M2053" s="13"/>
    </row>
    <row r="2054" spans="12:13" x14ac:dyDescent="0.2">
      <c r="L2054" s="12"/>
      <c r="M2054" s="13"/>
    </row>
    <row r="2055" spans="12:13" x14ac:dyDescent="0.2">
      <c r="L2055" s="12"/>
      <c r="M2055" s="13"/>
    </row>
    <row r="2056" spans="12:13" x14ac:dyDescent="0.2">
      <c r="L2056" s="12"/>
      <c r="M2056" s="13"/>
    </row>
    <row r="2057" spans="12:13" x14ac:dyDescent="0.2">
      <c r="L2057" s="12"/>
      <c r="M2057" s="13"/>
    </row>
    <row r="2058" spans="12:13" x14ac:dyDescent="0.2">
      <c r="L2058" s="12"/>
      <c r="M2058" s="13"/>
    </row>
    <row r="2059" spans="12:13" x14ac:dyDescent="0.2">
      <c r="L2059" s="12"/>
      <c r="M2059" s="13"/>
    </row>
    <row r="2060" spans="12:13" x14ac:dyDescent="0.2">
      <c r="L2060" s="12"/>
      <c r="M2060" s="13"/>
    </row>
    <row r="2061" spans="12:13" x14ac:dyDescent="0.2">
      <c r="L2061" s="12"/>
      <c r="M2061" s="13"/>
    </row>
    <row r="2062" spans="12:13" x14ac:dyDescent="0.2">
      <c r="L2062" s="12"/>
      <c r="M2062" s="13"/>
    </row>
    <row r="2063" spans="12:13" x14ac:dyDescent="0.2">
      <c r="L2063" s="12"/>
      <c r="M2063" s="13"/>
    </row>
    <row r="2064" spans="12:13" x14ac:dyDescent="0.2">
      <c r="L2064" s="12"/>
      <c r="M2064" s="13"/>
    </row>
    <row r="2065" spans="12:13" x14ac:dyDescent="0.2">
      <c r="L2065" s="12"/>
      <c r="M2065" s="13"/>
    </row>
    <row r="2066" spans="12:13" x14ac:dyDescent="0.2">
      <c r="L2066" s="12"/>
      <c r="M2066" s="13"/>
    </row>
    <row r="2067" spans="12:13" x14ac:dyDescent="0.2">
      <c r="L2067" s="12"/>
      <c r="M2067" s="13"/>
    </row>
    <row r="2068" spans="12:13" x14ac:dyDescent="0.2">
      <c r="L2068" s="12"/>
      <c r="M2068" s="13"/>
    </row>
    <row r="2069" spans="12:13" x14ac:dyDescent="0.2">
      <c r="L2069" s="12"/>
      <c r="M2069" s="13"/>
    </row>
    <row r="2070" spans="12:13" x14ac:dyDescent="0.2">
      <c r="L2070" s="12"/>
      <c r="M2070" s="13"/>
    </row>
    <row r="2071" spans="12:13" x14ac:dyDescent="0.2">
      <c r="L2071" s="12"/>
      <c r="M2071" s="13"/>
    </row>
    <row r="2072" spans="12:13" x14ac:dyDescent="0.2">
      <c r="L2072" s="12"/>
      <c r="M2072" s="13"/>
    </row>
    <row r="2073" spans="12:13" x14ac:dyDescent="0.2">
      <c r="L2073" s="12"/>
      <c r="M2073" s="13"/>
    </row>
    <row r="2074" spans="12:13" x14ac:dyDescent="0.2">
      <c r="L2074" s="12"/>
      <c r="M2074" s="13"/>
    </row>
    <row r="2075" spans="12:13" x14ac:dyDescent="0.2">
      <c r="L2075" s="12"/>
      <c r="M2075" s="13"/>
    </row>
    <row r="2076" spans="12:13" x14ac:dyDescent="0.2">
      <c r="L2076" s="12"/>
      <c r="M2076" s="13"/>
    </row>
    <row r="2077" spans="12:13" x14ac:dyDescent="0.2">
      <c r="L2077" s="12"/>
      <c r="M2077" s="13"/>
    </row>
    <row r="2078" spans="12:13" x14ac:dyDescent="0.2">
      <c r="L2078" s="12"/>
      <c r="M2078" s="13"/>
    </row>
    <row r="2079" spans="12:13" x14ac:dyDescent="0.2">
      <c r="L2079" s="12"/>
      <c r="M2079" s="13"/>
    </row>
    <row r="2080" spans="12:13" x14ac:dyDescent="0.2">
      <c r="L2080" s="12"/>
      <c r="M2080" s="13"/>
    </row>
    <row r="2081" spans="12:13" x14ac:dyDescent="0.2">
      <c r="L2081" s="12"/>
      <c r="M2081" s="13"/>
    </row>
    <row r="2082" spans="12:13" x14ac:dyDescent="0.2">
      <c r="L2082" s="12"/>
      <c r="M2082" s="13"/>
    </row>
    <row r="2083" spans="12:13" x14ac:dyDescent="0.2">
      <c r="L2083" s="12"/>
      <c r="M2083" s="13"/>
    </row>
    <row r="2084" spans="12:13" x14ac:dyDescent="0.2">
      <c r="L2084" s="12"/>
      <c r="M2084" s="13"/>
    </row>
    <row r="2085" spans="12:13" x14ac:dyDescent="0.2">
      <c r="L2085" s="12"/>
      <c r="M2085" s="13"/>
    </row>
    <row r="2086" spans="12:13" x14ac:dyDescent="0.2">
      <c r="L2086" s="12"/>
      <c r="M2086" s="13"/>
    </row>
    <row r="2087" spans="12:13" x14ac:dyDescent="0.2">
      <c r="L2087" s="12"/>
      <c r="M2087" s="13"/>
    </row>
    <row r="2088" spans="12:13" x14ac:dyDescent="0.2">
      <c r="L2088" s="12"/>
      <c r="M2088" s="13"/>
    </row>
    <row r="2089" spans="12:13" x14ac:dyDescent="0.2">
      <c r="L2089" s="12"/>
      <c r="M2089" s="13"/>
    </row>
    <row r="2090" spans="12:13" x14ac:dyDescent="0.2">
      <c r="L2090" s="12"/>
      <c r="M2090" s="13"/>
    </row>
    <row r="2091" spans="12:13" x14ac:dyDescent="0.2">
      <c r="L2091" s="12"/>
      <c r="M2091" s="13"/>
    </row>
    <row r="2092" spans="12:13" x14ac:dyDescent="0.2">
      <c r="L2092" s="12"/>
      <c r="M2092" s="13"/>
    </row>
    <row r="2093" spans="12:13" x14ac:dyDescent="0.2">
      <c r="L2093" s="12"/>
      <c r="M2093" s="13"/>
    </row>
    <row r="2094" spans="12:13" x14ac:dyDescent="0.2">
      <c r="L2094" s="12"/>
      <c r="M2094" s="13"/>
    </row>
    <row r="2095" spans="12:13" x14ac:dyDescent="0.2">
      <c r="L2095" s="12"/>
      <c r="M2095" s="13"/>
    </row>
    <row r="2096" spans="12:13" x14ac:dyDescent="0.2">
      <c r="L2096" s="12"/>
      <c r="M2096" s="13"/>
    </row>
    <row r="2097" spans="12:13" x14ac:dyDescent="0.2">
      <c r="L2097" s="12"/>
      <c r="M2097" s="13"/>
    </row>
    <row r="2098" spans="12:13" x14ac:dyDescent="0.2">
      <c r="L2098" s="12"/>
      <c r="M2098" s="13"/>
    </row>
    <row r="2099" spans="12:13" x14ac:dyDescent="0.2">
      <c r="L2099" s="12"/>
      <c r="M2099" s="13"/>
    </row>
    <row r="2100" spans="12:13" x14ac:dyDescent="0.2">
      <c r="L2100" s="12"/>
      <c r="M2100" s="13"/>
    </row>
    <row r="2101" spans="12:13" x14ac:dyDescent="0.2">
      <c r="L2101" s="12"/>
      <c r="M2101" s="13"/>
    </row>
    <row r="2102" spans="12:13" x14ac:dyDescent="0.2">
      <c r="L2102" s="12"/>
      <c r="M2102" s="13"/>
    </row>
    <row r="2103" spans="12:13" x14ac:dyDescent="0.2">
      <c r="L2103" s="12"/>
      <c r="M2103" s="13"/>
    </row>
    <row r="2104" spans="12:13" x14ac:dyDescent="0.2">
      <c r="L2104" s="12"/>
      <c r="M2104" s="13"/>
    </row>
    <row r="2105" spans="12:13" x14ac:dyDescent="0.2">
      <c r="L2105" s="12"/>
      <c r="M2105" s="13"/>
    </row>
    <row r="2106" spans="12:13" x14ac:dyDescent="0.2">
      <c r="L2106" s="12"/>
      <c r="M2106" s="13"/>
    </row>
    <row r="2107" spans="12:13" x14ac:dyDescent="0.2">
      <c r="L2107" s="12"/>
      <c r="M2107" s="13"/>
    </row>
    <row r="2108" spans="12:13" x14ac:dyDescent="0.2">
      <c r="L2108" s="12"/>
      <c r="M2108" s="13"/>
    </row>
    <row r="2109" spans="12:13" x14ac:dyDescent="0.2">
      <c r="L2109" s="12"/>
      <c r="M2109" s="13"/>
    </row>
    <row r="2110" spans="12:13" x14ac:dyDescent="0.2">
      <c r="L2110" s="12"/>
      <c r="M2110" s="13"/>
    </row>
    <row r="2111" spans="12:13" x14ac:dyDescent="0.2">
      <c r="L2111" s="12"/>
      <c r="M2111" s="13"/>
    </row>
    <row r="2112" spans="12:13" x14ac:dyDescent="0.2">
      <c r="L2112" s="12"/>
      <c r="M2112" s="13"/>
    </row>
    <row r="2113" spans="12:13" x14ac:dyDescent="0.2">
      <c r="L2113" s="12"/>
      <c r="M2113" s="13"/>
    </row>
    <row r="2114" spans="12:13" x14ac:dyDescent="0.2">
      <c r="L2114" s="12"/>
      <c r="M2114" s="13"/>
    </row>
    <row r="2115" spans="12:13" x14ac:dyDescent="0.2">
      <c r="L2115" s="12"/>
      <c r="M2115" s="13"/>
    </row>
    <row r="2116" spans="12:13" x14ac:dyDescent="0.2">
      <c r="L2116" s="12"/>
      <c r="M2116" s="13"/>
    </row>
    <row r="2117" spans="12:13" x14ac:dyDescent="0.2">
      <c r="L2117" s="12"/>
      <c r="M2117" s="13"/>
    </row>
    <row r="2118" spans="12:13" x14ac:dyDescent="0.2">
      <c r="L2118" s="12"/>
      <c r="M2118" s="13"/>
    </row>
    <row r="2119" spans="12:13" x14ac:dyDescent="0.2">
      <c r="L2119" s="12"/>
      <c r="M2119" s="13"/>
    </row>
    <row r="2120" spans="12:13" x14ac:dyDescent="0.2">
      <c r="L2120" s="12"/>
      <c r="M2120" s="13"/>
    </row>
    <row r="2121" spans="12:13" x14ac:dyDescent="0.2">
      <c r="L2121" s="12"/>
      <c r="M2121" s="13"/>
    </row>
    <row r="2122" spans="12:13" x14ac:dyDescent="0.2">
      <c r="L2122" s="12"/>
      <c r="M2122" s="13"/>
    </row>
    <row r="2123" spans="12:13" x14ac:dyDescent="0.2">
      <c r="L2123" s="12"/>
      <c r="M2123" s="13"/>
    </row>
    <row r="2124" spans="12:13" x14ac:dyDescent="0.2">
      <c r="L2124" s="12"/>
      <c r="M2124" s="13"/>
    </row>
    <row r="2125" spans="12:13" x14ac:dyDescent="0.2">
      <c r="L2125" s="12"/>
      <c r="M2125" s="13"/>
    </row>
    <row r="2126" spans="12:13" x14ac:dyDescent="0.2">
      <c r="L2126" s="12"/>
      <c r="M2126" s="13"/>
    </row>
    <row r="2127" spans="12:13" x14ac:dyDescent="0.2">
      <c r="L2127" s="12"/>
      <c r="M2127" s="13"/>
    </row>
    <row r="2128" spans="12:13" x14ac:dyDescent="0.2">
      <c r="L2128" s="12"/>
      <c r="M2128" s="13"/>
    </row>
    <row r="2129" spans="12:13" x14ac:dyDescent="0.2">
      <c r="L2129" s="12"/>
      <c r="M2129" s="13"/>
    </row>
    <row r="2130" spans="12:13" x14ac:dyDescent="0.2">
      <c r="L2130" s="12"/>
      <c r="M2130" s="13"/>
    </row>
    <row r="2131" spans="12:13" x14ac:dyDescent="0.2">
      <c r="L2131" s="12"/>
      <c r="M2131" s="13"/>
    </row>
    <row r="2132" spans="12:13" x14ac:dyDescent="0.2">
      <c r="L2132" s="12"/>
      <c r="M2132" s="13"/>
    </row>
    <row r="2133" spans="12:13" x14ac:dyDescent="0.2">
      <c r="L2133" s="12"/>
      <c r="M2133" s="13"/>
    </row>
    <row r="2134" spans="12:13" x14ac:dyDescent="0.2">
      <c r="L2134" s="12"/>
      <c r="M2134" s="13"/>
    </row>
    <row r="2135" spans="12:13" x14ac:dyDescent="0.2">
      <c r="L2135" s="12"/>
      <c r="M2135" s="13"/>
    </row>
    <row r="2136" spans="12:13" x14ac:dyDescent="0.2">
      <c r="L2136" s="12"/>
      <c r="M2136" s="13"/>
    </row>
    <row r="2137" spans="12:13" x14ac:dyDescent="0.2">
      <c r="L2137" s="12"/>
      <c r="M2137" s="13"/>
    </row>
    <row r="2138" spans="12:13" x14ac:dyDescent="0.2">
      <c r="L2138" s="12"/>
      <c r="M2138" s="13"/>
    </row>
    <row r="2139" spans="12:13" x14ac:dyDescent="0.2">
      <c r="L2139" s="12"/>
      <c r="M2139" s="13"/>
    </row>
    <row r="2140" spans="12:13" x14ac:dyDescent="0.2">
      <c r="L2140" s="12"/>
      <c r="M2140" s="13"/>
    </row>
    <row r="2141" spans="12:13" x14ac:dyDescent="0.2">
      <c r="L2141" s="12"/>
      <c r="M2141" s="13"/>
    </row>
    <row r="2142" spans="12:13" x14ac:dyDescent="0.2">
      <c r="L2142" s="12"/>
      <c r="M2142" s="13"/>
    </row>
    <row r="2143" spans="12:13" x14ac:dyDescent="0.2">
      <c r="L2143" s="12"/>
      <c r="M2143" s="13"/>
    </row>
    <row r="2144" spans="12:13" x14ac:dyDescent="0.2">
      <c r="L2144" s="12"/>
      <c r="M2144" s="13"/>
    </row>
    <row r="2145" spans="12:13" x14ac:dyDescent="0.2">
      <c r="L2145" s="12"/>
      <c r="M2145" s="13"/>
    </row>
    <row r="2146" spans="12:13" x14ac:dyDescent="0.2">
      <c r="L2146" s="12"/>
      <c r="M2146" s="13"/>
    </row>
    <row r="2147" spans="12:13" x14ac:dyDescent="0.2">
      <c r="L2147" s="12"/>
      <c r="M2147" s="13"/>
    </row>
    <row r="2148" spans="12:13" x14ac:dyDescent="0.2">
      <c r="L2148" s="12"/>
      <c r="M2148" s="13"/>
    </row>
    <row r="2149" spans="12:13" x14ac:dyDescent="0.2">
      <c r="L2149" s="12"/>
      <c r="M2149" s="13"/>
    </row>
    <row r="2150" spans="12:13" x14ac:dyDescent="0.2">
      <c r="L2150" s="12"/>
      <c r="M2150" s="13"/>
    </row>
    <row r="2151" spans="12:13" x14ac:dyDescent="0.2">
      <c r="L2151" s="12"/>
      <c r="M2151" s="13"/>
    </row>
    <row r="2152" spans="12:13" x14ac:dyDescent="0.2">
      <c r="L2152" s="12"/>
      <c r="M2152" s="13"/>
    </row>
    <row r="2153" spans="12:13" x14ac:dyDescent="0.2">
      <c r="L2153" s="12"/>
      <c r="M2153" s="13"/>
    </row>
    <row r="2154" spans="12:13" x14ac:dyDescent="0.2">
      <c r="L2154" s="12"/>
      <c r="M2154" s="13"/>
    </row>
    <row r="2155" spans="12:13" x14ac:dyDescent="0.2">
      <c r="L2155" s="12"/>
      <c r="M2155" s="13"/>
    </row>
    <row r="2156" spans="12:13" x14ac:dyDescent="0.2">
      <c r="L2156" s="12"/>
      <c r="M2156" s="13"/>
    </row>
    <row r="2157" spans="12:13" x14ac:dyDescent="0.2">
      <c r="L2157" s="12"/>
      <c r="M2157" s="13"/>
    </row>
    <row r="2158" spans="12:13" x14ac:dyDescent="0.2">
      <c r="L2158" s="12"/>
      <c r="M2158" s="13"/>
    </row>
    <row r="2159" spans="12:13" x14ac:dyDescent="0.2">
      <c r="L2159" s="12"/>
      <c r="M2159" s="13"/>
    </row>
    <row r="2160" spans="12:13" x14ac:dyDescent="0.2">
      <c r="L2160" s="12"/>
      <c r="M2160" s="13"/>
    </row>
    <row r="2161" spans="12:13" x14ac:dyDescent="0.2">
      <c r="L2161" s="12"/>
      <c r="M2161" s="13"/>
    </row>
    <row r="2162" spans="12:13" x14ac:dyDescent="0.2">
      <c r="L2162" s="12"/>
      <c r="M2162" s="13"/>
    </row>
    <row r="2163" spans="12:13" x14ac:dyDescent="0.2">
      <c r="L2163" s="12"/>
      <c r="M2163" s="13"/>
    </row>
    <row r="2164" spans="12:13" x14ac:dyDescent="0.2">
      <c r="L2164" s="12"/>
      <c r="M2164" s="13"/>
    </row>
    <row r="2165" spans="12:13" x14ac:dyDescent="0.2">
      <c r="L2165" s="12"/>
      <c r="M2165" s="13"/>
    </row>
    <row r="2166" spans="12:13" x14ac:dyDescent="0.2">
      <c r="L2166" s="12"/>
      <c r="M2166" s="13"/>
    </row>
    <row r="2167" spans="12:13" x14ac:dyDescent="0.2">
      <c r="L2167" s="12"/>
      <c r="M2167" s="13"/>
    </row>
    <row r="2168" spans="12:13" x14ac:dyDescent="0.2">
      <c r="L2168" s="12"/>
      <c r="M2168" s="13"/>
    </row>
    <row r="2169" spans="12:13" x14ac:dyDescent="0.2">
      <c r="L2169" s="12"/>
      <c r="M2169" s="13"/>
    </row>
    <row r="2170" spans="12:13" x14ac:dyDescent="0.2">
      <c r="L2170" s="12"/>
      <c r="M2170" s="13"/>
    </row>
    <row r="2171" spans="12:13" x14ac:dyDescent="0.2">
      <c r="L2171" s="12"/>
      <c r="M2171" s="13"/>
    </row>
    <row r="2172" spans="12:13" x14ac:dyDescent="0.2">
      <c r="L2172" s="12"/>
      <c r="M2172" s="13"/>
    </row>
    <row r="2173" spans="12:13" x14ac:dyDescent="0.2">
      <c r="L2173" s="12"/>
      <c r="M2173" s="13"/>
    </row>
    <row r="2174" spans="12:13" x14ac:dyDescent="0.2">
      <c r="L2174" s="12"/>
      <c r="M2174" s="13"/>
    </row>
    <row r="2175" spans="12:13" x14ac:dyDescent="0.2">
      <c r="L2175" s="12"/>
      <c r="M2175" s="13"/>
    </row>
    <row r="2176" spans="12:13" x14ac:dyDescent="0.2">
      <c r="L2176" s="12"/>
      <c r="M2176" s="13"/>
    </row>
    <row r="2177" spans="12:13" x14ac:dyDescent="0.2">
      <c r="L2177" s="12"/>
      <c r="M2177" s="13"/>
    </row>
    <row r="2178" spans="12:13" x14ac:dyDescent="0.2">
      <c r="L2178" s="12"/>
      <c r="M2178" s="13"/>
    </row>
    <row r="2179" spans="12:13" x14ac:dyDescent="0.2">
      <c r="L2179" s="12"/>
      <c r="M2179" s="13"/>
    </row>
    <row r="2180" spans="12:13" x14ac:dyDescent="0.2">
      <c r="L2180" s="12"/>
      <c r="M2180" s="13"/>
    </row>
    <row r="2181" spans="12:13" x14ac:dyDescent="0.2">
      <c r="L2181" s="12"/>
      <c r="M2181" s="13"/>
    </row>
    <row r="2182" spans="12:13" x14ac:dyDescent="0.2">
      <c r="L2182" s="12"/>
      <c r="M2182" s="13"/>
    </row>
    <row r="2183" spans="12:13" x14ac:dyDescent="0.2">
      <c r="L2183" s="12"/>
      <c r="M2183" s="13"/>
    </row>
    <row r="2184" spans="12:13" x14ac:dyDescent="0.2">
      <c r="L2184" s="12"/>
      <c r="M2184" s="13"/>
    </row>
    <row r="2185" spans="12:13" x14ac:dyDescent="0.2">
      <c r="L2185" s="12"/>
      <c r="M2185" s="13"/>
    </row>
    <row r="2186" spans="12:13" x14ac:dyDescent="0.2">
      <c r="L2186" s="12"/>
      <c r="M2186" s="13"/>
    </row>
    <row r="2187" spans="12:13" x14ac:dyDescent="0.2">
      <c r="L2187" s="12"/>
      <c r="M2187" s="13"/>
    </row>
    <row r="2188" spans="12:13" x14ac:dyDescent="0.2">
      <c r="L2188" s="12"/>
      <c r="M2188" s="13"/>
    </row>
    <row r="2189" spans="12:13" x14ac:dyDescent="0.2">
      <c r="L2189" s="12"/>
      <c r="M2189" s="13"/>
    </row>
    <row r="2190" spans="12:13" x14ac:dyDescent="0.2">
      <c r="L2190" s="12"/>
      <c r="M2190" s="13"/>
    </row>
    <row r="2191" spans="12:13" x14ac:dyDescent="0.2">
      <c r="L2191" s="12"/>
      <c r="M2191" s="13"/>
    </row>
    <row r="2192" spans="12:13" x14ac:dyDescent="0.2">
      <c r="L2192" s="12"/>
      <c r="M2192" s="13"/>
    </row>
    <row r="2193" spans="12:13" x14ac:dyDescent="0.2">
      <c r="L2193" s="12"/>
      <c r="M2193" s="13"/>
    </row>
    <row r="2194" spans="12:13" x14ac:dyDescent="0.2">
      <c r="L2194" s="12"/>
      <c r="M2194" s="13"/>
    </row>
    <row r="2195" spans="12:13" x14ac:dyDescent="0.2">
      <c r="L2195" s="12"/>
      <c r="M2195" s="13"/>
    </row>
    <row r="2196" spans="12:13" x14ac:dyDescent="0.2">
      <c r="L2196" s="12"/>
      <c r="M2196" s="13"/>
    </row>
    <row r="2197" spans="12:13" x14ac:dyDescent="0.2">
      <c r="L2197" s="12"/>
      <c r="M2197" s="13"/>
    </row>
    <row r="2198" spans="12:13" x14ac:dyDescent="0.2">
      <c r="L2198" s="12"/>
      <c r="M2198" s="13"/>
    </row>
    <row r="2199" spans="12:13" x14ac:dyDescent="0.2">
      <c r="L2199" s="12"/>
      <c r="M2199" s="13"/>
    </row>
    <row r="2200" spans="12:13" x14ac:dyDescent="0.2">
      <c r="L2200" s="12"/>
      <c r="M2200" s="13"/>
    </row>
    <row r="2201" spans="12:13" x14ac:dyDescent="0.2">
      <c r="L2201" s="12"/>
      <c r="M2201" s="13"/>
    </row>
    <row r="2202" spans="12:13" x14ac:dyDescent="0.2">
      <c r="L2202" s="12"/>
      <c r="M2202" s="13"/>
    </row>
    <row r="2203" spans="12:13" x14ac:dyDescent="0.2">
      <c r="L2203" s="12"/>
      <c r="M2203" s="13"/>
    </row>
    <row r="2204" spans="12:13" x14ac:dyDescent="0.2">
      <c r="L2204" s="12"/>
      <c r="M2204" s="13"/>
    </row>
    <row r="2205" spans="12:13" x14ac:dyDescent="0.2">
      <c r="L2205" s="12"/>
      <c r="M2205" s="13"/>
    </row>
    <row r="2206" spans="12:13" x14ac:dyDescent="0.2">
      <c r="L2206" s="12"/>
      <c r="M2206" s="13"/>
    </row>
    <row r="2207" spans="12:13" x14ac:dyDescent="0.2">
      <c r="L2207" s="12"/>
      <c r="M2207" s="13"/>
    </row>
    <row r="2208" spans="12:13" x14ac:dyDescent="0.2">
      <c r="L2208" s="12"/>
      <c r="M2208" s="13"/>
    </row>
    <row r="2209" spans="12:13" x14ac:dyDescent="0.2">
      <c r="L2209" s="12"/>
      <c r="M2209" s="13"/>
    </row>
    <row r="2210" spans="12:13" x14ac:dyDescent="0.2">
      <c r="L2210" s="12"/>
      <c r="M2210" s="13"/>
    </row>
    <row r="2211" spans="12:13" x14ac:dyDescent="0.2">
      <c r="L2211" s="12"/>
      <c r="M2211" s="13"/>
    </row>
    <row r="2212" spans="12:13" x14ac:dyDescent="0.2">
      <c r="L2212" s="12"/>
      <c r="M2212" s="13"/>
    </row>
    <row r="2213" spans="12:13" x14ac:dyDescent="0.2">
      <c r="L2213" s="12"/>
      <c r="M2213" s="13"/>
    </row>
    <row r="2214" spans="12:13" x14ac:dyDescent="0.2">
      <c r="L2214" s="12"/>
      <c r="M2214" s="13"/>
    </row>
    <row r="2215" spans="12:13" x14ac:dyDescent="0.2">
      <c r="L2215" s="12"/>
      <c r="M2215" s="13"/>
    </row>
    <row r="2216" spans="12:13" x14ac:dyDescent="0.2">
      <c r="L2216" s="12"/>
      <c r="M2216" s="13"/>
    </row>
    <row r="2217" spans="12:13" x14ac:dyDescent="0.2">
      <c r="L2217" s="12"/>
      <c r="M2217" s="13"/>
    </row>
    <row r="2218" spans="12:13" x14ac:dyDescent="0.2">
      <c r="L2218" s="12"/>
      <c r="M2218" s="13"/>
    </row>
    <row r="2219" spans="12:13" x14ac:dyDescent="0.2">
      <c r="L2219" s="12"/>
      <c r="M2219" s="13"/>
    </row>
    <row r="2220" spans="12:13" x14ac:dyDescent="0.2">
      <c r="L2220" s="12"/>
      <c r="M2220" s="13"/>
    </row>
    <row r="2221" spans="12:13" x14ac:dyDescent="0.2">
      <c r="L2221" s="12"/>
      <c r="M2221" s="13"/>
    </row>
    <row r="2222" spans="12:13" x14ac:dyDescent="0.2">
      <c r="L2222" s="12"/>
      <c r="M2222" s="13"/>
    </row>
    <row r="2223" spans="12:13" x14ac:dyDescent="0.2">
      <c r="L2223" s="12"/>
      <c r="M2223" s="13"/>
    </row>
    <row r="2224" spans="12:13" x14ac:dyDescent="0.2">
      <c r="L2224" s="12"/>
      <c r="M2224" s="13"/>
    </row>
    <row r="2225" spans="12:13" x14ac:dyDescent="0.2">
      <c r="L2225" s="12"/>
      <c r="M2225" s="13"/>
    </row>
    <row r="2226" spans="12:13" x14ac:dyDescent="0.2">
      <c r="L2226" s="12"/>
      <c r="M2226" s="13"/>
    </row>
    <row r="2227" spans="12:13" x14ac:dyDescent="0.2">
      <c r="L2227" s="12"/>
      <c r="M2227" s="13"/>
    </row>
    <row r="2228" spans="12:13" x14ac:dyDescent="0.2">
      <c r="L2228" s="12"/>
      <c r="M2228" s="13"/>
    </row>
    <row r="2229" spans="12:13" x14ac:dyDescent="0.2">
      <c r="L2229" s="12"/>
      <c r="M2229" s="13"/>
    </row>
    <row r="2230" spans="12:13" x14ac:dyDescent="0.2">
      <c r="L2230" s="12"/>
      <c r="M2230" s="13"/>
    </row>
    <row r="2231" spans="12:13" x14ac:dyDescent="0.2">
      <c r="L2231" s="12"/>
      <c r="M2231" s="13"/>
    </row>
    <row r="2232" spans="12:13" x14ac:dyDescent="0.2">
      <c r="L2232" s="12"/>
      <c r="M2232" s="13"/>
    </row>
    <row r="2233" spans="12:13" x14ac:dyDescent="0.2">
      <c r="L2233" s="12"/>
      <c r="M2233" s="13"/>
    </row>
    <row r="2234" spans="12:13" x14ac:dyDescent="0.2">
      <c r="L2234" s="12"/>
      <c r="M2234" s="13"/>
    </row>
    <row r="2235" spans="12:13" x14ac:dyDescent="0.2">
      <c r="L2235" s="12"/>
      <c r="M2235" s="13"/>
    </row>
    <row r="2236" spans="12:13" x14ac:dyDescent="0.2">
      <c r="L2236" s="12"/>
      <c r="M2236" s="13"/>
    </row>
    <row r="2237" spans="12:13" x14ac:dyDescent="0.2">
      <c r="L2237" s="12"/>
      <c r="M2237" s="13"/>
    </row>
    <row r="2238" spans="12:13" x14ac:dyDescent="0.2">
      <c r="L2238" s="12"/>
      <c r="M2238" s="13"/>
    </row>
    <row r="2239" spans="12:13" x14ac:dyDescent="0.2">
      <c r="L2239" s="12"/>
      <c r="M2239" s="13"/>
    </row>
    <row r="2240" spans="12:13" x14ac:dyDescent="0.2">
      <c r="L2240" s="12"/>
      <c r="M2240" s="13"/>
    </row>
    <row r="2241" spans="12:13" x14ac:dyDescent="0.2">
      <c r="L2241" s="12"/>
      <c r="M2241" s="13"/>
    </row>
    <row r="2242" spans="12:13" x14ac:dyDescent="0.2">
      <c r="L2242" s="12"/>
      <c r="M2242" s="13"/>
    </row>
    <row r="2243" spans="12:13" x14ac:dyDescent="0.2">
      <c r="L2243" s="12"/>
      <c r="M2243" s="13"/>
    </row>
    <row r="2244" spans="12:13" x14ac:dyDescent="0.2">
      <c r="L2244" s="12"/>
      <c r="M2244" s="13"/>
    </row>
    <row r="2245" spans="12:13" x14ac:dyDescent="0.2">
      <c r="L2245" s="12"/>
      <c r="M2245" s="13"/>
    </row>
    <row r="2246" spans="12:13" x14ac:dyDescent="0.2">
      <c r="L2246" s="12"/>
      <c r="M2246" s="13"/>
    </row>
    <row r="2247" spans="12:13" x14ac:dyDescent="0.2">
      <c r="L2247" s="12"/>
      <c r="M2247" s="13"/>
    </row>
    <row r="2248" spans="12:13" x14ac:dyDescent="0.2">
      <c r="L2248" s="12"/>
      <c r="M2248" s="13"/>
    </row>
    <row r="2249" spans="12:13" x14ac:dyDescent="0.2">
      <c r="L2249" s="12"/>
      <c r="M2249" s="13"/>
    </row>
    <row r="2250" spans="12:13" x14ac:dyDescent="0.2">
      <c r="L2250" s="12"/>
      <c r="M2250" s="13"/>
    </row>
    <row r="2251" spans="12:13" x14ac:dyDescent="0.2">
      <c r="L2251" s="12"/>
      <c r="M2251" s="13"/>
    </row>
    <row r="2252" spans="12:13" x14ac:dyDescent="0.2">
      <c r="L2252" s="12"/>
      <c r="M2252" s="13"/>
    </row>
    <row r="2253" spans="12:13" x14ac:dyDescent="0.2">
      <c r="L2253" s="12"/>
      <c r="M2253" s="13"/>
    </row>
    <row r="2254" spans="12:13" x14ac:dyDescent="0.2">
      <c r="L2254" s="12"/>
      <c r="M2254" s="13"/>
    </row>
    <row r="2255" spans="12:13" x14ac:dyDescent="0.2">
      <c r="L2255" s="12"/>
      <c r="M2255" s="13"/>
    </row>
    <row r="2256" spans="12:13" x14ac:dyDescent="0.2">
      <c r="L2256" s="12"/>
      <c r="M2256" s="13"/>
    </row>
    <row r="2257" spans="12:13" x14ac:dyDescent="0.2">
      <c r="L2257" s="12"/>
      <c r="M2257" s="13"/>
    </row>
    <row r="2258" spans="12:13" x14ac:dyDescent="0.2">
      <c r="L2258" s="12"/>
      <c r="M2258" s="13"/>
    </row>
    <row r="2259" spans="12:13" x14ac:dyDescent="0.2">
      <c r="L2259" s="12"/>
      <c r="M2259" s="13"/>
    </row>
    <row r="2260" spans="12:13" x14ac:dyDescent="0.2">
      <c r="L2260" s="12"/>
      <c r="M2260" s="13"/>
    </row>
    <row r="2261" spans="12:13" x14ac:dyDescent="0.2">
      <c r="L2261" s="12"/>
      <c r="M2261" s="13"/>
    </row>
    <row r="2262" spans="12:13" x14ac:dyDescent="0.2">
      <c r="L2262" s="12"/>
      <c r="M2262" s="13"/>
    </row>
    <row r="2263" spans="12:13" x14ac:dyDescent="0.2">
      <c r="L2263" s="12"/>
      <c r="M2263" s="13"/>
    </row>
    <row r="2264" spans="12:13" x14ac:dyDescent="0.2">
      <c r="L2264" s="12"/>
      <c r="M2264" s="13"/>
    </row>
    <row r="2265" spans="12:13" x14ac:dyDescent="0.2">
      <c r="L2265" s="12"/>
      <c r="M2265" s="13"/>
    </row>
    <row r="2266" spans="12:13" x14ac:dyDescent="0.2">
      <c r="L2266" s="12"/>
      <c r="M2266" s="13"/>
    </row>
    <row r="2267" spans="12:13" x14ac:dyDescent="0.2">
      <c r="L2267" s="12"/>
      <c r="M2267" s="13"/>
    </row>
    <row r="2268" spans="12:13" x14ac:dyDescent="0.2">
      <c r="L2268" s="12"/>
      <c r="M2268" s="13"/>
    </row>
    <row r="2269" spans="12:13" x14ac:dyDescent="0.2">
      <c r="L2269" s="12"/>
      <c r="M2269" s="13"/>
    </row>
    <row r="2270" spans="12:13" x14ac:dyDescent="0.2">
      <c r="L2270" s="12"/>
      <c r="M2270" s="13"/>
    </row>
    <row r="2271" spans="12:13" x14ac:dyDescent="0.2">
      <c r="L2271" s="12"/>
      <c r="M2271" s="13"/>
    </row>
    <row r="2272" spans="12:13" x14ac:dyDescent="0.2">
      <c r="L2272" s="12"/>
      <c r="M2272" s="13"/>
    </row>
    <row r="2273" spans="12:13" x14ac:dyDescent="0.2">
      <c r="L2273" s="12"/>
      <c r="M2273" s="13"/>
    </row>
    <row r="2274" spans="12:13" x14ac:dyDescent="0.2">
      <c r="L2274" s="12"/>
      <c r="M2274" s="13"/>
    </row>
    <row r="2275" spans="12:13" x14ac:dyDescent="0.2">
      <c r="L2275" s="12"/>
      <c r="M2275" s="13"/>
    </row>
    <row r="2276" spans="12:13" x14ac:dyDescent="0.2">
      <c r="L2276" s="12"/>
      <c r="M2276" s="13"/>
    </row>
    <row r="2277" spans="12:13" x14ac:dyDescent="0.2">
      <c r="L2277" s="12"/>
      <c r="M2277" s="13"/>
    </row>
    <row r="2278" spans="12:13" x14ac:dyDescent="0.2">
      <c r="L2278" s="12"/>
      <c r="M2278" s="13"/>
    </row>
    <row r="2279" spans="12:13" x14ac:dyDescent="0.2">
      <c r="L2279" s="12"/>
      <c r="M2279" s="13"/>
    </row>
    <row r="2280" spans="12:13" x14ac:dyDescent="0.2">
      <c r="L2280" s="12"/>
      <c r="M2280" s="13"/>
    </row>
    <row r="2281" spans="12:13" x14ac:dyDescent="0.2">
      <c r="L2281" s="12"/>
      <c r="M2281" s="13"/>
    </row>
    <row r="2282" spans="12:13" x14ac:dyDescent="0.2">
      <c r="L2282" s="12"/>
      <c r="M2282" s="13"/>
    </row>
    <row r="2283" spans="12:13" x14ac:dyDescent="0.2">
      <c r="L2283" s="12"/>
      <c r="M2283" s="13"/>
    </row>
    <row r="2284" spans="12:13" x14ac:dyDescent="0.2">
      <c r="L2284" s="12"/>
      <c r="M2284" s="13"/>
    </row>
    <row r="2285" spans="12:13" x14ac:dyDescent="0.2">
      <c r="L2285" s="12"/>
      <c r="M2285" s="13"/>
    </row>
    <row r="2286" spans="12:13" x14ac:dyDescent="0.2">
      <c r="L2286" s="12"/>
      <c r="M2286" s="13"/>
    </row>
    <row r="2287" spans="12:13" x14ac:dyDescent="0.2">
      <c r="L2287" s="12"/>
      <c r="M2287" s="13"/>
    </row>
    <row r="2288" spans="12:13" x14ac:dyDescent="0.2">
      <c r="L2288" s="12"/>
      <c r="M2288" s="13"/>
    </row>
    <row r="2289" spans="12:13" x14ac:dyDescent="0.2">
      <c r="L2289" s="12"/>
      <c r="M2289" s="13"/>
    </row>
    <row r="2290" spans="12:13" x14ac:dyDescent="0.2">
      <c r="L2290" s="12"/>
      <c r="M2290" s="13"/>
    </row>
    <row r="2291" spans="12:13" x14ac:dyDescent="0.2">
      <c r="L2291" s="12"/>
      <c r="M2291" s="13"/>
    </row>
    <row r="2292" spans="12:13" x14ac:dyDescent="0.2">
      <c r="L2292" s="12"/>
      <c r="M2292" s="13"/>
    </row>
    <row r="2293" spans="12:13" x14ac:dyDescent="0.2">
      <c r="L2293" s="12"/>
      <c r="M2293" s="13"/>
    </row>
    <row r="2294" spans="12:13" x14ac:dyDescent="0.2">
      <c r="L2294" s="12"/>
      <c r="M2294" s="13"/>
    </row>
    <row r="2295" spans="12:13" x14ac:dyDescent="0.2">
      <c r="L2295" s="12"/>
      <c r="M2295" s="13"/>
    </row>
    <row r="2296" spans="12:13" x14ac:dyDescent="0.2">
      <c r="L2296" s="12"/>
      <c r="M2296" s="13"/>
    </row>
    <row r="2297" spans="12:13" x14ac:dyDescent="0.2">
      <c r="L2297" s="12"/>
      <c r="M2297" s="13"/>
    </row>
    <row r="2298" spans="12:13" x14ac:dyDescent="0.2">
      <c r="L2298" s="12"/>
      <c r="M2298" s="13"/>
    </row>
    <row r="2299" spans="12:13" x14ac:dyDescent="0.2">
      <c r="L2299" s="12"/>
      <c r="M2299" s="13"/>
    </row>
    <row r="2300" spans="12:13" x14ac:dyDescent="0.2">
      <c r="L2300" s="12"/>
      <c r="M2300" s="13"/>
    </row>
    <row r="2301" spans="12:13" x14ac:dyDescent="0.2">
      <c r="L2301" s="12"/>
      <c r="M2301" s="13"/>
    </row>
    <row r="2302" spans="12:13" x14ac:dyDescent="0.2">
      <c r="L2302" s="12"/>
      <c r="M2302" s="13"/>
    </row>
    <row r="2303" spans="12:13" x14ac:dyDescent="0.2">
      <c r="L2303" s="12"/>
      <c r="M2303" s="13"/>
    </row>
    <row r="2304" spans="12:13" x14ac:dyDescent="0.2">
      <c r="L2304" s="12"/>
      <c r="M2304" s="13"/>
    </row>
    <row r="2305" spans="12:13" x14ac:dyDescent="0.2">
      <c r="L2305" s="12"/>
      <c r="M2305" s="13"/>
    </row>
    <row r="2306" spans="12:13" x14ac:dyDescent="0.2">
      <c r="L2306" s="17"/>
      <c r="M2306" s="18"/>
    </row>
    <row r="2307" spans="12:13" x14ac:dyDescent="0.2">
      <c r="L2307" s="12"/>
      <c r="M2307" s="13"/>
    </row>
    <row r="2308" spans="12:13" x14ac:dyDescent="0.2">
      <c r="L2308" s="12"/>
      <c r="M2308" s="13"/>
    </row>
    <row r="2309" spans="12:13" x14ac:dyDescent="0.2">
      <c r="L2309" s="12"/>
      <c r="M2309" s="13"/>
    </row>
    <row r="2310" spans="12:13" x14ac:dyDescent="0.2">
      <c r="L2310" s="12"/>
      <c r="M2310" s="13"/>
    </row>
    <row r="2311" spans="12:13" x14ac:dyDescent="0.2">
      <c r="L2311" s="12"/>
      <c r="M2311" s="13"/>
    </row>
    <row r="2312" spans="12:13" x14ac:dyDescent="0.2">
      <c r="L2312" s="12"/>
      <c r="M2312" s="13"/>
    </row>
    <row r="2313" spans="12:13" x14ac:dyDescent="0.2">
      <c r="L2313" s="12"/>
      <c r="M2313" s="13"/>
    </row>
    <row r="2314" spans="12:13" x14ac:dyDescent="0.2">
      <c r="L2314" s="12"/>
      <c r="M2314" s="13"/>
    </row>
    <row r="2315" spans="12:13" x14ac:dyDescent="0.2">
      <c r="L2315" s="12"/>
      <c r="M2315" s="13"/>
    </row>
    <row r="2316" spans="12:13" x14ac:dyDescent="0.2">
      <c r="L2316" s="12"/>
      <c r="M2316" s="13"/>
    </row>
    <row r="2317" spans="12:13" x14ac:dyDescent="0.2">
      <c r="L2317" s="12"/>
      <c r="M2317" s="13"/>
    </row>
    <row r="2318" spans="12:13" x14ac:dyDescent="0.2">
      <c r="L2318" s="12"/>
      <c r="M2318" s="13"/>
    </row>
    <row r="2319" spans="12:13" x14ac:dyDescent="0.2">
      <c r="L2319" s="12"/>
      <c r="M2319" s="13"/>
    </row>
    <row r="2320" spans="12:13" x14ac:dyDescent="0.2">
      <c r="L2320" s="12"/>
      <c r="M2320" s="13"/>
    </row>
    <row r="2321" spans="12:13" x14ac:dyDescent="0.2">
      <c r="L2321" s="12"/>
      <c r="M2321" s="13"/>
    </row>
    <row r="2322" spans="12:13" x14ac:dyDescent="0.2">
      <c r="L2322" s="12"/>
      <c r="M2322" s="13"/>
    </row>
    <row r="2323" spans="12:13" x14ac:dyDescent="0.2">
      <c r="L2323" s="12"/>
      <c r="M2323" s="13"/>
    </row>
    <row r="2324" spans="12:13" x14ac:dyDescent="0.2">
      <c r="L2324" s="12"/>
      <c r="M2324" s="13"/>
    </row>
    <row r="2325" spans="12:13" x14ac:dyDescent="0.2">
      <c r="L2325" s="12"/>
      <c r="M2325" s="13"/>
    </row>
    <row r="2326" spans="12:13" x14ac:dyDescent="0.2">
      <c r="L2326" s="12"/>
      <c r="M2326" s="13"/>
    </row>
    <row r="2327" spans="12:13" x14ac:dyDescent="0.2">
      <c r="L2327" s="12"/>
      <c r="M2327" s="13"/>
    </row>
    <row r="2328" spans="12:13" x14ac:dyDescent="0.2">
      <c r="L2328" s="12"/>
      <c r="M2328" s="13"/>
    </row>
    <row r="2329" spans="12:13" x14ac:dyDescent="0.2">
      <c r="L2329" s="12"/>
      <c r="M2329" s="13"/>
    </row>
    <row r="2330" spans="12:13" x14ac:dyDescent="0.2">
      <c r="L2330" s="12"/>
      <c r="M2330" s="13"/>
    </row>
    <row r="2331" spans="12:13" x14ac:dyDescent="0.2">
      <c r="L2331" s="12"/>
      <c r="M2331" s="13"/>
    </row>
    <row r="2332" spans="12:13" x14ac:dyDescent="0.2">
      <c r="L2332" s="12"/>
      <c r="M2332" s="13"/>
    </row>
    <row r="2333" spans="12:13" x14ac:dyDescent="0.2">
      <c r="L2333" s="12"/>
      <c r="M2333" s="13"/>
    </row>
    <row r="2334" spans="12:13" x14ac:dyDescent="0.2">
      <c r="L2334" s="12"/>
      <c r="M2334" s="13"/>
    </row>
    <row r="2335" spans="12:13" x14ac:dyDescent="0.2">
      <c r="L2335" s="12"/>
      <c r="M2335" s="13"/>
    </row>
    <row r="2336" spans="12:13" x14ac:dyDescent="0.2">
      <c r="L2336" s="12"/>
      <c r="M2336" s="13"/>
    </row>
    <row r="2337" spans="12:13" x14ac:dyDescent="0.2">
      <c r="L2337" s="12"/>
      <c r="M2337" s="13"/>
    </row>
    <row r="2338" spans="12:13" x14ac:dyDescent="0.2">
      <c r="L2338" s="12"/>
      <c r="M2338" s="13"/>
    </row>
    <row r="2339" spans="12:13" x14ac:dyDescent="0.2">
      <c r="L2339" s="12"/>
      <c r="M2339" s="13"/>
    </row>
    <row r="2340" spans="12:13" x14ac:dyDescent="0.2">
      <c r="L2340" s="12"/>
      <c r="M2340" s="13"/>
    </row>
    <row r="2341" spans="12:13" x14ac:dyDescent="0.2">
      <c r="L2341" s="12"/>
      <c r="M2341" s="13"/>
    </row>
    <row r="2342" spans="12:13" x14ac:dyDescent="0.2">
      <c r="L2342" s="12"/>
      <c r="M2342" s="13"/>
    </row>
    <row r="2343" spans="12:13" x14ac:dyDescent="0.2">
      <c r="L2343" s="12"/>
      <c r="M2343" s="13"/>
    </row>
    <row r="2344" spans="12:13" x14ac:dyDescent="0.2">
      <c r="L2344" s="12"/>
      <c r="M2344" s="13"/>
    </row>
    <row r="2345" spans="12:13" x14ac:dyDescent="0.2">
      <c r="L2345" s="12"/>
      <c r="M2345" s="13"/>
    </row>
    <row r="2346" spans="12:13" x14ac:dyDescent="0.2">
      <c r="L2346" s="12"/>
      <c r="M2346" s="13"/>
    </row>
    <row r="2347" spans="12:13" x14ac:dyDescent="0.2">
      <c r="L2347" s="12"/>
      <c r="M2347" s="13"/>
    </row>
    <row r="2348" spans="12:13" x14ac:dyDescent="0.2">
      <c r="L2348" s="12"/>
      <c r="M2348" s="13"/>
    </row>
    <row r="2349" spans="12:13" x14ac:dyDescent="0.2">
      <c r="L2349" s="12"/>
      <c r="M2349" s="13"/>
    </row>
    <row r="2350" spans="12:13" x14ac:dyDescent="0.2">
      <c r="L2350" s="12"/>
      <c r="M2350" s="13"/>
    </row>
    <row r="2351" spans="12:13" x14ac:dyDescent="0.2">
      <c r="L2351" s="12"/>
      <c r="M2351" s="13"/>
    </row>
    <row r="2352" spans="12:13" x14ac:dyDescent="0.2">
      <c r="L2352" s="12"/>
      <c r="M2352" s="13"/>
    </row>
    <row r="2353" spans="12:13" x14ac:dyDescent="0.2">
      <c r="L2353" s="12"/>
      <c r="M2353" s="13"/>
    </row>
    <row r="2354" spans="12:13" x14ac:dyDescent="0.2">
      <c r="L2354" s="12"/>
      <c r="M2354" s="13"/>
    </row>
    <row r="2355" spans="12:13" x14ac:dyDescent="0.2">
      <c r="L2355" s="12"/>
      <c r="M2355" s="13"/>
    </row>
    <row r="2356" spans="12:13" x14ac:dyDescent="0.2">
      <c r="L2356" s="12"/>
      <c r="M2356" s="13"/>
    </row>
    <row r="2357" spans="12:13" x14ac:dyDescent="0.2">
      <c r="L2357" s="12"/>
      <c r="M2357" s="13"/>
    </row>
    <row r="2358" spans="12:13" x14ac:dyDescent="0.2">
      <c r="L2358" s="12"/>
      <c r="M2358" s="13"/>
    </row>
    <row r="2359" spans="12:13" x14ac:dyDescent="0.2">
      <c r="L2359" s="12"/>
      <c r="M2359" s="13"/>
    </row>
    <row r="2360" spans="12:13" x14ac:dyDescent="0.2">
      <c r="L2360" s="12"/>
      <c r="M2360" s="13"/>
    </row>
    <row r="2361" spans="12:13" x14ac:dyDescent="0.2">
      <c r="L2361" s="12"/>
      <c r="M2361" s="13"/>
    </row>
    <row r="2362" spans="12:13" x14ac:dyDescent="0.2">
      <c r="L2362" s="12"/>
      <c r="M2362" s="13"/>
    </row>
    <row r="2363" spans="12:13" x14ac:dyDescent="0.2">
      <c r="L2363" s="12"/>
      <c r="M2363" s="13"/>
    </row>
    <row r="2364" spans="12:13" x14ac:dyDescent="0.2">
      <c r="L2364" s="12"/>
      <c r="M2364" s="13"/>
    </row>
    <row r="2365" spans="12:13" x14ac:dyDescent="0.2">
      <c r="L2365" s="12"/>
      <c r="M2365" s="13"/>
    </row>
    <row r="2366" spans="12:13" x14ac:dyDescent="0.2">
      <c r="L2366" s="12"/>
      <c r="M2366" s="13"/>
    </row>
    <row r="2367" spans="12:13" x14ac:dyDescent="0.2">
      <c r="L2367" s="12"/>
      <c r="M2367" s="13"/>
    </row>
    <row r="2368" spans="12:13" x14ac:dyDescent="0.2">
      <c r="L2368" s="12"/>
      <c r="M2368" s="13"/>
    </row>
    <row r="2369" spans="12:13" x14ac:dyDescent="0.2">
      <c r="L2369" s="12"/>
      <c r="M2369" s="13"/>
    </row>
    <row r="2370" spans="12:13" x14ac:dyDescent="0.2">
      <c r="L2370" s="12"/>
      <c r="M2370" s="13"/>
    </row>
    <row r="2371" spans="12:13" x14ac:dyDescent="0.2">
      <c r="L2371" s="12"/>
      <c r="M2371" s="13"/>
    </row>
    <row r="2372" spans="12:13" x14ac:dyDescent="0.2">
      <c r="L2372" s="12"/>
      <c r="M2372" s="13"/>
    </row>
    <row r="2373" spans="12:13" x14ac:dyDescent="0.2">
      <c r="L2373" s="12"/>
      <c r="M2373" s="13"/>
    </row>
    <row r="2374" spans="12:13" x14ac:dyDescent="0.2">
      <c r="L2374" s="12"/>
      <c r="M2374" s="13"/>
    </row>
    <row r="2375" spans="12:13" x14ac:dyDescent="0.2">
      <c r="L2375" s="12"/>
      <c r="M2375" s="13"/>
    </row>
    <row r="2376" spans="12:13" x14ac:dyDescent="0.2">
      <c r="L2376" s="12"/>
      <c r="M2376" s="13"/>
    </row>
    <row r="2377" spans="12:13" x14ac:dyDescent="0.2">
      <c r="L2377" s="12"/>
      <c r="M2377" s="13"/>
    </row>
    <row r="2378" spans="12:13" x14ac:dyDescent="0.2">
      <c r="L2378" s="12"/>
      <c r="M2378" s="13"/>
    </row>
    <row r="2379" spans="12:13" x14ac:dyDescent="0.2">
      <c r="L2379" s="12"/>
      <c r="M2379" s="13"/>
    </row>
    <row r="2380" spans="12:13" x14ac:dyDescent="0.2">
      <c r="L2380" s="12"/>
      <c r="M2380" s="13"/>
    </row>
    <row r="2381" spans="12:13" x14ac:dyDescent="0.2">
      <c r="L2381" s="12"/>
      <c r="M2381" s="13"/>
    </row>
    <row r="2382" spans="12:13" x14ac:dyDescent="0.2">
      <c r="L2382" s="12"/>
      <c r="M2382" s="13"/>
    </row>
    <row r="2383" spans="12:13" x14ac:dyDescent="0.2">
      <c r="L2383" s="12"/>
      <c r="M2383" s="13"/>
    </row>
    <row r="2384" spans="12:13" x14ac:dyDescent="0.2">
      <c r="L2384" s="12"/>
      <c r="M2384" s="13"/>
    </row>
    <row r="2385" spans="12:13" x14ac:dyDescent="0.2">
      <c r="L2385" s="12"/>
      <c r="M2385" s="13"/>
    </row>
    <row r="2386" spans="12:13" x14ac:dyDescent="0.2">
      <c r="L2386" s="12"/>
      <c r="M2386" s="13"/>
    </row>
    <row r="2387" spans="12:13" x14ac:dyDescent="0.2">
      <c r="L2387" s="12"/>
      <c r="M2387" s="13"/>
    </row>
    <row r="2388" spans="12:13" x14ac:dyDescent="0.2">
      <c r="L2388" s="12"/>
      <c r="M2388" s="13"/>
    </row>
    <row r="2389" spans="12:13" x14ac:dyDescent="0.2">
      <c r="L2389" s="12"/>
      <c r="M2389" s="13"/>
    </row>
    <row r="2390" spans="12:13" x14ac:dyDescent="0.2">
      <c r="L2390" s="12"/>
      <c r="M2390" s="13"/>
    </row>
    <row r="2391" spans="12:13" x14ac:dyDescent="0.2">
      <c r="L2391" s="12"/>
      <c r="M2391" s="13"/>
    </row>
    <row r="2392" spans="12:13" x14ac:dyDescent="0.2">
      <c r="L2392" s="12"/>
      <c r="M2392" s="13"/>
    </row>
    <row r="2393" spans="12:13" x14ac:dyDescent="0.2">
      <c r="L2393" s="12"/>
      <c r="M2393" s="13"/>
    </row>
    <row r="2394" spans="12:13" x14ac:dyDescent="0.2">
      <c r="L2394" s="12"/>
      <c r="M2394" s="13"/>
    </row>
    <row r="2395" spans="12:13" x14ac:dyDescent="0.2">
      <c r="L2395" s="12"/>
      <c r="M2395" s="13"/>
    </row>
    <row r="2396" spans="12:13" x14ac:dyDescent="0.2">
      <c r="L2396" s="12"/>
      <c r="M2396" s="13"/>
    </row>
    <row r="2397" spans="12:13" x14ac:dyDescent="0.2">
      <c r="L2397" s="12"/>
      <c r="M2397" s="13"/>
    </row>
    <row r="2398" spans="12:13" x14ac:dyDescent="0.2">
      <c r="L2398" s="12"/>
      <c r="M2398" s="13"/>
    </row>
    <row r="2399" spans="12:13" x14ac:dyDescent="0.2">
      <c r="L2399" s="12"/>
      <c r="M2399" s="13"/>
    </row>
    <row r="2400" spans="12:13" x14ac:dyDescent="0.2">
      <c r="L2400" s="12"/>
      <c r="M2400" s="13"/>
    </row>
    <row r="2401" spans="12:13" x14ac:dyDescent="0.2">
      <c r="L2401" s="12"/>
      <c r="M2401" s="13"/>
    </row>
    <row r="2402" spans="12:13" x14ac:dyDescent="0.2">
      <c r="L2402" s="12"/>
      <c r="M2402" s="13"/>
    </row>
    <row r="2403" spans="12:13" x14ac:dyDescent="0.2">
      <c r="L2403" s="12"/>
      <c r="M2403" s="13"/>
    </row>
    <row r="2404" spans="12:13" x14ac:dyDescent="0.2">
      <c r="L2404" s="12"/>
      <c r="M2404" s="13"/>
    </row>
    <row r="2405" spans="12:13" x14ac:dyDescent="0.2">
      <c r="L2405" s="12"/>
      <c r="M2405" s="13"/>
    </row>
    <row r="2406" spans="12:13" x14ac:dyDescent="0.2">
      <c r="L2406" s="12"/>
      <c r="M2406" s="13"/>
    </row>
    <row r="2407" spans="12:13" x14ac:dyDescent="0.2">
      <c r="L2407" s="12"/>
      <c r="M2407" s="13"/>
    </row>
    <row r="2408" spans="12:13" x14ac:dyDescent="0.2">
      <c r="L2408" s="12"/>
      <c r="M2408" s="13"/>
    </row>
    <row r="2409" spans="12:13" x14ac:dyDescent="0.2">
      <c r="L2409" s="12"/>
      <c r="M2409" s="13"/>
    </row>
    <row r="2410" spans="12:13" x14ac:dyDescent="0.2">
      <c r="L2410" s="12"/>
      <c r="M2410" s="13"/>
    </row>
    <row r="2411" spans="12:13" x14ac:dyDescent="0.2">
      <c r="L2411" s="12"/>
      <c r="M2411" s="13"/>
    </row>
    <row r="2412" spans="12:13" x14ac:dyDescent="0.2">
      <c r="L2412" s="12"/>
      <c r="M2412" s="13"/>
    </row>
    <row r="2413" spans="12:13" x14ac:dyDescent="0.2">
      <c r="L2413" s="12"/>
      <c r="M2413" s="13"/>
    </row>
    <row r="2414" spans="12:13" x14ac:dyDescent="0.2">
      <c r="L2414" s="12"/>
      <c r="M2414" s="13"/>
    </row>
    <row r="2415" spans="12:13" x14ac:dyDescent="0.2">
      <c r="L2415" s="12"/>
      <c r="M2415" s="13"/>
    </row>
    <row r="2416" spans="12:13" x14ac:dyDescent="0.2">
      <c r="L2416" s="12"/>
      <c r="M2416" s="13"/>
    </row>
    <row r="2417" spans="12:13" x14ac:dyDescent="0.2">
      <c r="L2417" s="12"/>
      <c r="M2417" s="13"/>
    </row>
    <row r="2418" spans="12:13" x14ac:dyDescent="0.2">
      <c r="L2418" s="12"/>
      <c r="M2418" s="13"/>
    </row>
    <row r="2419" spans="12:13" x14ac:dyDescent="0.2">
      <c r="L2419" s="12"/>
      <c r="M2419" s="13"/>
    </row>
    <row r="2420" spans="12:13" x14ac:dyDescent="0.2">
      <c r="L2420" s="12"/>
      <c r="M2420" s="13"/>
    </row>
    <row r="2421" spans="12:13" x14ac:dyDescent="0.2">
      <c r="L2421" s="12"/>
      <c r="M2421" s="13"/>
    </row>
    <row r="2422" spans="12:13" x14ac:dyDescent="0.2">
      <c r="L2422" s="12"/>
      <c r="M2422" s="13"/>
    </row>
    <row r="2423" spans="12:13" x14ac:dyDescent="0.2">
      <c r="L2423" s="12"/>
      <c r="M2423" s="13"/>
    </row>
    <row r="2424" spans="12:13" x14ac:dyDescent="0.2">
      <c r="L2424" s="12"/>
      <c r="M2424" s="13"/>
    </row>
    <row r="2425" spans="12:13" x14ac:dyDescent="0.2">
      <c r="L2425" s="12"/>
      <c r="M2425" s="13"/>
    </row>
    <row r="2426" spans="12:13" x14ac:dyDescent="0.2">
      <c r="L2426" s="12"/>
      <c r="M2426" s="13"/>
    </row>
    <row r="2427" spans="12:13" x14ac:dyDescent="0.2">
      <c r="L2427" s="12"/>
      <c r="M2427" s="13"/>
    </row>
    <row r="2428" spans="12:13" x14ac:dyDescent="0.2">
      <c r="L2428" s="12"/>
      <c r="M2428" s="13"/>
    </row>
    <row r="2429" spans="12:13" x14ac:dyDescent="0.2">
      <c r="L2429" s="12"/>
      <c r="M2429" s="13"/>
    </row>
    <row r="2430" spans="12:13" x14ac:dyDescent="0.2">
      <c r="L2430" s="12"/>
      <c r="M2430" s="13"/>
    </row>
    <row r="2431" spans="12:13" x14ac:dyDescent="0.2">
      <c r="L2431" s="12"/>
      <c r="M2431" s="13"/>
    </row>
    <row r="2432" spans="12:13" x14ac:dyDescent="0.2">
      <c r="L2432" s="12"/>
      <c r="M2432" s="13"/>
    </row>
    <row r="2433" spans="12:13" x14ac:dyDescent="0.2">
      <c r="L2433" s="12"/>
      <c r="M2433" s="13"/>
    </row>
    <row r="2434" spans="12:13" x14ac:dyDescent="0.2">
      <c r="L2434" s="12"/>
      <c r="M2434" s="13"/>
    </row>
    <row r="2435" spans="12:13" x14ac:dyDescent="0.2">
      <c r="L2435" s="12"/>
      <c r="M2435" s="13"/>
    </row>
    <row r="2436" spans="12:13" x14ac:dyDescent="0.2">
      <c r="L2436" s="12"/>
      <c r="M2436" s="13"/>
    </row>
    <row r="2437" spans="12:13" x14ac:dyDescent="0.2">
      <c r="L2437" s="12"/>
      <c r="M2437" s="13"/>
    </row>
    <row r="2438" spans="12:13" x14ac:dyDescent="0.2">
      <c r="L2438" s="12"/>
      <c r="M2438" s="13"/>
    </row>
    <row r="2439" spans="12:13" x14ac:dyDescent="0.2">
      <c r="L2439" s="12"/>
      <c r="M2439" s="13"/>
    </row>
    <row r="2440" spans="12:13" x14ac:dyDescent="0.2">
      <c r="L2440" s="12"/>
      <c r="M2440" s="13"/>
    </row>
    <row r="2441" spans="12:13" x14ac:dyDescent="0.2">
      <c r="L2441" s="12"/>
      <c r="M2441" s="13"/>
    </row>
    <row r="2442" spans="12:13" x14ac:dyDescent="0.2">
      <c r="L2442" s="12"/>
      <c r="M2442" s="13"/>
    </row>
    <row r="2443" spans="12:13" x14ac:dyDescent="0.2">
      <c r="L2443" s="12"/>
      <c r="M2443" s="13"/>
    </row>
    <row r="2444" spans="12:13" x14ac:dyDescent="0.2">
      <c r="L2444" s="12"/>
      <c r="M2444" s="13"/>
    </row>
    <row r="2445" spans="12:13" x14ac:dyDescent="0.2">
      <c r="L2445" s="12"/>
      <c r="M2445" s="13"/>
    </row>
    <row r="2446" spans="12:13" x14ac:dyDescent="0.2">
      <c r="L2446" s="12"/>
      <c r="M2446" s="13"/>
    </row>
    <row r="2447" spans="12:13" x14ac:dyDescent="0.2">
      <c r="L2447" s="12"/>
      <c r="M2447" s="13"/>
    </row>
    <row r="2448" spans="12:13" x14ac:dyDescent="0.2">
      <c r="L2448" s="12"/>
      <c r="M2448" s="13"/>
    </row>
    <row r="2449" spans="12:13" x14ac:dyDescent="0.2">
      <c r="L2449" s="12"/>
      <c r="M2449" s="13"/>
    </row>
    <row r="2450" spans="12:13" x14ac:dyDescent="0.2">
      <c r="L2450" s="12"/>
      <c r="M2450" s="13"/>
    </row>
    <row r="2451" spans="12:13" x14ac:dyDescent="0.2">
      <c r="L2451" s="12"/>
      <c r="M2451" s="13"/>
    </row>
    <row r="2452" spans="12:13" x14ac:dyDescent="0.2">
      <c r="L2452" s="12"/>
      <c r="M2452" s="13"/>
    </row>
    <row r="2453" spans="12:13" x14ac:dyDescent="0.2">
      <c r="L2453" s="12"/>
      <c r="M2453" s="13"/>
    </row>
    <row r="2454" spans="12:13" x14ac:dyDescent="0.2">
      <c r="L2454" s="12"/>
      <c r="M2454" s="13"/>
    </row>
    <row r="2455" spans="12:13" x14ac:dyDescent="0.2">
      <c r="L2455" s="12"/>
      <c r="M2455" s="13"/>
    </row>
    <row r="2456" spans="12:13" x14ac:dyDescent="0.2">
      <c r="L2456" s="12"/>
      <c r="M2456" s="13"/>
    </row>
    <row r="2457" spans="12:13" x14ac:dyDescent="0.2">
      <c r="L2457" s="12"/>
      <c r="M2457" s="13"/>
    </row>
    <row r="2458" spans="12:13" x14ac:dyDescent="0.2">
      <c r="L2458" s="12"/>
      <c r="M2458" s="13"/>
    </row>
    <row r="2459" spans="12:13" x14ac:dyDescent="0.2">
      <c r="L2459" s="12"/>
      <c r="M2459" s="13"/>
    </row>
    <row r="2460" spans="12:13" x14ac:dyDescent="0.2">
      <c r="L2460" s="12"/>
      <c r="M2460" s="13"/>
    </row>
    <row r="2461" spans="12:13" x14ac:dyDescent="0.2">
      <c r="L2461" s="12"/>
      <c r="M2461" s="13"/>
    </row>
    <row r="2462" spans="12:13" x14ac:dyDescent="0.2">
      <c r="L2462" s="12"/>
      <c r="M2462" s="13"/>
    </row>
    <row r="2463" spans="12:13" x14ac:dyDescent="0.2">
      <c r="L2463" s="12"/>
      <c r="M2463" s="13"/>
    </row>
    <row r="2464" spans="12:13" x14ac:dyDescent="0.2">
      <c r="L2464" s="12"/>
      <c r="M2464" s="13"/>
    </row>
    <row r="2465" spans="12:13" x14ac:dyDescent="0.2">
      <c r="L2465" s="12"/>
      <c r="M2465" s="13"/>
    </row>
    <row r="2466" spans="12:13" x14ac:dyDescent="0.2">
      <c r="L2466" s="12"/>
      <c r="M2466" s="13"/>
    </row>
    <row r="2467" spans="12:13" x14ac:dyDescent="0.2">
      <c r="L2467" s="12"/>
      <c r="M2467" s="13"/>
    </row>
    <row r="2468" spans="12:13" x14ac:dyDescent="0.2">
      <c r="L2468" s="12"/>
      <c r="M2468" s="13"/>
    </row>
    <row r="2469" spans="12:13" x14ac:dyDescent="0.2">
      <c r="L2469" s="12"/>
      <c r="M2469" s="13"/>
    </row>
    <row r="2470" spans="12:13" x14ac:dyDescent="0.2">
      <c r="L2470" s="12"/>
      <c r="M2470" s="13"/>
    </row>
    <row r="2471" spans="12:13" x14ac:dyDescent="0.2">
      <c r="L2471" s="12"/>
      <c r="M2471" s="13"/>
    </row>
    <row r="2472" spans="12:13" x14ac:dyDescent="0.2">
      <c r="L2472" s="12"/>
      <c r="M2472" s="13"/>
    </row>
    <row r="2473" spans="12:13" x14ac:dyDescent="0.2">
      <c r="L2473" s="12"/>
      <c r="M2473" s="13"/>
    </row>
    <row r="2474" spans="12:13" x14ac:dyDescent="0.2">
      <c r="L2474" s="12"/>
      <c r="M2474" s="13"/>
    </row>
    <row r="2475" spans="12:13" x14ac:dyDescent="0.2">
      <c r="L2475" s="12"/>
      <c r="M2475" s="13"/>
    </row>
    <row r="2476" spans="12:13" x14ac:dyDescent="0.2">
      <c r="L2476" s="12"/>
      <c r="M2476" s="13"/>
    </row>
    <row r="2477" spans="12:13" x14ac:dyDescent="0.2">
      <c r="L2477" s="12"/>
      <c r="M2477" s="13"/>
    </row>
    <row r="2478" spans="12:13" x14ac:dyDescent="0.2">
      <c r="L2478" s="12"/>
      <c r="M2478" s="13"/>
    </row>
    <row r="2479" spans="12:13" x14ac:dyDescent="0.2">
      <c r="L2479" s="12"/>
      <c r="M2479" s="13"/>
    </row>
    <row r="2480" spans="12:13" x14ac:dyDescent="0.2">
      <c r="L2480" s="12"/>
      <c r="M2480" s="13"/>
    </row>
    <row r="2481" spans="12:13" x14ac:dyDescent="0.2">
      <c r="L2481" s="12"/>
      <c r="M2481" s="13"/>
    </row>
    <row r="2482" spans="12:13" x14ac:dyDescent="0.2">
      <c r="L2482" s="12"/>
      <c r="M2482" s="13"/>
    </row>
    <row r="2483" spans="12:13" x14ac:dyDescent="0.2">
      <c r="L2483" s="12"/>
      <c r="M2483" s="13"/>
    </row>
    <row r="2484" spans="12:13" x14ac:dyDescent="0.2">
      <c r="L2484" s="12"/>
      <c r="M2484" s="13"/>
    </row>
    <row r="2485" spans="12:13" x14ac:dyDescent="0.2">
      <c r="L2485" s="12"/>
      <c r="M2485" s="13"/>
    </row>
    <row r="2486" spans="12:13" x14ac:dyDescent="0.2">
      <c r="L2486" s="12"/>
      <c r="M2486" s="13"/>
    </row>
    <row r="2487" spans="12:13" x14ac:dyDescent="0.2">
      <c r="L2487" s="12"/>
      <c r="M2487" s="13"/>
    </row>
    <row r="2488" spans="12:13" x14ac:dyDescent="0.2">
      <c r="L2488" s="12"/>
      <c r="M2488" s="13"/>
    </row>
    <row r="2489" spans="12:13" x14ac:dyDescent="0.2">
      <c r="L2489" s="12"/>
      <c r="M2489" s="13"/>
    </row>
    <row r="2490" spans="12:13" x14ac:dyDescent="0.2">
      <c r="L2490" s="12"/>
      <c r="M2490" s="13"/>
    </row>
    <row r="2491" spans="12:13" x14ac:dyDescent="0.2">
      <c r="L2491" s="12"/>
      <c r="M2491" s="13"/>
    </row>
    <row r="2492" spans="12:13" x14ac:dyDescent="0.2">
      <c r="L2492" s="12"/>
      <c r="M2492" s="13"/>
    </row>
    <row r="2493" spans="12:13" x14ac:dyDescent="0.2">
      <c r="L2493" s="12"/>
      <c r="M2493" s="13"/>
    </row>
    <row r="2494" spans="12:13" x14ac:dyDescent="0.2">
      <c r="L2494" s="12"/>
      <c r="M2494" s="13"/>
    </row>
    <row r="2495" spans="12:13" x14ac:dyDescent="0.2">
      <c r="L2495" s="12"/>
      <c r="M2495" s="13"/>
    </row>
    <row r="2496" spans="12:13" x14ac:dyDescent="0.2">
      <c r="L2496" s="12"/>
      <c r="M2496" s="13"/>
    </row>
    <row r="2497" spans="12:13" x14ac:dyDescent="0.2">
      <c r="L2497" s="12"/>
      <c r="M2497" s="13"/>
    </row>
    <row r="2498" spans="12:13" x14ac:dyDescent="0.2">
      <c r="L2498" s="12"/>
      <c r="M2498" s="13"/>
    </row>
    <row r="2499" spans="12:13" x14ac:dyDescent="0.2">
      <c r="L2499" s="12"/>
      <c r="M2499" s="13"/>
    </row>
    <row r="2500" spans="12:13" x14ac:dyDescent="0.2">
      <c r="L2500" s="12"/>
      <c r="M2500" s="13"/>
    </row>
    <row r="2501" spans="12:13" x14ac:dyDescent="0.2">
      <c r="L2501" s="12"/>
      <c r="M2501" s="13"/>
    </row>
    <row r="2502" spans="12:13" x14ac:dyDescent="0.2">
      <c r="L2502" s="12"/>
      <c r="M2502" s="13"/>
    </row>
    <row r="2503" spans="12:13" x14ac:dyDescent="0.2">
      <c r="L2503" s="12"/>
      <c r="M2503" s="13"/>
    </row>
    <row r="2504" spans="12:13" x14ac:dyDescent="0.2">
      <c r="L2504" s="12"/>
      <c r="M2504" s="13"/>
    </row>
    <row r="2505" spans="12:13" x14ac:dyDescent="0.2">
      <c r="L2505" s="12"/>
      <c r="M2505" s="13"/>
    </row>
    <row r="2506" spans="12:13" x14ac:dyDescent="0.2">
      <c r="L2506" s="12"/>
      <c r="M2506" s="13"/>
    </row>
    <row r="2507" spans="12:13" x14ac:dyDescent="0.2">
      <c r="L2507" s="12"/>
      <c r="M2507" s="13"/>
    </row>
    <row r="2508" spans="12:13" x14ac:dyDescent="0.2">
      <c r="L2508" s="12"/>
      <c r="M2508" s="13"/>
    </row>
    <row r="2509" spans="12:13" x14ac:dyDescent="0.2">
      <c r="L2509" s="12"/>
      <c r="M2509" s="13"/>
    </row>
    <row r="2510" spans="12:13" x14ac:dyDescent="0.2">
      <c r="L2510" s="12"/>
      <c r="M2510" s="13"/>
    </row>
    <row r="2511" spans="12:13" x14ac:dyDescent="0.2">
      <c r="L2511" s="12"/>
      <c r="M2511" s="13"/>
    </row>
    <row r="2512" spans="12:13" x14ac:dyDescent="0.2">
      <c r="L2512" s="12"/>
      <c r="M2512" s="13"/>
    </row>
    <row r="2513" spans="12:13" x14ac:dyDescent="0.2">
      <c r="L2513" s="12"/>
      <c r="M2513" s="13"/>
    </row>
    <row r="2514" spans="12:13" x14ac:dyDescent="0.2">
      <c r="L2514" s="12"/>
      <c r="M2514" s="13"/>
    </row>
    <row r="2515" spans="12:13" x14ac:dyDescent="0.2">
      <c r="L2515" s="12"/>
      <c r="M2515" s="13"/>
    </row>
    <row r="2516" spans="12:13" x14ac:dyDescent="0.2">
      <c r="L2516" s="12"/>
      <c r="M2516" s="13"/>
    </row>
    <row r="2517" spans="12:13" x14ac:dyDescent="0.2">
      <c r="L2517" s="12"/>
      <c r="M2517" s="13"/>
    </row>
    <row r="2518" spans="12:13" x14ac:dyDescent="0.2">
      <c r="L2518" s="12"/>
      <c r="M2518" s="13"/>
    </row>
    <row r="2519" spans="12:13" x14ac:dyDescent="0.2">
      <c r="L2519" s="12"/>
      <c r="M2519" s="13"/>
    </row>
    <row r="2520" spans="12:13" x14ac:dyDescent="0.2">
      <c r="L2520" s="12"/>
      <c r="M2520" s="13"/>
    </row>
    <row r="2521" spans="12:13" x14ac:dyDescent="0.2">
      <c r="L2521" s="12"/>
      <c r="M2521" s="13"/>
    </row>
    <row r="2522" spans="12:13" x14ac:dyDescent="0.2">
      <c r="L2522" s="12"/>
      <c r="M2522" s="13"/>
    </row>
    <row r="2523" spans="12:13" x14ac:dyDescent="0.2">
      <c r="L2523" s="12"/>
      <c r="M2523" s="13"/>
    </row>
    <row r="2524" spans="12:13" x14ac:dyDescent="0.2">
      <c r="L2524" s="12"/>
      <c r="M2524" s="13"/>
    </row>
    <row r="2525" spans="12:13" x14ac:dyDescent="0.2">
      <c r="L2525" s="12"/>
      <c r="M2525" s="13"/>
    </row>
    <row r="2526" spans="12:13" x14ac:dyDescent="0.2">
      <c r="L2526" s="12"/>
      <c r="M2526" s="13"/>
    </row>
    <row r="2527" spans="12:13" x14ac:dyDescent="0.2">
      <c r="L2527" s="12"/>
      <c r="M2527" s="13"/>
    </row>
    <row r="2528" spans="12:13" x14ac:dyDescent="0.2">
      <c r="L2528" s="12"/>
      <c r="M2528" s="13"/>
    </row>
    <row r="2529" spans="12:13" x14ac:dyDescent="0.2">
      <c r="L2529" s="12"/>
      <c r="M2529" s="13"/>
    </row>
    <row r="2530" spans="12:13" x14ac:dyDescent="0.2">
      <c r="L2530" s="12"/>
      <c r="M2530" s="13"/>
    </row>
    <row r="2531" spans="12:13" x14ac:dyDescent="0.2">
      <c r="L2531" s="12"/>
      <c r="M2531" s="13"/>
    </row>
    <row r="2532" spans="12:13" x14ac:dyDescent="0.2">
      <c r="L2532" s="12"/>
      <c r="M2532" s="13"/>
    </row>
    <row r="2533" spans="12:13" x14ac:dyDescent="0.2">
      <c r="L2533" s="12"/>
      <c r="M2533" s="13"/>
    </row>
    <row r="2534" spans="12:13" x14ac:dyDescent="0.2">
      <c r="L2534" s="12"/>
      <c r="M2534" s="13"/>
    </row>
    <row r="2535" spans="12:13" x14ac:dyDescent="0.2">
      <c r="L2535" s="12"/>
      <c r="M2535" s="13"/>
    </row>
    <row r="2536" spans="12:13" x14ac:dyDescent="0.2">
      <c r="L2536" s="12"/>
      <c r="M2536" s="13"/>
    </row>
    <row r="2537" spans="12:13" x14ac:dyDescent="0.2">
      <c r="L2537" s="12"/>
      <c r="M2537" s="13"/>
    </row>
    <row r="2538" spans="12:13" x14ac:dyDescent="0.2">
      <c r="L2538" s="12"/>
      <c r="M2538" s="13"/>
    </row>
    <row r="2539" spans="12:13" x14ac:dyDescent="0.2">
      <c r="L2539" s="12"/>
      <c r="M2539" s="13"/>
    </row>
    <row r="2540" spans="12:13" x14ac:dyDescent="0.2">
      <c r="L2540" s="12"/>
      <c r="M2540" s="13"/>
    </row>
    <row r="2541" spans="12:13" x14ac:dyDescent="0.2">
      <c r="L2541" s="12"/>
      <c r="M2541" s="13"/>
    </row>
    <row r="2542" spans="12:13" x14ac:dyDescent="0.2">
      <c r="L2542" s="12"/>
      <c r="M2542" s="13"/>
    </row>
    <row r="2543" spans="12:13" x14ac:dyDescent="0.2">
      <c r="L2543" s="12"/>
      <c r="M2543" s="13"/>
    </row>
    <row r="2544" spans="12:13" x14ac:dyDescent="0.2">
      <c r="L2544" s="12"/>
      <c r="M2544" s="13"/>
    </row>
    <row r="2545" spans="12:13" x14ac:dyDescent="0.2">
      <c r="L2545" s="12"/>
      <c r="M2545" s="13"/>
    </row>
    <row r="2546" spans="12:13" x14ac:dyDescent="0.2">
      <c r="L2546" s="12"/>
      <c r="M2546" s="13"/>
    </row>
    <row r="2547" spans="12:13" x14ac:dyDescent="0.2">
      <c r="L2547" s="12"/>
      <c r="M2547" s="13"/>
    </row>
    <row r="2548" spans="12:13" x14ac:dyDescent="0.2">
      <c r="L2548" s="12"/>
      <c r="M2548" s="13"/>
    </row>
    <row r="2549" spans="12:13" x14ac:dyDescent="0.2">
      <c r="L2549" s="12"/>
      <c r="M2549" s="13"/>
    </row>
    <row r="2550" spans="12:13" x14ac:dyDescent="0.2">
      <c r="L2550" s="12"/>
      <c r="M2550" s="13"/>
    </row>
    <row r="2551" spans="12:13" x14ac:dyDescent="0.2">
      <c r="L2551" s="12"/>
      <c r="M2551" s="13"/>
    </row>
    <row r="2552" spans="12:13" x14ac:dyDescent="0.2">
      <c r="L2552" s="12"/>
      <c r="M2552" s="13"/>
    </row>
    <row r="2553" spans="12:13" x14ac:dyDescent="0.2">
      <c r="L2553" s="12"/>
      <c r="M2553" s="13"/>
    </row>
    <row r="2554" spans="12:13" x14ac:dyDescent="0.2">
      <c r="L2554" s="12"/>
      <c r="M2554" s="13"/>
    </row>
    <row r="2555" spans="12:13" x14ac:dyDescent="0.2">
      <c r="L2555" s="12"/>
      <c r="M2555" s="13"/>
    </row>
    <row r="2556" spans="12:13" x14ac:dyDescent="0.2">
      <c r="L2556" s="12"/>
      <c r="M2556" s="13"/>
    </row>
    <row r="2557" spans="12:13" x14ac:dyDescent="0.2">
      <c r="L2557" s="12"/>
      <c r="M2557" s="13"/>
    </row>
    <row r="2558" spans="12:13" x14ac:dyDescent="0.2">
      <c r="L2558" s="12"/>
      <c r="M2558" s="13"/>
    </row>
    <row r="2559" spans="12:13" x14ac:dyDescent="0.2">
      <c r="L2559" s="12"/>
      <c r="M2559" s="13"/>
    </row>
    <row r="2560" spans="12:13" x14ac:dyDescent="0.2">
      <c r="L2560" s="12"/>
      <c r="M2560" s="13"/>
    </row>
    <row r="2561" spans="12:13" x14ac:dyDescent="0.2">
      <c r="L2561" s="12"/>
      <c r="M2561" s="13"/>
    </row>
    <row r="2562" spans="12:13" x14ac:dyDescent="0.2">
      <c r="L2562" s="17"/>
      <c r="M2562" s="18"/>
    </row>
    <row r="2563" spans="12:13" x14ac:dyDescent="0.2">
      <c r="L2563" s="12"/>
      <c r="M2563" s="13"/>
    </row>
    <row r="2564" spans="12:13" x14ac:dyDescent="0.2">
      <c r="L2564" s="12"/>
      <c r="M2564" s="13"/>
    </row>
    <row r="2565" spans="12:13" x14ac:dyDescent="0.2">
      <c r="L2565" s="12"/>
      <c r="M2565" s="13"/>
    </row>
    <row r="2566" spans="12:13" x14ac:dyDescent="0.2">
      <c r="L2566" s="12"/>
      <c r="M2566" s="13"/>
    </row>
    <row r="2567" spans="12:13" x14ac:dyDescent="0.2">
      <c r="L2567" s="12"/>
      <c r="M2567" s="13"/>
    </row>
    <row r="2568" spans="12:13" x14ac:dyDescent="0.2">
      <c r="L2568" s="12"/>
      <c r="M2568" s="13"/>
    </row>
    <row r="2569" spans="12:13" x14ac:dyDescent="0.2">
      <c r="L2569" s="12"/>
      <c r="M2569" s="13"/>
    </row>
    <row r="2570" spans="12:13" x14ac:dyDescent="0.2">
      <c r="L2570" s="12"/>
      <c r="M2570" s="13"/>
    </row>
    <row r="2571" spans="12:13" x14ac:dyDescent="0.2">
      <c r="L2571" s="12"/>
      <c r="M2571" s="13"/>
    </row>
    <row r="2572" spans="12:13" x14ac:dyDescent="0.2">
      <c r="L2572" s="12"/>
      <c r="M2572" s="13"/>
    </row>
    <row r="2573" spans="12:13" x14ac:dyDescent="0.2">
      <c r="L2573" s="12"/>
      <c r="M2573" s="13"/>
    </row>
    <row r="2574" spans="12:13" x14ac:dyDescent="0.2">
      <c r="L2574" s="12"/>
      <c r="M2574" s="13"/>
    </row>
    <row r="2575" spans="12:13" x14ac:dyDescent="0.2">
      <c r="L2575" s="12"/>
      <c r="M2575" s="13"/>
    </row>
    <row r="2576" spans="12:13" x14ac:dyDescent="0.2">
      <c r="L2576" s="12"/>
      <c r="M2576" s="13"/>
    </row>
    <row r="2577" spans="12:13" x14ac:dyDescent="0.2">
      <c r="L2577" s="12"/>
      <c r="M2577" s="13"/>
    </row>
    <row r="2578" spans="12:13" x14ac:dyDescent="0.2">
      <c r="L2578" s="12"/>
      <c r="M2578" s="13"/>
    </row>
    <row r="2579" spans="12:13" x14ac:dyDescent="0.2">
      <c r="L2579" s="12"/>
      <c r="M2579" s="13"/>
    </row>
    <row r="2580" spans="12:13" x14ac:dyDescent="0.2">
      <c r="L2580" s="12"/>
      <c r="M2580" s="13"/>
    </row>
    <row r="2581" spans="12:13" x14ac:dyDescent="0.2">
      <c r="L2581" s="12"/>
      <c r="M2581" s="13"/>
    </row>
    <row r="2582" spans="12:13" x14ac:dyDescent="0.2">
      <c r="L2582" s="12"/>
      <c r="M2582" s="13"/>
    </row>
    <row r="2583" spans="12:13" x14ac:dyDescent="0.2">
      <c r="L2583" s="12"/>
      <c r="M2583" s="13"/>
    </row>
    <row r="2584" spans="12:13" x14ac:dyDescent="0.2">
      <c r="L2584" s="12"/>
      <c r="M2584" s="13"/>
    </row>
    <row r="2585" spans="12:13" x14ac:dyDescent="0.2">
      <c r="L2585" s="12"/>
      <c r="M2585" s="13"/>
    </row>
    <row r="2586" spans="12:13" x14ac:dyDescent="0.2">
      <c r="L2586" s="12"/>
      <c r="M2586" s="13"/>
    </row>
    <row r="2587" spans="12:13" x14ac:dyDescent="0.2">
      <c r="L2587" s="12"/>
      <c r="M2587" s="13"/>
    </row>
    <row r="2588" spans="12:13" x14ac:dyDescent="0.2">
      <c r="L2588" s="12"/>
      <c r="M2588" s="13"/>
    </row>
    <row r="2589" spans="12:13" x14ac:dyDescent="0.2">
      <c r="L2589" s="12"/>
      <c r="M2589" s="13"/>
    </row>
    <row r="2590" spans="12:13" x14ac:dyDescent="0.2">
      <c r="L2590" s="12"/>
      <c r="M2590" s="13"/>
    </row>
    <row r="2591" spans="12:13" x14ac:dyDescent="0.2">
      <c r="L2591" s="12"/>
      <c r="M2591" s="13"/>
    </row>
    <row r="2592" spans="12:13" x14ac:dyDescent="0.2">
      <c r="L2592" s="12"/>
      <c r="M2592" s="13"/>
    </row>
    <row r="2593" spans="12:13" x14ac:dyDescent="0.2">
      <c r="L2593" s="12"/>
      <c r="M2593" s="13"/>
    </row>
    <row r="2594" spans="12:13" x14ac:dyDescent="0.2">
      <c r="L2594" s="12"/>
      <c r="M2594" s="13"/>
    </row>
    <row r="2595" spans="12:13" x14ac:dyDescent="0.2">
      <c r="L2595" s="12"/>
      <c r="M2595" s="13"/>
    </row>
    <row r="2596" spans="12:13" x14ac:dyDescent="0.2">
      <c r="L2596" s="12"/>
      <c r="M2596" s="13"/>
    </row>
    <row r="2597" spans="12:13" x14ac:dyDescent="0.2">
      <c r="L2597" s="12"/>
      <c r="M2597" s="13"/>
    </row>
    <row r="2598" spans="12:13" x14ac:dyDescent="0.2">
      <c r="L2598" s="12"/>
      <c r="M2598" s="13"/>
    </row>
    <row r="2599" spans="12:13" x14ac:dyDescent="0.2">
      <c r="L2599" s="12"/>
      <c r="M2599" s="13"/>
    </row>
    <row r="2600" spans="12:13" x14ac:dyDescent="0.2">
      <c r="L2600" s="12"/>
      <c r="M2600" s="13"/>
    </row>
    <row r="2601" spans="12:13" x14ac:dyDescent="0.2">
      <c r="L2601" s="12"/>
      <c r="M2601" s="13"/>
    </row>
    <row r="2602" spans="12:13" x14ac:dyDescent="0.2">
      <c r="L2602" s="12"/>
      <c r="M2602" s="13"/>
    </row>
    <row r="2603" spans="12:13" x14ac:dyDescent="0.2">
      <c r="L2603" s="12"/>
      <c r="M2603" s="13"/>
    </row>
    <row r="2604" spans="12:13" x14ac:dyDescent="0.2">
      <c r="L2604" s="12"/>
      <c r="M2604" s="13"/>
    </row>
    <row r="2605" spans="12:13" x14ac:dyDescent="0.2">
      <c r="L2605" s="12"/>
      <c r="M2605" s="13"/>
    </row>
    <row r="2606" spans="12:13" x14ac:dyDescent="0.2">
      <c r="L2606" s="12"/>
      <c r="M2606" s="13"/>
    </row>
    <row r="2607" spans="12:13" x14ac:dyDescent="0.2">
      <c r="L2607" s="12"/>
      <c r="M2607" s="13"/>
    </row>
    <row r="2608" spans="12:13" x14ac:dyDescent="0.2">
      <c r="L2608" s="12"/>
      <c r="M2608" s="13"/>
    </row>
    <row r="2609" spans="12:13" x14ac:dyDescent="0.2">
      <c r="L2609" s="12"/>
      <c r="M2609" s="13"/>
    </row>
    <row r="2610" spans="12:13" x14ac:dyDescent="0.2">
      <c r="L2610" s="12"/>
      <c r="M2610" s="13"/>
    </row>
    <row r="2611" spans="12:13" x14ac:dyDescent="0.2">
      <c r="L2611" s="12"/>
      <c r="M2611" s="13"/>
    </row>
    <row r="2612" spans="12:13" x14ac:dyDescent="0.2">
      <c r="L2612" s="12"/>
      <c r="M2612" s="13"/>
    </row>
    <row r="2613" spans="12:13" x14ac:dyDescent="0.2">
      <c r="L2613" s="12"/>
      <c r="M2613" s="13"/>
    </row>
    <row r="2614" spans="12:13" x14ac:dyDescent="0.2">
      <c r="L2614" s="12"/>
      <c r="M2614" s="13"/>
    </row>
    <row r="2615" spans="12:13" x14ac:dyDescent="0.2">
      <c r="L2615" s="12"/>
      <c r="M2615" s="13"/>
    </row>
    <row r="2616" spans="12:13" x14ac:dyDescent="0.2">
      <c r="L2616" s="12"/>
      <c r="M2616" s="13"/>
    </row>
    <row r="2617" spans="12:13" x14ac:dyDescent="0.2">
      <c r="L2617" s="12"/>
      <c r="M2617" s="13"/>
    </row>
    <row r="2618" spans="12:13" x14ac:dyDescent="0.2">
      <c r="L2618" s="12"/>
      <c r="M2618" s="13"/>
    </row>
    <row r="2619" spans="12:13" x14ac:dyDescent="0.2">
      <c r="L2619" s="12"/>
      <c r="M2619" s="13"/>
    </row>
    <row r="2620" spans="12:13" x14ac:dyDescent="0.2">
      <c r="L2620" s="12"/>
      <c r="M2620" s="13"/>
    </row>
    <row r="2621" spans="12:13" x14ac:dyDescent="0.2">
      <c r="L2621" s="12"/>
      <c r="M2621" s="13"/>
    </row>
    <row r="2622" spans="12:13" x14ac:dyDescent="0.2">
      <c r="L2622" s="12"/>
      <c r="M2622" s="13"/>
    </row>
    <row r="2623" spans="12:13" x14ac:dyDescent="0.2">
      <c r="L2623" s="12"/>
      <c r="M2623" s="13"/>
    </row>
    <row r="2624" spans="12:13" x14ac:dyDescent="0.2">
      <c r="L2624" s="12"/>
      <c r="M2624" s="13"/>
    </row>
    <row r="2625" spans="12:13" x14ac:dyDescent="0.2">
      <c r="L2625" s="12"/>
      <c r="M2625" s="13"/>
    </row>
    <row r="2626" spans="12:13" x14ac:dyDescent="0.2">
      <c r="L2626" s="12"/>
      <c r="M2626" s="13"/>
    </row>
    <row r="2627" spans="12:13" x14ac:dyDescent="0.2">
      <c r="L2627" s="12"/>
      <c r="M2627" s="13"/>
    </row>
    <row r="2628" spans="12:13" x14ac:dyDescent="0.2">
      <c r="L2628" s="12"/>
      <c r="M2628" s="13"/>
    </row>
    <row r="2629" spans="12:13" x14ac:dyDescent="0.2">
      <c r="L2629" s="12"/>
      <c r="M2629" s="13"/>
    </row>
    <row r="2630" spans="12:13" x14ac:dyDescent="0.2">
      <c r="L2630" s="12"/>
      <c r="M2630" s="13"/>
    </row>
    <row r="2631" spans="12:13" x14ac:dyDescent="0.2">
      <c r="L2631" s="12"/>
      <c r="M2631" s="13"/>
    </row>
    <row r="2632" spans="12:13" x14ac:dyDescent="0.2">
      <c r="L2632" s="12"/>
      <c r="M2632" s="13"/>
    </row>
    <row r="2633" spans="12:13" x14ac:dyDescent="0.2">
      <c r="L2633" s="12"/>
      <c r="M2633" s="13"/>
    </row>
    <row r="2634" spans="12:13" x14ac:dyDescent="0.2">
      <c r="L2634" s="12"/>
      <c r="M2634" s="13"/>
    </row>
    <row r="2635" spans="12:13" x14ac:dyDescent="0.2">
      <c r="L2635" s="12"/>
      <c r="M2635" s="13"/>
    </row>
    <row r="2636" spans="12:13" x14ac:dyDescent="0.2">
      <c r="L2636" s="12"/>
      <c r="M2636" s="13"/>
    </row>
    <row r="2637" spans="12:13" x14ac:dyDescent="0.2">
      <c r="L2637" s="12"/>
      <c r="M2637" s="13"/>
    </row>
    <row r="2638" spans="12:13" x14ac:dyDescent="0.2">
      <c r="L2638" s="12"/>
      <c r="M2638" s="13"/>
    </row>
    <row r="2639" spans="12:13" x14ac:dyDescent="0.2">
      <c r="L2639" s="12"/>
      <c r="M2639" s="13"/>
    </row>
    <row r="2640" spans="12:13" x14ac:dyDescent="0.2">
      <c r="L2640" s="12"/>
      <c r="M2640" s="13"/>
    </row>
    <row r="2641" spans="12:13" x14ac:dyDescent="0.2">
      <c r="L2641" s="12"/>
      <c r="M2641" s="13"/>
    </row>
    <row r="2642" spans="12:13" x14ac:dyDescent="0.2">
      <c r="L2642" s="12"/>
      <c r="M2642" s="13"/>
    </row>
    <row r="2643" spans="12:13" x14ac:dyDescent="0.2">
      <c r="L2643" s="12"/>
      <c r="M2643" s="13"/>
    </row>
    <row r="2644" spans="12:13" x14ac:dyDescent="0.2">
      <c r="L2644" s="12"/>
      <c r="M2644" s="13"/>
    </row>
    <row r="2645" spans="12:13" x14ac:dyDescent="0.2">
      <c r="L2645" s="12"/>
      <c r="M2645" s="13"/>
    </row>
    <row r="2646" spans="12:13" x14ac:dyDescent="0.2">
      <c r="L2646" s="12"/>
      <c r="M2646" s="13"/>
    </row>
    <row r="2647" spans="12:13" x14ac:dyDescent="0.2">
      <c r="L2647" s="12"/>
      <c r="M2647" s="13"/>
    </row>
    <row r="2648" spans="12:13" x14ac:dyDescent="0.2">
      <c r="L2648" s="12"/>
      <c r="M2648" s="13"/>
    </row>
    <row r="2649" spans="12:13" x14ac:dyDescent="0.2">
      <c r="L2649" s="12"/>
      <c r="M2649" s="13"/>
    </row>
    <row r="2650" spans="12:13" x14ac:dyDescent="0.2">
      <c r="L2650" s="12"/>
      <c r="M2650" s="13"/>
    </row>
    <row r="2651" spans="12:13" x14ac:dyDescent="0.2">
      <c r="L2651" s="12"/>
      <c r="M2651" s="13"/>
    </row>
    <row r="2652" spans="12:13" x14ac:dyDescent="0.2">
      <c r="L2652" s="12"/>
      <c r="M2652" s="13"/>
    </row>
    <row r="2653" spans="12:13" x14ac:dyDescent="0.2">
      <c r="L2653" s="12"/>
      <c r="M2653" s="13"/>
    </row>
    <row r="2654" spans="12:13" x14ac:dyDescent="0.2">
      <c r="L2654" s="12"/>
      <c r="M2654" s="13"/>
    </row>
    <row r="2655" spans="12:13" x14ac:dyDescent="0.2">
      <c r="L2655" s="12"/>
      <c r="M2655" s="13"/>
    </row>
    <row r="2656" spans="12:13" x14ac:dyDescent="0.2">
      <c r="L2656" s="12"/>
      <c r="M2656" s="13"/>
    </row>
    <row r="2657" spans="12:13" x14ac:dyDescent="0.2">
      <c r="L2657" s="12"/>
      <c r="M2657" s="13"/>
    </row>
    <row r="2658" spans="12:13" x14ac:dyDescent="0.2">
      <c r="L2658" s="12"/>
      <c r="M2658" s="13"/>
    </row>
    <row r="2659" spans="12:13" x14ac:dyDescent="0.2">
      <c r="L2659" s="12"/>
      <c r="M2659" s="13"/>
    </row>
    <row r="2660" spans="12:13" x14ac:dyDescent="0.2">
      <c r="L2660" s="12"/>
      <c r="M2660" s="13"/>
    </row>
    <row r="2661" spans="12:13" x14ac:dyDescent="0.2">
      <c r="L2661" s="12"/>
      <c r="M2661" s="13"/>
    </row>
    <row r="2662" spans="12:13" x14ac:dyDescent="0.2">
      <c r="L2662" s="12"/>
      <c r="M2662" s="13"/>
    </row>
    <row r="2663" spans="12:13" x14ac:dyDescent="0.2">
      <c r="L2663" s="12"/>
      <c r="M2663" s="13"/>
    </row>
    <row r="2664" spans="12:13" x14ac:dyDescent="0.2">
      <c r="L2664" s="12"/>
      <c r="M2664" s="13"/>
    </row>
    <row r="2665" spans="12:13" x14ac:dyDescent="0.2">
      <c r="L2665" s="12"/>
      <c r="M2665" s="13"/>
    </row>
    <row r="2666" spans="12:13" x14ac:dyDescent="0.2">
      <c r="L2666" s="12"/>
      <c r="M2666" s="13"/>
    </row>
    <row r="2667" spans="12:13" x14ac:dyDescent="0.2">
      <c r="L2667" s="12"/>
      <c r="M2667" s="13"/>
    </row>
    <row r="2668" spans="12:13" x14ac:dyDescent="0.2">
      <c r="L2668" s="12"/>
      <c r="M2668" s="13"/>
    </row>
    <row r="2669" spans="12:13" x14ac:dyDescent="0.2">
      <c r="L2669" s="12"/>
      <c r="M2669" s="13"/>
    </row>
    <row r="2670" spans="12:13" x14ac:dyDescent="0.2">
      <c r="L2670" s="12"/>
      <c r="M2670" s="13"/>
    </row>
    <row r="2671" spans="12:13" x14ac:dyDescent="0.2">
      <c r="L2671" s="12"/>
      <c r="M2671" s="13"/>
    </row>
    <row r="2672" spans="12:13" x14ac:dyDescent="0.2">
      <c r="L2672" s="12"/>
      <c r="M2672" s="13"/>
    </row>
    <row r="2673" spans="12:13" x14ac:dyDescent="0.2">
      <c r="L2673" s="12"/>
      <c r="M2673" s="13"/>
    </row>
    <row r="2674" spans="12:13" x14ac:dyDescent="0.2">
      <c r="L2674" s="12"/>
      <c r="M2674" s="13"/>
    </row>
    <row r="2675" spans="12:13" x14ac:dyDescent="0.2">
      <c r="L2675" s="12"/>
      <c r="M2675" s="13"/>
    </row>
    <row r="2676" spans="12:13" x14ac:dyDescent="0.2">
      <c r="L2676" s="12"/>
      <c r="M2676" s="13"/>
    </row>
    <row r="2677" spans="12:13" x14ac:dyDescent="0.2">
      <c r="L2677" s="12"/>
      <c r="M2677" s="13"/>
    </row>
    <row r="2678" spans="12:13" x14ac:dyDescent="0.2">
      <c r="L2678" s="12"/>
      <c r="M2678" s="13"/>
    </row>
    <row r="2679" spans="12:13" x14ac:dyDescent="0.2">
      <c r="L2679" s="12"/>
      <c r="M2679" s="13"/>
    </row>
    <row r="2680" spans="12:13" x14ac:dyDescent="0.2">
      <c r="L2680" s="12"/>
      <c r="M2680" s="13"/>
    </row>
    <row r="2681" spans="12:13" x14ac:dyDescent="0.2">
      <c r="L2681" s="12"/>
      <c r="M2681" s="13"/>
    </row>
    <row r="2682" spans="12:13" x14ac:dyDescent="0.2">
      <c r="L2682" s="12"/>
      <c r="M2682" s="13"/>
    </row>
    <row r="2683" spans="12:13" x14ac:dyDescent="0.2">
      <c r="L2683" s="12"/>
      <c r="M2683" s="13"/>
    </row>
    <row r="2684" spans="12:13" x14ac:dyDescent="0.2">
      <c r="L2684" s="12"/>
      <c r="M2684" s="13"/>
    </row>
    <row r="2685" spans="12:13" x14ac:dyDescent="0.2">
      <c r="L2685" s="12"/>
      <c r="M2685" s="13"/>
    </row>
    <row r="2686" spans="12:13" x14ac:dyDescent="0.2">
      <c r="L2686" s="12"/>
      <c r="M2686" s="13"/>
    </row>
    <row r="2687" spans="12:13" x14ac:dyDescent="0.2">
      <c r="L2687" s="12"/>
      <c r="M2687" s="13"/>
    </row>
    <row r="2688" spans="12:13" x14ac:dyDescent="0.2">
      <c r="L2688" s="12"/>
      <c r="M2688" s="13"/>
    </row>
    <row r="2689" spans="12:13" x14ac:dyDescent="0.2">
      <c r="L2689" s="12"/>
      <c r="M2689" s="13"/>
    </row>
    <row r="2690" spans="12:13" x14ac:dyDescent="0.2">
      <c r="L2690" s="12"/>
      <c r="M2690" s="13"/>
    </row>
    <row r="2691" spans="12:13" x14ac:dyDescent="0.2">
      <c r="L2691" s="12"/>
      <c r="M2691" s="13"/>
    </row>
    <row r="2692" spans="12:13" x14ac:dyDescent="0.2">
      <c r="L2692" s="12"/>
      <c r="M2692" s="13"/>
    </row>
    <row r="2693" spans="12:13" x14ac:dyDescent="0.2">
      <c r="L2693" s="12"/>
      <c r="M2693" s="13"/>
    </row>
    <row r="2694" spans="12:13" x14ac:dyDescent="0.2">
      <c r="L2694" s="12"/>
      <c r="M2694" s="13"/>
    </row>
    <row r="2695" spans="12:13" x14ac:dyDescent="0.2">
      <c r="L2695" s="12"/>
      <c r="M2695" s="13"/>
    </row>
    <row r="2696" spans="12:13" x14ac:dyDescent="0.2">
      <c r="L2696" s="12"/>
      <c r="M2696" s="13"/>
    </row>
    <row r="2697" spans="12:13" x14ac:dyDescent="0.2">
      <c r="L2697" s="12"/>
      <c r="M2697" s="13"/>
    </row>
    <row r="2698" spans="12:13" x14ac:dyDescent="0.2">
      <c r="L2698" s="12"/>
      <c r="M2698" s="13"/>
    </row>
    <row r="2699" spans="12:13" x14ac:dyDescent="0.2">
      <c r="L2699" s="12"/>
      <c r="M2699" s="13"/>
    </row>
    <row r="2700" spans="12:13" x14ac:dyDescent="0.2">
      <c r="L2700" s="12"/>
      <c r="M2700" s="13"/>
    </row>
    <row r="2701" spans="12:13" x14ac:dyDescent="0.2">
      <c r="L2701" s="12"/>
      <c r="M2701" s="13"/>
    </row>
    <row r="2702" spans="12:13" x14ac:dyDescent="0.2">
      <c r="L2702" s="12"/>
      <c r="M2702" s="13"/>
    </row>
    <row r="2703" spans="12:13" x14ac:dyDescent="0.2">
      <c r="L2703" s="12"/>
      <c r="M2703" s="13"/>
    </row>
    <row r="2704" spans="12:13" x14ac:dyDescent="0.2">
      <c r="L2704" s="12"/>
      <c r="M2704" s="13"/>
    </row>
    <row r="2705" spans="12:13" x14ac:dyDescent="0.2">
      <c r="L2705" s="12"/>
      <c r="M2705" s="13"/>
    </row>
    <row r="2706" spans="12:13" x14ac:dyDescent="0.2">
      <c r="L2706" s="12"/>
      <c r="M2706" s="13"/>
    </row>
    <row r="2707" spans="12:13" x14ac:dyDescent="0.2">
      <c r="L2707" s="12"/>
      <c r="M2707" s="13"/>
    </row>
    <row r="2708" spans="12:13" x14ac:dyDescent="0.2">
      <c r="L2708" s="12"/>
      <c r="M2708" s="13"/>
    </row>
    <row r="2709" spans="12:13" x14ac:dyDescent="0.2">
      <c r="L2709" s="12"/>
      <c r="M2709" s="13"/>
    </row>
    <row r="2710" spans="12:13" x14ac:dyDescent="0.2">
      <c r="L2710" s="12"/>
      <c r="M2710" s="13"/>
    </row>
    <row r="2711" spans="12:13" x14ac:dyDescent="0.2">
      <c r="L2711" s="12"/>
      <c r="M2711" s="13"/>
    </row>
    <row r="2712" spans="12:13" x14ac:dyDescent="0.2">
      <c r="L2712" s="12"/>
      <c r="M2712" s="13"/>
    </row>
    <row r="2713" spans="12:13" x14ac:dyDescent="0.2">
      <c r="L2713" s="12"/>
      <c r="M2713" s="13"/>
    </row>
    <row r="2714" spans="12:13" x14ac:dyDescent="0.2">
      <c r="L2714" s="12"/>
      <c r="M2714" s="13"/>
    </row>
    <row r="2715" spans="12:13" x14ac:dyDescent="0.2">
      <c r="L2715" s="12"/>
      <c r="M2715" s="13"/>
    </row>
    <row r="2716" spans="12:13" x14ac:dyDescent="0.2">
      <c r="L2716" s="12"/>
      <c r="M2716" s="13"/>
    </row>
    <row r="2717" spans="12:13" x14ac:dyDescent="0.2">
      <c r="L2717" s="12"/>
      <c r="M2717" s="13"/>
    </row>
    <row r="2718" spans="12:13" x14ac:dyDescent="0.2">
      <c r="L2718" s="12"/>
      <c r="M2718" s="13"/>
    </row>
    <row r="2719" spans="12:13" x14ac:dyDescent="0.2">
      <c r="L2719" s="12"/>
      <c r="M2719" s="13"/>
    </row>
    <row r="2720" spans="12:13" x14ac:dyDescent="0.2">
      <c r="L2720" s="12"/>
      <c r="M2720" s="13"/>
    </row>
    <row r="2721" spans="12:13" x14ac:dyDescent="0.2">
      <c r="L2721" s="12"/>
      <c r="M2721" s="13"/>
    </row>
    <row r="2722" spans="12:13" x14ac:dyDescent="0.2">
      <c r="L2722" s="12"/>
      <c r="M2722" s="13"/>
    </row>
    <row r="2723" spans="12:13" x14ac:dyDescent="0.2">
      <c r="L2723" s="12"/>
      <c r="M2723" s="13"/>
    </row>
    <row r="2724" spans="12:13" x14ac:dyDescent="0.2">
      <c r="L2724" s="12"/>
      <c r="M2724" s="13"/>
    </row>
    <row r="2725" spans="12:13" x14ac:dyDescent="0.2">
      <c r="L2725" s="12"/>
      <c r="M2725" s="13"/>
    </row>
    <row r="2726" spans="12:13" x14ac:dyDescent="0.2">
      <c r="L2726" s="12"/>
      <c r="M2726" s="13"/>
    </row>
    <row r="2727" spans="12:13" x14ac:dyDescent="0.2">
      <c r="L2727" s="12"/>
      <c r="M2727" s="13"/>
    </row>
    <row r="2728" spans="12:13" x14ac:dyDescent="0.2">
      <c r="L2728" s="12"/>
      <c r="M2728" s="13"/>
    </row>
    <row r="2729" spans="12:13" x14ac:dyDescent="0.2">
      <c r="L2729" s="12"/>
      <c r="M2729" s="13"/>
    </row>
    <row r="2730" spans="12:13" x14ac:dyDescent="0.2">
      <c r="L2730" s="12"/>
      <c r="M2730" s="13"/>
    </row>
    <row r="2731" spans="12:13" x14ac:dyDescent="0.2">
      <c r="L2731" s="12"/>
      <c r="M2731" s="13"/>
    </row>
    <row r="2732" spans="12:13" x14ac:dyDescent="0.2">
      <c r="L2732" s="12"/>
      <c r="M2732" s="13"/>
    </row>
    <row r="2733" spans="12:13" x14ac:dyDescent="0.2">
      <c r="L2733" s="12"/>
      <c r="M2733" s="13"/>
    </row>
    <row r="2734" spans="12:13" x14ac:dyDescent="0.2">
      <c r="L2734" s="12"/>
      <c r="M2734" s="13"/>
    </row>
    <row r="2735" spans="12:13" x14ac:dyDescent="0.2">
      <c r="L2735" s="12"/>
      <c r="M2735" s="13"/>
    </row>
    <row r="2736" spans="12:13" x14ac:dyDescent="0.2">
      <c r="L2736" s="12"/>
      <c r="M2736" s="13"/>
    </row>
    <row r="2737" spans="12:13" x14ac:dyDescent="0.2">
      <c r="L2737" s="12"/>
      <c r="M2737" s="13"/>
    </row>
    <row r="2738" spans="12:13" x14ac:dyDescent="0.2">
      <c r="L2738" s="12"/>
      <c r="M2738" s="13"/>
    </row>
    <row r="2739" spans="12:13" x14ac:dyDescent="0.2">
      <c r="L2739" s="12"/>
      <c r="M2739" s="13"/>
    </row>
    <row r="2740" spans="12:13" x14ac:dyDescent="0.2">
      <c r="L2740" s="12"/>
      <c r="M2740" s="13"/>
    </row>
    <row r="2741" spans="12:13" x14ac:dyDescent="0.2">
      <c r="L2741" s="12"/>
      <c r="M2741" s="13"/>
    </row>
    <row r="2742" spans="12:13" x14ac:dyDescent="0.2">
      <c r="L2742" s="12"/>
      <c r="M2742" s="13"/>
    </row>
    <row r="2743" spans="12:13" x14ac:dyDescent="0.2">
      <c r="L2743" s="12"/>
      <c r="M2743" s="13"/>
    </row>
    <row r="2744" spans="12:13" x14ac:dyDescent="0.2">
      <c r="L2744" s="12"/>
      <c r="M2744" s="13"/>
    </row>
    <row r="2745" spans="12:13" x14ac:dyDescent="0.2">
      <c r="L2745" s="12"/>
      <c r="M2745" s="13"/>
    </row>
    <row r="2746" spans="12:13" x14ac:dyDescent="0.2">
      <c r="L2746" s="12"/>
      <c r="M2746" s="13"/>
    </row>
    <row r="2747" spans="12:13" x14ac:dyDescent="0.2">
      <c r="L2747" s="12"/>
      <c r="M2747" s="13"/>
    </row>
    <row r="2748" spans="12:13" x14ac:dyDescent="0.2">
      <c r="L2748" s="12"/>
      <c r="M2748" s="13"/>
    </row>
    <row r="2749" spans="12:13" x14ac:dyDescent="0.2">
      <c r="L2749" s="12"/>
      <c r="M2749" s="13"/>
    </row>
    <row r="2750" spans="12:13" x14ac:dyDescent="0.2">
      <c r="L2750" s="12"/>
      <c r="M2750" s="13"/>
    </row>
    <row r="2751" spans="12:13" x14ac:dyDescent="0.2">
      <c r="L2751" s="12"/>
      <c r="M2751" s="13"/>
    </row>
    <row r="2752" spans="12:13" x14ac:dyDescent="0.2">
      <c r="L2752" s="12"/>
      <c r="M2752" s="13"/>
    </row>
    <row r="2753" spans="12:13" x14ac:dyDescent="0.2">
      <c r="L2753" s="12"/>
      <c r="M2753" s="13"/>
    </row>
    <row r="2754" spans="12:13" x14ac:dyDescent="0.2">
      <c r="L2754" s="12"/>
      <c r="M2754" s="13"/>
    </row>
    <row r="2755" spans="12:13" x14ac:dyDescent="0.2">
      <c r="L2755" s="12"/>
      <c r="M2755" s="13"/>
    </row>
    <row r="2756" spans="12:13" x14ac:dyDescent="0.2">
      <c r="L2756" s="12"/>
      <c r="M2756" s="13"/>
    </row>
    <row r="2757" spans="12:13" x14ac:dyDescent="0.2">
      <c r="L2757" s="12"/>
      <c r="M2757" s="13"/>
    </row>
    <row r="2758" spans="12:13" x14ac:dyDescent="0.2">
      <c r="L2758" s="12"/>
      <c r="M2758" s="13"/>
    </row>
    <row r="2759" spans="12:13" x14ac:dyDescent="0.2">
      <c r="L2759" s="12"/>
      <c r="M2759" s="13"/>
    </row>
    <row r="2760" spans="12:13" x14ac:dyDescent="0.2">
      <c r="L2760" s="12"/>
      <c r="M2760" s="13"/>
    </row>
    <row r="2761" spans="12:13" x14ac:dyDescent="0.2">
      <c r="L2761" s="12"/>
      <c r="M2761" s="13"/>
    </row>
    <row r="2762" spans="12:13" x14ac:dyDescent="0.2">
      <c r="L2762" s="12"/>
      <c r="M2762" s="13"/>
    </row>
    <row r="2763" spans="12:13" x14ac:dyDescent="0.2">
      <c r="L2763" s="12"/>
      <c r="M2763" s="13"/>
    </row>
    <row r="2764" spans="12:13" x14ac:dyDescent="0.2">
      <c r="L2764" s="12"/>
      <c r="M2764" s="13"/>
    </row>
    <row r="2765" spans="12:13" x14ac:dyDescent="0.2">
      <c r="L2765" s="12"/>
      <c r="M2765" s="13"/>
    </row>
    <row r="2766" spans="12:13" x14ac:dyDescent="0.2">
      <c r="L2766" s="12"/>
      <c r="M2766" s="13"/>
    </row>
    <row r="2767" spans="12:13" x14ac:dyDescent="0.2">
      <c r="L2767" s="12"/>
      <c r="M2767" s="13"/>
    </row>
    <row r="2768" spans="12:13" x14ac:dyDescent="0.2">
      <c r="L2768" s="12"/>
      <c r="M2768" s="13"/>
    </row>
    <row r="2769" spans="12:13" x14ac:dyDescent="0.2">
      <c r="L2769" s="12"/>
      <c r="M2769" s="13"/>
    </row>
    <row r="2770" spans="12:13" x14ac:dyDescent="0.2">
      <c r="L2770" s="12"/>
      <c r="M2770" s="13"/>
    </row>
    <row r="2771" spans="12:13" x14ac:dyDescent="0.2">
      <c r="L2771" s="12"/>
      <c r="M2771" s="13"/>
    </row>
    <row r="2772" spans="12:13" x14ac:dyDescent="0.2">
      <c r="L2772" s="12"/>
      <c r="M2772" s="13"/>
    </row>
    <row r="2773" spans="12:13" x14ac:dyDescent="0.2">
      <c r="L2773" s="12"/>
      <c r="M2773" s="13"/>
    </row>
    <row r="2774" spans="12:13" x14ac:dyDescent="0.2">
      <c r="L2774" s="12"/>
      <c r="M2774" s="13"/>
    </row>
    <row r="2775" spans="12:13" x14ac:dyDescent="0.2">
      <c r="L2775" s="12"/>
      <c r="M2775" s="13"/>
    </row>
    <row r="2776" spans="12:13" x14ac:dyDescent="0.2">
      <c r="L2776" s="12"/>
      <c r="M2776" s="13"/>
    </row>
    <row r="2777" spans="12:13" x14ac:dyDescent="0.2">
      <c r="L2777" s="12"/>
      <c r="M2777" s="13"/>
    </row>
    <row r="2778" spans="12:13" x14ac:dyDescent="0.2">
      <c r="L2778" s="12"/>
      <c r="M2778" s="13"/>
    </row>
    <row r="2779" spans="12:13" x14ac:dyDescent="0.2">
      <c r="L2779" s="12"/>
      <c r="M2779" s="13"/>
    </row>
    <row r="2780" spans="12:13" x14ac:dyDescent="0.2">
      <c r="L2780" s="12"/>
      <c r="M2780" s="13"/>
    </row>
    <row r="2781" spans="12:13" x14ac:dyDescent="0.2">
      <c r="L2781" s="12"/>
      <c r="M2781" s="13"/>
    </row>
    <row r="2782" spans="12:13" x14ac:dyDescent="0.2">
      <c r="L2782" s="12"/>
      <c r="M2782" s="13"/>
    </row>
    <row r="2783" spans="12:13" x14ac:dyDescent="0.2">
      <c r="L2783" s="12"/>
      <c r="M2783" s="13"/>
    </row>
    <row r="2784" spans="12:13" x14ac:dyDescent="0.2">
      <c r="L2784" s="12"/>
      <c r="M2784" s="13"/>
    </row>
    <row r="2785" spans="12:13" x14ac:dyDescent="0.2">
      <c r="L2785" s="12"/>
      <c r="M2785" s="13"/>
    </row>
    <row r="2786" spans="12:13" x14ac:dyDescent="0.2">
      <c r="L2786" s="12"/>
      <c r="M2786" s="13"/>
    </row>
    <row r="2787" spans="12:13" x14ac:dyDescent="0.2">
      <c r="L2787" s="12"/>
      <c r="M2787" s="13"/>
    </row>
    <row r="2788" spans="12:13" x14ac:dyDescent="0.2">
      <c r="L2788" s="12"/>
      <c r="M2788" s="13"/>
    </row>
    <row r="2789" spans="12:13" x14ac:dyDescent="0.2">
      <c r="L2789" s="12"/>
      <c r="M2789" s="13"/>
    </row>
    <row r="2790" spans="12:13" x14ac:dyDescent="0.2">
      <c r="L2790" s="12"/>
      <c r="M2790" s="13"/>
    </row>
    <row r="2791" spans="12:13" x14ac:dyDescent="0.2">
      <c r="L2791" s="12"/>
      <c r="M2791" s="13"/>
    </row>
    <row r="2792" spans="12:13" x14ac:dyDescent="0.2">
      <c r="L2792" s="12"/>
      <c r="M2792" s="13"/>
    </row>
    <row r="2793" spans="12:13" x14ac:dyDescent="0.2">
      <c r="L2793" s="12"/>
      <c r="M2793" s="13"/>
    </row>
    <row r="2794" spans="12:13" x14ac:dyDescent="0.2">
      <c r="L2794" s="12"/>
      <c r="M2794" s="13"/>
    </row>
    <row r="2795" spans="12:13" x14ac:dyDescent="0.2">
      <c r="L2795" s="12"/>
      <c r="M2795" s="13"/>
    </row>
    <row r="2796" spans="12:13" x14ac:dyDescent="0.2">
      <c r="L2796" s="12"/>
      <c r="M2796" s="13"/>
    </row>
    <row r="2797" spans="12:13" x14ac:dyDescent="0.2">
      <c r="L2797" s="12"/>
      <c r="M2797" s="13"/>
    </row>
    <row r="2798" spans="12:13" x14ac:dyDescent="0.2">
      <c r="L2798" s="12"/>
      <c r="M2798" s="13"/>
    </row>
    <row r="2799" spans="12:13" x14ac:dyDescent="0.2">
      <c r="L2799" s="12"/>
      <c r="M2799" s="13"/>
    </row>
    <row r="2800" spans="12:13" x14ac:dyDescent="0.2">
      <c r="L2800" s="12"/>
      <c r="M2800" s="13"/>
    </row>
    <row r="2801" spans="12:13" x14ac:dyDescent="0.2">
      <c r="L2801" s="12"/>
      <c r="M2801" s="13"/>
    </row>
    <row r="2802" spans="12:13" x14ac:dyDescent="0.2">
      <c r="L2802" s="12"/>
      <c r="M2802" s="13"/>
    </row>
    <row r="2803" spans="12:13" x14ac:dyDescent="0.2">
      <c r="L2803" s="12"/>
      <c r="M2803" s="13"/>
    </row>
    <row r="2804" spans="12:13" x14ac:dyDescent="0.2">
      <c r="L2804" s="12"/>
      <c r="M2804" s="13"/>
    </row>
    <row r="2805" spans="12:13" x14ac:dyDescent="0.2">
      <c r="L2805" s="12"/>
      <c r="M2805" s="13"/>
    </row>
    <row r="2806" spans="12:13" x14ac:dyDescent="0.2">
      <c r="L2806" s="12"/>
      <c r="M2806" s="13"/>
    </row>
    <row r="2807" spans="12:13" x14ac:dyDescent="0.2">
      <c r="L2807" s="12"/>
      <c r="M2807" s="13"/>
    </row>
    <row r="2808" spans="12:13" x14ac:dyDescent="0.2">
      <c r="L2808" s="12"/>
      <c r="M2808" s="13"/>
    </row>
    <row r="2809" spans="12:13" x14ac:dyDescent="0.2">
      <c r="L2809" s="12"/>
      <c r="M2809" s="13"/>
    </row>
    <row r="2810" spans="12:13" x14ac:dyDescent="0.2">
      <c r="L2810" s="12"/>
      <c r="M2810" s="13"/>
    </row>
    <row r="2811" spans="12:13" x14ac:dyDescent="0.2">
      <c r="L2811" s="12"/>
      <c r="M2811" s="13"/>
    </row>
    <row r="2812" spans="12:13" x14ac:dyDescent="0.2">
      <c r="L2812" s="12"/>
      <c r="M2812" s="13"/>
    </row>
    <row r="2813" spans="12:13" x14ac:dyDescent="0.2">
      <c r="L2813" s="12"/>
      <c r="M2813" s="13"/>
    </row>
    <row r="2814" spans="12:13" x14ac:dyDescent="0.2">
      <c r="L2814" s="12"/>
      <c r="M2814" s="13"/>
    </row>
    <row r="2815" spans="12:13" x14ac:dyDescent="0.2">
      <c r="L2815" s="12"/>
      <c r="M2815" s="13"/>
    </row>
    <row r="2816" spans="12:13" x14ac:dyDescent="0.2">
      <c r="L2816" s="12"/>
      <c r="M2816" s="13"/>
    </row>
    <row r="2817" spans="12:13" x14ac:dyDescent="0.2">
      <c r="L2817" s="12"/>
      <c r="M2817" s="13"/>
    </row>
    <row r="2818" spans="12:13" x14ac:dyDescent="0.2">
      <c r="L2818" s="17"/>
      <c r="M2818" s="18"/>
    </row>
    <row r="2819" spans="12:13" x14ac:dyDescent="0.2">
      <c r="L2819" s="12"/>
      <c r="M2819" s="13"/>
    </row>
    <row r="2820" spans="12:13" x14ac:dyDescent="0.2">
      <c r="L2820" s="12"/>
      <c r="M2820" s="13"/>
    </row>
    <row r="2821" spans="12:13" x14ac:dyDescent="0.2">
      <c r="L2821" s="12"/>
      <c r="M2821" s="13"/>
    </row>
    <row r="2822" spans="12:13" x14ac:dyDescent="0.2">
      <c r="L2822" s="12"/>
      <c r="M2822" s="13"/>
    </row>
    <row r="2823" spans="12:13" x14ac:dyDescent="0.2">
      <c r="L2823" s="12"/>
      <c r="M2823" s="13"/>
    </row>
    <row r="2824" spans="12:13" x14ac:dyDescent="0.2">
      <c r="L2824" s="12"/>
      <c r="M2824" s="13"/>
    </row>
    <row r="2825" spans="12:13" x14ac:dyDescent="0.2">
      <c r="L2825" s="12"/>
      <c r="M2825" s="13"/>
    </row>
    <row r="2826" spans="12:13" x14ac:dyDescent="0.2">
      <c r="L2826" s="12"/>
      <c r="M2826" s="13"/>
    </row>
    <row r="2827" spans="12:13" x14ac:dyDescent="0.2">
      <c r="L2827" s="12"/>
      <c r="M2827" s="13"/>
    </row>
    <row r="2828" spans="12:13" x14ac:dyDescent="0.2">
      <c r="L2828" s="12"/>
      <c r="M2828" s="13"/>
    </row>
    <row r="2829" spans="12:13" x14ac:dyDescent="0.2">
      <c r="L2829" s="12"/>
      <c r="M2829" s="13"/>
    </row>
    <row r="2830" spans="12:13" x14ac:dyDescent="0.2">
      <c r="L2830" s="12"/>
      <c r="M2830" s="13"/>
    </row>
    <row r="2831" spans="12:13" x14ac:dyDescent="0.2">
      <c r="L2831" s="12"/>
      <c r="M2831" s="13"/>
    </row>
    <row r="2832" spans="12:13" x14ac:dyDescent="0.2">
      <c r="L2832" s="12"/>
      <c r="M2832" s="13"/>
    </row>
    <row r="2833" spans="12:13" x14ac:dyDescent="0.2">
      <c r="L2833" s="12"/>
      <c r="M2833" s="13"/>
    </row>
    <row r="2834" spans="12:13" x14ac:dyDescent="0.2">
      <c r="L2834" s="12"/>
      <c r="M2834" s="13"/>
    </row>
    <row r="2835" spans="12:13" x14ac:dyDescent="0.2">
      <c r="L2835" s="12"/>
      <c r="M2835" s="13"/>
    </row>
    <row r="2836" spans="12:13" x14ac:dyDescent="0.2">
      <c r="L2836" s="12"/>
      <c r="M2836" s="13"/>
    </row>
    <row r="2837" spans="12:13" x14ac:dyDescent="0.2">
      <c r="L2837" s="12"/>
      <c r="M2837" s="13"/>
    </row>
    <row r="2838" spans="12:13" x14ac:dyDescent="0.2">
      <c r="L2838" s="12"/>
      <c r="M2838" s="13"/>
    </row>
    <row r="2839" spans="12:13" x14ac:dyDescent="0.2">
      <c r="L2839" s="12"/>
      <c r="M2839" s="13"/>
    </row>
    <row r="2840" spans="12:13" x14ac:dyDescent="0.2">
      <c r="L2840" s="12"/>
      <c r="M2840" s="13"/>
    </row>
    <row r="2841" spans="12:13" x14ac:dyDescent="0.2">
      <c r="L2841" s="12"/>
      <c r="M2841" s="13"/>
    </row>
    <row r="2842" spans="12:13" x14ac:dyDescent="0.2">
      <c r="L2842" s="12"/>
      <c r="M2842" s="13"/>
    </row>
    <row r="2843" spans="12:13" x14ac:dyDescent="0.2">
      <c r="L2843" s="12"/>
      <c r="M2843" s="13"/>
    </row>
    <row r="2844" spans="12:13" x14ac:dyDescent="0.2">
      <c r="L2844" s="12"/>
      <c r="M2844" s="13"/>
    </row>
    <row r="2845" spans="12:13" x14ac:dyDescent="0.2">
      <c r="L2845" s="12"/>
      <c r="M2845" s="13"/>
    </row>
    <row r="2846" spans="12:13" x14ac:dyDescent="0.2">
      <c r="L2846" s="12"/>
      <c r="M2846" s="13"/>
    </row>
    <row r="2847" spans="12:13" x14ac:dyDescent="0.2">
      <c r="L2847" s="12"/>
      <c r="M2847" s="13"/>
    </row>
    <row r="2848" spans="12:13" x14ac:dyDescent="0.2">
      <c r="L2848" s="12"/>
      <c r="M2848" s="13"/>
    </row>
    <row r="2849" spans="12:13" x14ac:dyDescent="0.2">
      <c r="L2849" s="12"/>
      <c r="M2849" s="13"/>
    </row>
    <row r="2850" spans="12:13" x14ac:dyDescent="0.2">
      <c r="L2850" s="12"/>
      <c r="M2850" s="13"/>
    </row>
    <row r="2851" spans="12:13" x14ac:dyDescent="0.2">
      <c r="L2851" s="12"/>
      <c r="M2851" s="13"/>
    </row>
    <row r="2852" spans="12:13" x14ac:dyDescent="0.2">
      <c r="L2852" s="12"/>
      <c r="M2852" s="13"/>
    </row>
    <row r="2853" spans="12:13" x14ac:dyDescent="0.2">
      <c r="L2853" s="12"/>
      <c r="M2853" s="13"/>
    </row>
    <row r="2854" spans="12:13" x14ac:dyDescent="0.2">
      <c r="L2854" s="12"/>
      <c r="M2854" s="13"/>
    </row>
    <row r="2855" spans="12:13" x14ac:dyDescent="0.2">
      <c r="L2855" s="12"/>
      <c r="M2855" s="13"/>
    </row>
    <row r="2856" spans="12:13" x14ac:dyDescent="0.2">
      <c r="L2856" s="12"/>
      <c r="M2856" s="13"/>
    </row>
    <row r="2857" spans="12:13" x14ac:dyDescent="0.2">
      <c r="L2857" s="12"/>
      <c r="M2857" s="13"/>
    </row>
    <row r="2858" spans="12:13" x14ac:dyDescent="0.2">
      <c r="L2858" s="12"/>
      <c r="M2858" s="13"/>
    </row>
    <row r="2859" spans="12:13" x14ac:dyDescent="0.2">
      <c r="L2859" s="12"/>
      <c r="M2859" s="13"/>
    </row>
    <row r="2860" spans="12:13" x14ac:dyDescent="0.2">
      <c r="L2860" s="12"/>
      <c r="M2860" s="13"/>
    </row>
    <row r="2861" spans="12:13" x14ac:dyDescent="0.2">
      <c r="L2861" s="12"/>
      <c r="M2861" s="13"/>
    </row>
    <row r="2862" spans="12:13" x14ac:dyDescent="0.2">
      <c r="L2862" s="12"/>
      <c r="M2862" s="13"/>
    </row>
    <row r="2863" spans="12:13" x14ac:dyDescent="0.2">
      <c r="L2863" s="12"/>
      <c r="M2863" s="13"/>
    </row>
    <row r="2864" spans="12:13" x14ac:dyDescent="0.2">
      <c r="L2864" s="12"/>
      <c r="M2864" s="13"/>
    </row>
    <row r="2865" spans="12:13" x14ac:dyDescent="0.2">
      <c r="L2865" s="12"/>
      <c r="M2865" s="13"/>
    </row>
    <row r="2866" spans="12:13" x14ac:dyDescent="0.2">
      <c r="L2866" s="12"/>
      <c r="M2866" s="13"/>
    </row>
    <row r="2867" spans="12:13" x14ac:dyDescent="0.2">
      <c r="L2867" s="12"/>
      <c r="M2867" s="13"/>
    </row>
    <row r="2868" spans="12:13" x14ac:dyDescent="0.2">
      <c r="L2868" s="12"/>
      <c r="M2868" s="13"/>
    </row>
    <row r="2869" spans="12:13" x14ac:dyDescent="0.2">
      <c r="L2869" s="12"/>
      <c r="M2869" s="13"/>
    </row>
    <row r="2870" spans="12:13" x14ac:dyDescent="0.2">
      <c r="L2870" s="12"/>
      <c r="M2870" s="13"/>
    </row>
    <row r="2871" spans="12:13" x14ac:dyDescent="0.2">
      <c r="L2871" s="12"/>
      <c r="M2871" s="13"/>
    </row>
    <row r="2872" spans="12:13" x14ac:dyDescent="0.2">
      <c r="L2872" s="12"/>
      <c r="M2872" s="13"/>
    </row>
    <row r="2873" spans="12:13" x14ac:dyDescent="0.2">
      <c r="L2873" s="12"/>
      <c r="M2873" s="13"/>
    </row>
    <row r="2874" spans="12:13" x14ac:dyDescent="0.2">
      <c r="L2874" s="12"/>
      <c r="M2874" s="13"/>
    </row>
    <row r="2875" spans="12:13" x14ac:dyDescent="0.2">
      <c r="L2875" s="12"/>
      <c r="M2875" s="13"/>
    </row>
    <row r="2876" spans="12:13" x14ac:dyDescent="0.2">
      <c r="L2876" s="12"/>
      <c r="M2876" s="13"/>
    </row>
    <row r="2877" spans="12:13" x14ac:dyDescent="0.2">
      <c r="L2877" s="12"/>
      <c r="M2877" s="13"/>
    </row>
    <row r="2878" spans="12:13" x14ac:dyDescent="0.2">
      <c r="L2878" s="12"/>
      <c r="M2878" s="13"/>
    </row>
    <row r="2879" spans="12:13" x14ac:dyDescent="0.2">
      <c r="L2879" s="12"/>
      <c r="M2879" s="13"/>
    </row>
    <row r="2880" spans="12:13" x14ac:dyDescent="0.2">
      <c r="L2880" s="12"/>
      <c r="M2880" s="13"/>
    </row>
    <row r="2881" spans="12:13" x14ac:dyDescent="0.2">
      <c r="L2881" s="12"/>
      <c r="M2881" s="13"/>
    </row>
    <row r="2882" spans="12:13" x14ac:dyDescent="0.2">
      <c r="L2882" s="12"/>
      <c r="M2882" s="13"/>
    </row>
    <row r="2883" spans="12:13" x14ac:dyDescent="0.2">
      <c r="L2883" s="12"/>
      <c r="M2883" s="13"/>
    </row>
    <row r="2884" spans="12:13" x14ac:dyDescent="0.2">
      <c r="L2884" s="12"/>
      <c r="M2884" s="13"/>
    </row>
    <row r="2885" spans="12:13" x14ac:dyDescent="0.2">
      <c r="L2885" s="12"/>
      <c r="M2885" s="13"/>
    </row>
    <row r="2886" spans="12:13" x14ac:dyDescent="0.2">
      <c r="L2886" s="12"/>
      <c r="M2886" s="13"/>
    </row>
    <row r="2887" spans="12:13" x14ac:dyDescent="0.2">
      <c r="L2887" s="12"/>
      <c r="M2887" s="13"/>
    </row>
    <row r="2888" spans="12:13" x14ac:dyDescent="0.2">
      <c r="L2888" s="12"/>
      <c r="M2888" s="13"/>
    </row>
    <row r="2889" spans="12:13" x14ac:dyDescent="0.2">
      <c r="L2889" s="12"/>
      <c r="M2889" s="13"/>
    </row>
    <row r="2890" spans="12:13" x14ac:dyDescent="0.2">
      <c r="L2890" s="12"/>
      <c r="M2890" s="13"/>
    </row>
    <row r="2891" spans="12:13" x14ac:dyDescent="0.2">
      <c r="L2891" s="12"/>
      <c r="M2891" s="13"/>
    </row>
    <row r="2892" spans="12:13" x14ac:dyDescent="0.2">
      <c r="L2892" s="12"/>
      <c r="M2892" s="13"/>
    </row>
    <row r="2893" spans="12:13" x14ac:dyDescent="0.2">
      <c r="L2893" s="12"/>
      <c r="M2893" s="13"/>
    </row>
    <row r="2894" spans="12:13" x14ac:dyDescent="0.2">
      <c r="L2894" s="12"/>
      <c r="M2894" s="13"/>
    </row>
    <row r="2895" spans="12:13" x14ac:dyDescent="0.2">
      <c r="L2895" s="12"/>
      <c r="M2895" s="13"/>
    </row>
    <row r="2896" spans="12:13" x14ac:dyDescent="0.2">
      <c r="L2896" s="12"/>
      <c r="M2896" s="13"/>
    </row>
    <row r="2897" spans="12:13" x14ac:dyDescent="0.2">
      <c r="L2897" s="12"/>
      <c r="M2897" s="13"/>
    </row>
    <row r="2898" spans="12:13" x14ac:dyDescent="0.2">
      <c r="L2898" s="12"/>
      <c r="M2898" s="13"/>
    </row>
    <row r="2899" spans="12:13" x14ac:dyDescent="0.2">
      <c r="L2899" s="12"/>
      <c r="M2899" s="13"/>
    </row>
    <row r="2900" spans="12:13" x14ac:dyDescent="0.2">
      <c r="L2900" s="12"/>
      <c r="M2900" s="13"/>
    </row>
    <row r="2901" spans="12:13" x14ac:dyDescent="0.2">
      <c r="L2901" s="12"/>
      <c r="M2901" s="13"/>
    </row>
    <row r="2902" spans="12:13" x14ac:dyDescent="0.2">
      <c r="L2902" s="12"/>
      <c r="M2902" s="13"/>
    </row>
    <row r="2903" spans="12:13" x14ac:dyDescent="0.2">
      <c r="L2903" s="12"/>
      <c r="M2903" s="13"/>
    </row>
    <row r="2904" spans="12:13" x14ac:dyDescent="0.2">
      <c r="L2904" s="12"/>
      <c r="M2904" s="13"/>
    </row>
    <row r="2905" spans="12:13" x14ac:dyDescent="0.2">
      <c r="L2905" s="12"/>
      <c r="M2905" s="13"/>
    </row>
    <row r="2906" spans="12:13" x14ac:dyDescent="0.2">
      <c r="L2906" s="12"/>
      <c r="M2906" s="13"/>
    </row>
    <row r="2907" spans="12:13" x14ac:dyDescent="0.2">
      <c r="L2907" s="12"/>
      <c r="M2907" s="13"/>
    </row>
    <row r="2908" spans="12:13" x14ac:dyDescent="0.2">
      <c r="L2908" s="12"/>
      <c r="M2908" s="13"/>
    </row>
    <row r="2909" spans="12:13" x14ac:dyDescent="0.2">
      <c r="L2909" s="12"/>
      <c r="M2909" s="13"/>
    </row>
    <row r="2910" spans="12:13" x14ac:dyDescent="0.2">
      <c r="L2910" s="12"/>
      <c r="M2910" s="13"/>
    </row>
    <row r="2911" spans="12:13" x14ac:dyDescent="0.2">
      <c r="L2911" s="12"/>
      <c r="M2911" s="13"/>
    </row>
    <row r="2912" spans="12:13" x14ac:dyDescent="0.2">
      <c r="L2912" s="12"/>
      <c r="M2912" s="13"/>
    </row>
    <row r="2913" spans="12:13" x14ac:dyDescent="0.2">
      <c r="L2913" s="12"/>
      <c r="M2913" s="13"/>
    </row>
    <row r="2914" spans="12:13" x14ac:dyDescent="0.2">
      <c r="L2914" s="12"/>
      <c r="M2914" s="13"/>
    </row>
    <row r="2915" spans="12:13" x14ac:dyDescent="0.2">
      <c r="L2915" s="12"/>
      <c r="M2915" s="13"/>
    </row>
    <row r="2916" spans="12:13" x14ac:dyDescent="0.2">
      <c r="L2916" s="12"/>
      <c r="M2916" s="13"/>
    </row>
    <row r="2917" spans="12:13" x14ac:dyDescent="0.2">
      <c r="L2917" s="12"/>
      <c r="M2917" s="13"/>
    </row>
    <row r="2918" spans="12:13" x14ac:dyDescent="0.2">
      <c r="L2918" s="12"/>
      <c r="M2918" s="13"/>
    </row>
    <row r="2919" spans="12:13" x14ac:dyDescent="0.2">
      <c r="L2919" s="12"/>
      <c r="M2919" s="13"/>
    </row>
    <row r="2920" spans="12:13" x14ac:dyDescent="0.2">
      <c r="L2920" s="12"/>
      <c r="M2920" s="13"/>
    </row>
    <row r="2921" spans="12:13" x14ac:dyDescent="0.2">
      <c r="L2921" s="12"/>
      <c r="M2921" s="13"/>
    </row>
    <row r="2922" spans="12:13" x14ac:dyDescent="0.2">
      <c r="L2922" s="12"/>
      <c r="M2922" s="13"/>
    </row>
    <row r="2923" spans="12:13" x14ac:dyDescent="0.2">
      <c r="L2923" s="12"/>
      <c r="M2923" s="13"/>
    </row>
    <row r="2924" spans="12:13" x14ac:dyDescent="0.2">
      <c r="L2924" s="12"/>
      <c r="M2924" s="13"/>
    </row>
    <row r="2925" spans="12:13" x14ac:dyDescent="0.2">
      <c r="L2925" s="12"/>
      <c r="M2925" s="13"/>
    </row>
    <row r="2926" spans="12:13" x14ac:dyDescent="0.2">
      <c r="L2926" s="12"/>
      <c r="M2926" s="13"/>
    </row>
    <row r="2927" spans="12:13" x14ac:dyDescent="0.2">
      <c r="L2927" s="12"/>
      <c r="M2927" s="13"/>
    </row>
    <row r="2928" spans="12:13" x14ac:dyDescent="0.2">
      <c r="L2928" s="12"/>
      <c r="M2928" s="13"/>
    </row>
    <row r="2929" spans="12:13" x14ac:dyDescent="0.2">
      <c r="L2929" s="12"/>
      <c r="M2929" s="13"/>
    </row>
    <row r="2930" spans="12:13" x14ac:dyDescent="0.2">
      <c r="L2930" s="12"/>
      <c r="M2930" s="13"/>
    </row>
    <row r="2931" spans="12:13" x14ac:dyDescent="0.2">
      <c r="L2931" s="12"/>
      <c r="M2931" s="13"/>
    </row>
    <row r="2932" spans="12:13" x14ac:dyDescent="0.2">
      <c r="L2932" s="12"/>
      <c r="M2932" s="13"/>
    </row>
    <row r="2933" spans="12:13" x14ac:dyDescent="0.2">
      <c r="L2933" s="12"/>
      <c r="M2933" s="13"/>
    </row>
    <row r="2934" spans="12:13" x14ac:dyDescent="0.2">
      <c r="L2934" s="12"/>
      <c r="M2934" s="13"/>
    </row>
    <row r="2935" spans="12:13" x14ac:dyDescent="0.2">
      <c r="L2935" s="12"/>
      <c r="M2935" s="13"/>
    </row>
    <row r="2936" spans="12:13" x14ac:dyDescent="0.2">
      <c r="L2936" s="12"/>
      <c r="M2936" s="13"/>
    </row>
    <row r="2937" spans="12:13" x14ac:dyDescent="0.2">
      <c r="L2937" s="12"/>
      <c r="M2937" s="13"/>
    </row>
    <row r="2938" spans="12:13" x14ac:dyDescent="0.2">
      <c r="L2938" s="12"/>
      <c r="M2938" s="13"/>
    </row>
    <row r="2939" spans="12:13" x14ac:dyDescent="0.2">
      <c r="L2939" s="12"/>
      <c r="M2939" s="13"/>
    </row>
    <row r="2940" spans="12:13" x14ac:dyDescent="0.2">
      <c r="L2940" s="12"/>
      <c r="M2940" s="13"/>
    </row>
    <row r="2941" spans="12:13" x14ac:dyDescent="0.2">
      <c r="L2941" s="12"/>
      <c r="M2941" s="13"/>
    </row>
    <row r="2942" spans="12:13" x14ac:dyDescent="0.2">
      <c r="L2942" s="12"/>
      <c r="M2942" s="13"/>
    </row>
    <row r="2943" spans="12:13" x14ac:dyDescent="0.2">
      <c r="L2943" s="12"/>
      <c r="M2943" s="13"/>
    </row>
    <row r="2944" spans="12:13" x14ac:dyDescent="0.2">
      <c r="L2944" s="12"/>
      <c r="M2944" s="13"/>
    </row>
    <row r="2945" spans="12:13" x14ac:dyDescent="0.2">
      <c r="L2945" s="12"/>
      <c r="M2945" s="13"/>
    </row>
    <row r="2946" spans="12:13" x14ac:dyDescent="0.2">
      <c r="L2946" s="12"/>
      <c r="M2946" s="13"/>
    </row>
    <row r="2947" spans="12:13" x14ac:dyDescent="0.2">
      <c r="L2947" s="12"/>
      <c r="M2947" s="13"/>
    </row>
    <row r="2948" spans="12:13" x14ac:dyDescent="0.2">
      <c r="L2948" s="12"/>
      <c r="M2948" s="13"/>
    </row>
    <row r="2949" spans="12:13" x14ac:dyDescent="0.2">
      <c r="L2949" s="12"/>
      <c r="M2949" s="13"/>
    </row>
    <row r="2950" spans="12:13" x14ac:dyDescent="0.2">
      <c r="L2950" s="12"/>
      <c r="M2950" s="13"/>
    </row>
    <row r="2951" spans="12:13" x14ac:dyDescent="0.2">
      <c r="L2951" s="12"/>
      <c r="M2951" s="13"/>
    </row>
    <row r="2952" spans="12:13" x14ac:dyDescent="0.2">
      <c r="L2952" s="12"/>
      <c r="M2952" s="13"/>
    </row>
    <row r="2953" spans="12:13" x14ac:dyDescent="0.2">
      <c r="L2953" s="12"/>
      <c r="M2953" s="13"/>
    </row>
    <row r="2954" spans="12:13" x14ac:dyDescent="0.2">
      <c r="L2954" s="12"/>
      <c r="M2954" s="13"/>
    </row>
    <row r="2955" spans="12:13" x14ac:dyDescent="0.2">
      <c r="L2955" s="12"/>
      <c r="M2955" s="13"/>
    </row>
    <row r="2956" spans="12:13" x14ac:dyDescent="0.2">
      <c r="L2956" s="12"/>
      <c r="M2956" s="13"/>
    </row>
    <row r="2957" spans="12:13" x14ac:dyDescent="0.2">
      <c r="L2957" s="12"/>
      <c r="M2957" s="13"/>
    </row>
    <row r="2958" spans="12:13" x14ac:dyDescent="0.2">
      <c r="L2958" s="12"/>
      <c r="M2958" s="13"/>
    </row>
    <row r="2959" spans="12:13" x14ac:dyDescent="0.2">
      <c r="L2959" s="12"/>
      <c r="M2959" s="13"/>
    </row>
    <row r="2960" spans="12:13" x14ac:dyDescent="0.2">
      <c r="L2960" s="12"/>
      <c r="M2960" s="13"/>
    </row>
    <row r="2961" spans="12:13" x14ac:dyDescent="0.2">
      <c r="L2961" s="12"/>
      <c r="M2961" s="13"/>
    </row>
    <row r="2962" spans="12:13" x14ac:dyDescent="0.2">
      <c r="L2962" s="12"/>
      <c r="M2962" s="13"/>
    </row>
    <row r="2963" spans="12:13" x14ac:dyDescent="0.2">
      <c r="L2963" s="12"/>
      <c r="M2963" s="13"/>
    </row>
    <row r="2964" spans="12:13" x14ac:dyDescent="0.2">
      <c r="L2964" s="12"/>
      <c r="M2964" s="13"/>
    </row>
    <row r="2965" spans="12:13" x14ac:dyDescent="0.2">
      <c r="L2965" s="12"/>
      <c r="M2965" s="13"/>
    </row>
    <row r="2966" spans="12:13" x14ac:dyDescent="0.2">
      <c r="L2966" s="12"/>
      <c r="M2966" s="13"/>
    </row>
    <row r="2967" spans="12:13" x14ac:dyDescent="0.2">
      <c r="L2967" s="12"/>
      <c r="M2967" s="13"/>
    </row>
    <row r="2968" spans="12:13" x14ac:dyDescent="0.2">
      <c r="L2968" s="12"/>
      <c r="M2968" s="13"/>
    </row>
    <row r="2969" spans="12:13" x14ac:dyDescent="0.2">
      <c r="L2969" s="12"/>
      <c r="M2969" s="13"/>
    </row>
    <row r="2970" spans="12:13" x14ac:dyDescent="0.2">
      <c r="L2970" s="12"/>
      <c r="M2970" s="13"/>
    </row>
    <row r="2971" spans="12:13" x14ac:dyDescent="0.2">
      <c r="L2971" s="12"/>
      <c r="M2971" s="13"/>
    </row>
    <row r="2972" spans="12:13" x14ac:dyDescent="0.2">
      <c r="L2972" s="12"/>
      <c r="M2972" s="13"/>
    </row>
    <row r="2973" spans="12:13" x14ac:dyDescent="0.2">
      <c r="L2973" s="12"/>
      <c r="M2973" s="13"/>
    </row>
    <row r="2974" spans="12:13" x14ac:dyDescent="0.2">
      <c r="L2974" s="12"/>
      <c r="M2974" s="13"/>
    </row>
    <row r="2975" spans="12:13" x14ac:dyDescent="0.2">
      <c r="L2975" s="12"/>
      <c r="M2975" s="13"/>
    </row>
    <row r="2976" spans="12:13" x14ac:dyDescent="0.2">
      <c r="L2976" s="12"/>
      <c r="M2976" s="13"/>
    </row>
    <row r="2977" spans="12:13" x14ac:dyDescent="0.2">
      <c r="L2977" s="12"/>
      <c r="M2977" s="13"/>
    </row>
    <row r="2978" spans="12:13" x14ac:dyDescent="0.2">
      <c r="L2978" s="12"/>
      <c r="M2978" s="13"/>
    </row>
    <row r="2979" spans="12:13" x14ac:dyDescent="0.2">
      <c r="L2979" s="12"/>
      <c r="M2979" s="13"/>
    </row>
    <row r="2980" spans="12:13" x14ac:dyDescent="0.2">
      <c r="L2980" s="12"/>
      <c r="M2980" s="13"/>
    </row>
    <row r="2981" spans="12:13" x14ac:dyDescent="0.2">
      <c r="L2981" s="12"/>
      <c r="M2981" s="13"/>
    </row>
    <row r="2982" spans="12:13" x14ac:dyDescent="0.2">
      <c r="L2982" s="12"/>
      <c r="M2982" s="13"/>
    </row>
    <row r="2983" spans="12:13" x14ac:dyDescent="0.2">
      <c r="L2983" s="12"/>
      <c r="M2983" s="13"/>
    </row>
    <row r="2984" spans="12:13" x14ac:dyDescent="0.2">
      <c r="L2984" s="12"/>
      <c r="M2984" s="13"/>
    </row>
    <row r="2985" spans="12:13" x14ac:dyDescent="0.2">
      <c r="L2985" s="12"/>
      <c r="M2985" s="13"/>
    </row>
    <row r="2986" spans="12:13" x14ac:dyDescent="0.2">
      <c r="L2986" s="12"/>
      <c r="M2986" s="13"/>
    </row>
    <row r="2987" spans="12:13" x14ac:dyDescent="0.2">
      <c r="L2987" s="12"/>
      <c r="M2987" s="13"/>
    </row>
    <row r="2988" spans="12:13" x14ac:dyDescent="0.2">
      <c r="L2988" s="12"/>
      <c r="M2988" s="13"/>
    </row>
    <row r="2989" spans="12:13" x14ac:dyDescent="0.2">
      <c r="L2989" s="12"/>
      <c r="M2989" s="13"/>
    </row>
    <row r="2990" spans="12:13" x14ac:dyDescent="0.2">
      <c r="L2990" s="12"/>
      <c r="M2990" s="13"/>
    </row>
    <row r="2991" spans="12:13" x14ac:dyDescent="0.2">
      <c r="L2991" s="12"/>
      <c r="M2991" s="13"/>
    </row>
    <row r="2992" spans="12:13" x14ac:dyDescent="0.2">
      <c r="L2992" s="12"/>
      <c r="M2992" s="13"/>
    </row>
    <row r="2993" spans="12:13" x14ac:dyDescent="0.2">
      <c r="L2993" s="12"/>
      <c r="M2993" s="13"/>
    </row>
    <row r="2994" spans="12:13" x14ac:dyDescent="0.2">
      <c r="L2994" s="12"/>
      <c r="M2994" s="13"/>
    </row>
    <row r="2995" spans="12:13" x14ac:dyDescent="0.2">
      <c r="L2995" s="12"/>
      <c r="M2995" s="13"/>
    </row>
    <row r="2996" spans="12:13" x14ac:dyDescent="0.2">
      <c r="L2996" s="12"/>
      <c r="M2996" s="13"/>
    </row>
    <row r="2997" spans="12:13" x14ac:dyDescent="0.2">
      <c r="L2997" s="12"/>
      <c r="M2997" s="13"/>
    </row>
    <row r="2998" spans="12:13" x14ac:dyDescent="0.2">
      <c r="L2998" s="12"/>
      <c r="M2998" s="13"/>
    </row>
    <row r="2999" spans="12:13" x14ac:dyDescent="0.2">
      <c r="L2999" s="12"/>
      <c r="M2999" s="13"/>
    </row>
    <row r="3000" spans="12:13" x14ac:dyDescent="0.2">
      <c r="L3000" s="12"/>
      <c r="M3000" s="13"/>
    </row>
    <row r="3001" spans="12:13" x14ac:dyDescent="0.2">
      <c r="L3001" s="12"/>
      <c r="M3001" s="13"/>
    </row>
    <row r="3002" spans="12:13" x14ac:dyDescent="0.2">
      <c r="L3002" s="12"/>
      <c r="M3002" s="13"/>
    </row>
    <row r="3003" spans="12:13" x14ac:dyDescent="0.2">
      <c r="L3003" s="12"/>
      <c r="M3003" s="13"/>
    </row>
    <row r="3004" spans="12:13" x14ac:dyDescent="0.2">
      <c r="L3004" s="12"/>
      <c r="M3004" s="13"/>
    </row>
    <row r="3005" spans="12:13" x14ac:dyDescent="0.2">
      <c r="L3005" s="12"/>
      <c r="M3005" s="13"/>
    </row>
    <row r="3006" spans="12:13" x14ac:dyDescent="0.2">
      <c r="L3006" s="12"/>
      <c r="M3006" s="13"/>
    </row>
    <row r="3007" spans="12:13" x14ac:dyDescent="0.2">
      <c r="L3007" s="12"/>
      <c r="M3007" s="13"/>
    </row>
    <row r="3008" spans="12:13" x14ac:dyDescent="0.2">
      <c r="L3008" s="12"/>
      <c r="M3008" s="13"/>
    </row>
    <row r="3009" spans="12:13" x14ac:dyDescent="0.2">
      <c r="L3009" s="12"/>
      <c r="M3009" s="13"/>
    </row>
    <row r="3010" spans="12:13" x14ac:dyDescent="0.2">
      <c r="L3010" s="12"/>
      <c r="M3010" s="13"/>
    </row>
    <row r="3011" spans="12:13" x14ac:dyDescent="0.2">
      <c r="L3011" s="12"/>
      <c r="M3011" s="13"/>
    </row>
    <row r="3012" spans="12:13" x14ac:dyDescent="0.2">
      <c r="L3012" s="12"/>
      <c r="M3012" s="13"/>
    </row>
    <row r="3013" spans="12:13" x14ac:dyDescent="0.2">
      <c r="L3013" s="12"/>
      <c r="M3013" s="13"/>
    </row>
    <row r="3014" spans="12:13" x14ac:dyDescent="0.2">
      <c r="L3014" s="12"/>
      <c r="M3014" s="13"/>
    </row>
    <row r="3015" spans="12:13" x14ac:dyDescent="0.2">
      <c r="L3015" s="12"/>
      <c r="M3015" s="13"/>
    </row>
    <row r="3016" spans="12:13" x14ac:dyDescent="0.2">
      <c r="L3016" s="12"/>
      <c r="M3016" s="13"/>
    </row>
    <row r="3017" spans="12:13" x14ac:dyDescent="0.2">
      <c r="L3017" s="12"/>
      <c r="M3017" s="13"/>
    </row>
    <row r="3018" spans="12:13" x14ac:dyDescent="0.2">
      <c r="L3018" s="12"/>
      <c r="M3018" s="13"/>
    </row>
    <row r="3019" spans="12:13" x14ac:dyDescent="0.2">
      <c r="L3019" s="12"/>
      <c r="M3019" s="13"/>
    </row>
    <row r="3020" spans="12:13" x14ac:dyDescent="0.2">
      <c r="L3020" s="12"/>
      <c r="M3020" s="13"/>
    </row>
    <row r="3021" spans="12:13" x14ac:dyDescent="0.2">
      <c r="L3021" s="12"/>
      <c r="M3021" s="13"/>
    </row>
    <row r="3022" spans="12:13" x14ac:dyDescent="0.2">
      <c r="L3022" s="12"/>
      <c r="M3022" s="13"/>
    </row>
    <row r="3023" spans="12:13" x14ac:dyDescent="0.2">
      <c r="L3023" s="12"/>
      <c r="M3023" s="13"/>
    </row>
    <row r="3024" spans="12:13" x14ac:dyDescent="0.2">
      <c r="L3024" s="12"/>
      <c r="M3024" s="13"/>
    </row>
    <row r="3025" spans="12:13" x14ac:dyDescent="0.2">
      <c r="L3025" s="12"/>
      <c r="M3025" s="13"/>
    </row>
    <row r="3026" spans="12:13" x14ac:dyDescent="0.2">
      <c r="L3026" s="12"/>
      <c r="M3026" s="13"/>
    </row>
    <row r="3027" spans="12:13" x14ac:dyDescent="0.2">
      <c r="L3027" s="12"/>
      <c r="M3027" s="13"/>
    </row>
    <row r="3028" spans="12:13" x14ac:dyDescent="0.2">
      <c r="L3028" s="12"/>
      <c r="M3028" s="13"/>
    </row>
    <row r="3029" spans="12:13" x14ac:dyDescent="0.2">
      <c r="L3029" s="12"/>
      <c r="M3029" s="13"/>
    </row>
    <row r="3030" spans="12:13" x14ac:dyDescent="0.2">
      <c r="L3030" s="12"/>
      <c r="M3030" s="13"/>
    </row>
    <row r="3031" spans="12:13" x14ac:dyDescent="0.2">
      <c r="L3031" s="12"/>
      <c r="M3031" s="13"/>
    </row>
    <row r="3032" spans="12:13" x14ac:dyDescent="0.2">
      <c r="L3032" s="12"/>
      <c r="M3032" s="13"/>
    </row>
    <row r="3033" spans="12:13" x14ac:dyDescent="0.2">
      <c r="L3033" s="12"/>
      <c r="M3033" s="13"/>
    </row>
    <row r="3034" spans="12:13" x14ac:dyDescent="0.2">
      <c r="L3034" s="12"/>
      <c r="M3034" s="13"/>
    </row>
    <row r="3035" spans="12:13" x14ac:dyDescent="0.2">
      <c r="L3035" s="12"/>
      <c r="M3035" s="13"/>
    </row>
    <row r="3036" spans="12:13" x14ac:dyDescent="0.2">
      <c r="L3036" s="12"/>
      <c r="M3036" s="13"/>
    </row>
    <row r="3037" spans="12:13" x14ac:dyDescent="0.2">
      <c r="L3037" s="12"/>
      <c r="M3037" s="13"/>
    </row>
    <row r="3038" spans="12:13" x14ac:dyDescent="0.2">
      <c r="L3038" s="12"/>
      <c r="M3038" s="13"/>
    </row>
    <row r="3039" spans="12:13" x14ac:dyDescent="0.2">
      <c r="L3039" s="12"/>
      <c r="M3039" s="13"/>
    </row>
    <row r="3040" spans="12:13" x14ac:dyDescent="0.2">
      <c r="L3040" s="12"/>
      <c r="M3040" s="13"/>
    </row>
    <row r="3041" spans="12:13" x14ac:dyDescent="0.2">
      <c r="L3041" s="12"/>
      <c r="M3041" s="13"/>
    </row>
    <row r="3042" spans="12:13" x14ac:dyDescent="0.2">
      <c r="L3042" s="12"/>
      <c r="M3042" s="13"/>
    </row>
    <row r="3043" spans="12:13" x14ac:dyDescent="0.2">
      <c r="L3043" s="12"/>
      <c r="M3043" s="13"/>
    </row>
    <row r="3044" spans="12:13" x14ac:dyDescent="0.2">
      <c r="L3044" s="12"/>
      <c r="M3044" s="13"/>
    </row>
    <row r="3045" spans="12:13" x14ac:dyDescent="0.2">
      <c r="L3045" s="12"/>
      <c r="M3045" s="13"/>
    </row>
    <row r="3046" spans="12:13" x14ac:dyDescent="0.2">
      <c r="L3046" s="12"/>
      <c r="M3046" s="13"/>
    </row>
    <row r="3047" spans="12:13" x14ac:dyDescent="0.2">
      <c r="L3047" s="12"/>
      <c r="M3047" s="13"/>
    </row>
    <row r="3048" spans="12:13" x14ac:dyDescent="0.2">
      <c r="L3048" s="12"/>
      <c r="M3048" s="13"/>
    </row>
    <row r="3049" spans="12:13" x14ac:dyDescent="0.2">
      <c r="L3049" s="12"/>
      <c r="M3049" s="13"/>
    </row>
    <row r="3050" spans="12:13" x14ac:dyDescent="0.2">
      <c r="L3050" s="12"/>
      <c r="M3050" s="13"/>
    </row>
    <row r="3051" spans="12:13" x14ac:dyDescent="0.2">
      <c r="L3051" s="12"/>
      <c r="M3051" s="13"/>
    </row>
    <row r="3052" spans="12:13" x14ac:dyDescent="0.2">
      <c r="L3052" s="12"/>
      <c r="M3052" s="13"/>
    </row>
    <row r="3053" spans="12:13" x14ac:dyDescent="0.2">
      <c r="L3053" s="12"/>
      <c r="M3053" s="13"/>
    </row>
    <row r="3054" spans="12:13" x14ac:dyDescent="0.2">
      <c r="L3054" s="12"/>
      <c r="M3054" s="13"/>
    </row>
    <row r="3055" spans="12:13" x14ac:dyDescent="0.2">
      <c r="L3055" s="12"/>
      <c r="M3055" s="13"/>
    </row>
    <row r="3056" spans="12:13" x14ac:dyDescent="0.2">
      <c r="L3056" s="12"/>
      <c r="M3056" s="13"/>
    </row>
    <row r="3057" spans="12:13" x14ac:dyDescent="0.2">
      <c r="L3057" s="12"/>
      <c r="M3057" s="13"/>
    </row>
    <row r="3058" spans="12:13" x14ac:dyDescent="0.2">
      <c r="L3058" s="12"/>
      <c r="M3058" s="13"/>
    </row>
    <row r="3059" spans="12:13" x14ac:dyDescent="0.2">
      <c r="L3059" s="12"/>
      <c r="M3059" s="13"/>
    </row>
    <row r="3060" spans="12:13" x14ac:dyDescent="0.2">
      <c r="L3060" s="12"/>
      <c r="M3060" s="13"/>
    </row>
    <row r="3061" spans="12:13" x14ac:dyDescent="0.2">
      <c r="L3061" s="12"/>
      <c r="M3061" s="13"/>
    </row>
    <row r="3062" spans="12:13" x14ac:dyDescent="0.2">
      <c r="L3062" s="12"/>
      <c r="M3062" s="13"/>
    </row>
    <row r="3063" spans="12:13" x14ac:dyDescent="0.2">
      <c r="L3063" s="12"/>
      <c r="M3063" s="13"/>
    </row>
    <row r="3064" spans="12:13" x14ac:dyDescent="0.2">
      <c r="L3064" s="12"/>
      <c r="M3064" s="13"/>
    </row>
    <row r="3065" spans="12:13" x14ac:dyDescent="0.2">
      <c r="L3065" s="12"/>
      <c r="M3065" s="13"/>
    </row>
    <row r="3066" spans="12:13" x14ac:dyDescent="0.2">
      <c r="L3066" s="12"/>
      <c r="M3066" s="13"/>
    </row>
    <row r="3067" spans="12:13" x14ac:dyDescent="0.2">
      <c r="L3067" s="12"/>
      <c r="M3067" s="13"/>
    </row>
    <row r="3068" spans="12:13" x14ac:dyDescent="0.2">
      <c r="L3068" s="12"/>
      <c r="M3068" s="13"/>
    </row>
    <row r="3069" spans="12:13" x14ac:dyDescent="0.2">
      <c r="L3069" s="12"/>
      <c r="M3069" s="13"/>
    </row>
    <row r="3070" spans="12:13" x14ac:dyDescent="0.2">
      <c r="L3070" s="12"/>
      <c r="M3070" s="13"/>
    </row>
    <row r="3071" spans="12:13" x14ac:dyDescent="0.2">
      <c r="L3071" s="12"/>
      <c r="M3071" s="13"/>
    </row>
    <row r="3072" spans="12:13" x14ac:dyDescent="0.2">
      <c r="L3072" s="12"/>
      <c r="M3072" s="13"/>
    </row>
    <row r="3073" spans="12:13" x14ac:dyDescent="0.2">
      <c r="L3073" s="12"/>
      <c r="M3073" s="13"/>
    </row>
    <row r="3074" spans="12:13" x14ac:dyDescent="0.2">
      <c r="L3074" s="17"/>
      <c r="M3074" s="18"/>
    </row>
    <row r="3075" spans="12:13" x14ac:dyDescent="0.2">
      <c r="L3075" s="12"/>
      <c r="M3075" s="13"/>
    </row>
    <row r="3076" spans="12:13" x14ac:dyDescent="0.2">
      <c r="L3076" s="12"/>
      <c r="M3076" s="13"/>
    </row>
    <row r="3077" spans="12:13" x14ac:dyDescent="0.2">
      <c r="L3077" s="12"/>
      <c r="M3077" s="13"/>
    </row>
    <row r="3078" spans="12:13" x14ac:dyDescent="0.2">
      <c r="L3078" s="12"/>
      <c r="M3078" s="13"/>
    </row>
    <row r="3079" spans="12:13" x14ac:dyDescent="0.2">
      <c r="L3079" s="12"/>
      <c r="M3079" s="13"/>
    </row>
    <row r="3080" spans="12:13" x14ac:dyDescent="0.2">
      <c r="L3080" s="12"/>
      <c r="M3080" s="13"/>
    </row>
    <row r="3081" spans="12:13" x14ac:dyDescent="0.2">
      <c r="L3081" s="12"/>
      <c r="M3081" s="13"/>
    </row>
    <row r="3082" spans="12:13" x14ac:dyDescent="0.2">
      <c r="L3082" s="12"/>
      <c r="M3082" s="13"/>
    </row>
    <row r="3083" spans="12:13" x14ac:dyDescent="0.2">
      <c r="L3083" s="12"/>
      <c r="M3083" s="13"/>
    </row>
    <row r="3084" spans="12:13" x14ac:dyDescent="0.2">
      <c r="L3084" s="12"/>
      <c r="M3084" s="13"/>
    </row>
    <row r="3085" spans="12:13" x14ac:dyDescent="0.2">
      <c r="L3085" s="12"/>
      <c r="M3085" s="13"/>
    </row>
    <row r="3086" spans="12:13" x14ac:dyDescent="0.2">
      <c r="L3086" s="12"/>
      <c r="M3086" s="13"/>
    </row>
    <row r="3087" spans="12:13" x14ac:dyDescent="0.2">
      <c r="L3087" s="12"/>
      <c r="M3087" s="13"/>
    </row>
    <row r="3088" spans="12:13" x14ac:dyDescent="0.2">
      <c r="L3088" s="12"/>
      <c r="M3088" s="13"/>
    </row>
    <row r="3089" spans="12:13" x14ac:dyDescent="0.2">
      <c r="L3089" s="12"/>
      <c r="M3089" s="13"/>
    </row>
    <row r="3090" spans="12:13" x14ac:dyDescent="0.2">
      <c r="L3090" s="12"/>
      <c r="M3090" s="13"/>
    </row>
    <row r="3091" spans="12:13" x14ac:dyDescent="0.2">
      <c r="L3091" s="12"/>
      <c r="M3091" s="13"/>
    </row>
    <row r="3092" spans="12:13" x14ac:dyDescent="0.2">
      <c r="L3092" s="12"/>
      <c r="M3092" s="13"/>
    </row>
    <row r="3093" spans="12:13" x14ac:dyDescent="0.2">
      <c r="L3093" s="12"/>
      <c r="M3093" s="13"/>
    </row>
    <row r="3094" spans="12:13" x14ac:dyDescent="0.2">
      <c r="L3094" s="12"/>
      <c r="M3094" s="13"/>
    </row>
    <row r="3095" spans="12:13" x14ac:dyDescent="0.2">
      <c r="L3095" s="12"/>
      <c r="M3095" s="13"/>
    </row>
    <row r="3096" spans="12:13" x14ac:dyDescent="0.2">
      <c r="L3096" s="12"/>
      <c r="M3096" s="13"/>
    </row>
    <row r="3097" spans="12:13" x14ac:dyDescent="0.2">
      <c r="L3097" s="12"/>
      <c r="M3097" s="13"/>
    </row>
    <row r="3098" spans="12:13" x14ac:dyDescent="0.2">
      <c r="L3098" s="12"/>
      <c r="M3098" s="13"/>
    </row>
    <row r="3099" spans="12:13" x14ac:dyDescent="0.2">
      <c r="L3099" s="12"/>
      <c r="M3099" s="13"/>
    </row>
    <row r="3100" spans="12:13" x14ac:dyDescent="0.2">
      <c r="L3100" s="12"/>
      <c r="M3100" s="13"/>
    </row>
    <row r="3101" spans="12:13" x14ac:dyDescent="0.2">
      <c r="L3101" s="12"/>
      <c r="M3101" s="13"/>
    </row>
    <row r="3102" spans="12:13" x14ac:dyDescent="0.2">
      <c r="L3102" s="12"/>
      <c r="M3102" s="13"/>
    </row>
    <row r="3103" spans="12:13" x14ac:dyDescent="0.2">
      <c r="L3103" s="12"/>
      <c r="M3103" s="13"/>
    </row>
    <row r="3104" spans="12:13" x14ac:dyDescent="0.2">
      <c r="L3104" s="12"/>
      <c r="M3104" s="13"/>
    </row>
    <row r="3105" spans="12:13" x14ac:dyDescent="0.2">
      <c r="L3105" s="12"/>
      <c r="M3105" s="13"/>
    </row>
    <row r="3106" spans="12:13" x14ac:dyDescent="0.2">
      <c r="L3106" s="12"/>
      <c r="M3106" s="13"/>
    </row>
    <row r="3107" spans="12:13" x14ac:dyDescent="0.2">
      <c r="L3107" s="12"/>
      <c r="M3107" s="13"/>
    </row>
    <row r="3108" spans="12:13" x14ac:dyDescent="0.2">
      <c r="L3108" s="12"/>
      <c r="M3108" s="13"/>
    </row>
    <row r="3109" spans="12:13" x14ac:dyDescent="0.2">
      <c r="L3109" s="12"/>
      <c r="M3109" s="13"/>
    </row>
    <row r="3110" spans="12:13" x14ac:dyDescent="0.2">
      <c r="L3110" s="12"/>
      <c r="M3110" s="13"/>
    </row>
    <row r="3111" spans="12:13" x14ac:dyDescent="0.2">
      <c r="L3111" s="12"/>
      <c r="M3111" s="13"/>
    </row>
    <row r="3112" spans="12:13" x14ac:dyDescent="0.2">
      <c r="L3112" s="12"/>
      <c r="M3112" s="13"/>
    </row>
    <row r="3113" spans="12:13" x14ac:dyDescent="0.2">
      <c r="L3113" s="12"/>
      <c r="M3113" s="13"/>
    </row>
    <row r="3114" spans="12:13" x14ac:dyDescent="0.2">
      <c r="L3114" s="12"/>
      <c r="M3114" s="13"/>
    </row>
    <row r="3115" spans="12:13" x14ac:dyDescent="0.2">
      <c r="L3115" s="12"/>
      <c r="M3115" s="13"/>
    </row>
    <row r="3116" spans="12:13" x14ac:dyDescent="0.2">
      <c r="L3116" s="12"/>
      <c r="M3116" s="13"/>
    </row>
    <row r="3117" spans="12:13" x14ac:dyDescent="0.2">
      <c r="L3117" s="12"/>
      <c r="M3117" s="13"/>
    </row>
    <row r="3118" spans="12:13" x14ac:dyDescent="0.2">
      <c r="L3118" s="12"/>
      <c r="M3118" s="13"/>
    </row>
    <row r="3119" spans="12:13" x14ac:dyDescent="0.2">
      <c r="L3119" s="12"/>
      <c r="M3119" s="13"/>
    </row>
    <row r="3120" spans="12:13" x14ac:dyDescent="0.2">
      <c r="L3120" s="12"/>
      <c r="M3120" s="13"/>
    </row>
    <row r="3121" spans="12:13" x14ac:dyDescent="0.2">
      <c r="L3121" s="12"/>
      <c r="M3121" s="13"/>
    </row>
    <row r="3122" spans="12:13" x14ac:dyDescent="0.2">
      <c r="L3122" s="12"/>
      <c r="M3122" s="13"/>
    </row>
    <row r="3123" spans="12:13" x14ac:dyDescent="0.2">
      <c r="L3123" s="12"/>
      <c r="M3123" s="13"/>
    </row>
    <row r="3124" spans="12:13" x14ac:dyDescent="0.2">
      <c r="L3124" s="12"/>
      <c r="M3124" s="13"/>
    </row>
    <row r="3125" spans="12:13" x14ac:dyDescent="0.2">
      <c r="L3125" s="12"/>
      <c r="M3125" s="13"/>
    </row>
    <row r="3126" spans="12:13" x14ac:dyDescent="0.2">
      <c r="L3126" s="12"/>
      <c r="M3126" s="13"/>
    </row>
    <row r="3127" spans="12:13" x14ac:dyDescent="0.2">
      <c r="L3127" s="12"/>
      <c r="M3127" s="13"/>
    </row>
    <row r="3128" spans="12:13" x14ac:dyDescent="0.2">
      <c r="L3128" s="12"/>
      <c r="M3128" s="13"/>
    </row>
    <row r="3129" spans="12:13" x14ac:dyDescent="0.2">
      <c r="L3129" s="12"/>
      <c r="M3129" s="13"/>
    </row>
    <row r="3130" spans="12:13" x14ac:dyDescent="0.2">
      <c r="L3130" s="12"/>
      <c r="M3130" s="13"/>
    </row>
    <row r="3131" spans="12:13" x14ac:dyDescent="0.2">
      <c r="L3131" s="12"/>
      <c r="M3131" s="13"/>
    </row>
    <row r="3132" spans="12:13" x14ac:dyDescent="0.2">
      <c r="L3132" s="12"/>
      <c r="M3132" s="13"/>
    </row>
    <row r="3133" spans="12:13" x14ac:dyDescent="0.2">
      <c r="L3133" s="12"/>
      <c r="M3133" s="13"/>
    </row>
    <row r="3134" spans="12:13" x14ac:dyDescent="0.2">
      <c r="L3134" s="12"/>
      <c r="M3134" s="13"/>
    </row>
    <row r="3135" spans="12:13" x14ac:dyDescent="0.2">
      <c r="L3135" s="12"/>
      <c r="M3135" s="13"/>
    </row>
    <row r="3136" spans="12:13" x14ac:dyDescent="0.2">
      <c r="L3136" s="12"/>
      <c r="M3136" s="13"/>
    </row>
    <row r="3137" spans="12:13" x14ac:dyDescent="0.2">
      <c r="L3137" s="12"/>
      <c r="M3137" s="13"/>
    </row>
    <row r="3138" spans="12:13" x14ac:dyDescent="0.2">
      <c r="L3138" s="12"/>
      <c r="M3138" s="13"/>
    </row>
    <row r="3139" spans="12:13" x14ac:dyDescent="0.2">
      <c r="L3139" s="12"/>
      <c r="M3139" s="13"/>
    </row>
    <row r="3140" spans="12:13" x14ac:dyDescent="0.2">
      <c r="L3140" s="12"/>
      <c r="M3140" s="13"/>
    </row>
    <row r="3141" spans="12:13" x14ac:dyDescent="0.2">
      <c r="L3141" s="12"/>
      <c r="M3141" s="13"/>
    </row>
    <row r="3142" spans="12:13" x14ac:dyDescent="0.2">
      <c r="L3142" s="12"/>
      <c r="M3142" s="13"/>
    </row>
    <row r="3143" spans="12:13" x14ac:dyDescent="0.2">
      <c r="L3143" s="12"/>
      <c r="M3143" s="13"/>
    </row>
    <row r="3144" spans="12:13" x14ac:dyDescent="0.2">
      <c r="L3144" s="12"/>
      <c r="M3144" s="13"/>
    </row>
    <row r="3145" spans="12:13" x14ac:dyDescent="0.2">
      <c r="L3145" s="12"/>
      <c r="M3145" s="13"/>
    </row>
    <row r="3146" spans="12:13" x14ac:dyDescent="0.2">
      <c r="L3146" s="12"/>
      <c r="M3146" s="13"/>
    </row>
    <row r="3147" spans="12:13" x14ac:dyDescent="0.2">
      <c r="L3147" s="12"/>
      <c r="M3147" s="13"/>
    </row>
    <row r="3148" spans="12:13" x14ac:dyDescent="0.2">
      <c r="L3148" s="12"/>
      <c r="M3148" s="13"/>
    </row>
    <row r="3149" spans="12:13" x14ac:dyDescent="0.2">
      <c r="L3149" s="12"/>
      <c r="M3149" s="13"/>
    </row>
    <row r="3150" spans="12:13" x14ac:dyDescent="0.2">
      <c r="L3150" s="12"/>
      <c r="M3150" s="13"/>
    </row>
    <row r="3151" spans="12:13" x14ac:dyDescent="0.2">
      <c r="L3151" s="12"/>
      <c r="M3151" s="13"/>
    </row>
    <row r="3152" spans="12:13" x14ac:dyDescent="0.2">
      <c r="L3152" s="12"/>
      <c r="M3152" s="13"/>
    </row>
    <row r="3153" spans="12:13" x14ac:dyDescent="0.2">
      <c r="L3153" s="12"/>
      <c r="M3153" s="13"/>
    </row>
    <row r="3154" spans="12:13" x14ac:dyDescent="0.2">
      <c r="L3154" s="12"/>
      <c r="M3154" s="13"/>
    </row>
    <row r="3155" spans="12:13" x14ac:dyDescent="0.2">
      <c r="L3155" s="12"/>
      <c r="M3155" s="13"/>
    </row>
    <row r="3156" spans="12:13" x14ac:dyDescent="0.2">
      <c r="L3156" s="12"/>
      <c r="M3156" s="13"/>
    </row>
    <row r="3157" spans="12:13" x14ac:dyDescent="0.2">
      <c r="L3157" s="12"/>
      <c r="M3157" s="13"/>
    </row>
    <row r="3158" spans="12:13" x14ac:dyDescent="0.2">
      <c r="L3158" s="12"/>
      <c r="M3158" s="13"/>
    </row>
    <row r="3159" spans="12:13" x14ac:dyDescent="0.2">
      <c r="L3159" s="12"/>
      <c r="M3159" s="13"/>
    </row>
    <row r="3160" spans="12:13" x14ac:dyDescent="0.2">
      <c r="L3160" s="12"/>
      <c r="M3160" s="13"/>
    </row>
    <row r="3161" spans="12:13" x14ac:dyDescent="0.2">
      <c r="L3161" s="12"/>
      <c r="M3161" s="13"/>
    </row>
    <row r="3162" spans="12:13" x14ac:dyDescent="0.2">
      <c r="L3162" s="12"/>
      <c r="M3162" s="13"/>
    </row>
    <row r="3163" spans="12:13" x14ac:dyDescent="0.2">
      <c r="L3163" s="12"/>
      <c r="M3163" s="13"/>
    </row>
    <row r="3164" spans="12:13" x14ac:dyDescent="0.2">
      <c r="L3164" s="12"/>
      <c r="M3164" s="13"/>
    </row>
    <row r="3165" spans="12:13" x14ac:dyDescent="0.2">
      <c r="L3165" s="12"/>
      <c r="M3165" s="13"/>
    </row>
    <row r="3166" spans="12:13" x14ac:dyDescent="0.2">
      <c r="L3166" s="12"/>
      <c r="M3166" s="13"/>
    </row>
    <row r="3167" spans="12:13" x14ac:dyDescent="0.2">
      <c r="L3167" s="12"/>
      <c r="M3167" s="13"/>
    </row>
    <row r="3168" spans="12:13" x14ac:dyDescent="0.2">
      <c r="L3168" s="12"/>
      <c r="M3168" s="13"/>
    </row>
    <row r="3169" spans="12:13" x14ac:dyDescent="0.2">
      <c r="L3169" s="12"/>
      <c r="M3169" s="13"/>
    </row>
    <row r="3170" spans="12:13" x14ac:dyDescent="0.2">
      <c r="L3170" s="12"/>
      <c r="M3170" s="13"/>
    </row>
    <row r="3171" spans="12:13" x14ac:dyDescent="0.2">
      <c r="L3171" s="12"/>
      <c r="M3171" s="13"/>
    </row>
    <row r="3172" spans="12:13" x14ac:dyDescent="0.2">
      <c r="L3172" s="12"/>
      <c r="M3172" s="13"/>
    </row>
    <row r="3173" spans="12:13" x14ac:dyDescent="0.2">
      <c r="L3173" s="12"/>
      <c r="M3173" s="13"/>
    </row>
    <row r="3174" spans="12:13" x14ac:dyDescent="0.2">
      <c r="L3174" s="12"/>
      <c r="M3174" s="13"/>
    </row>
    <row r="3175" spans="12:13" x14ac:dyDescent="0.2">
      <c r="L3175" s="12"/>
      <c r="M3175" s="13"/>
    </row>
    <row r="3176" spans="12:13" x14ac:dyDescent="0.2">
      <c r="L3176" s="12"/>
      <c r="M3176" s="13"/>
    </row>
    <row r="3177" spans="12:13" x14ac:dyDescent="0.2">
      <c r="L3177" s="12"/>
      <c r="M3177" s="13"/>
    </row>
    <row r="3178" spans="12:13" x14ac:dyDescent="0.2">
      <c r="L3178" s="12"/>
      <c r="M3178" s="13"/>
    </row>
    <row r="3179" spans="12:13" x14ac:dyDescent="0.2">
      <c r="L3179" s="12"/>
      <c r="M3179" s="13"/>
    </row>
    <row r="3180" spans="12:13" x14ac:dyDescent="0.2">
      <c r="L3180" s="12"/>
      <c r="M3180" s="13"/>
    </row>
    <row r="3181" spans="12:13" x14ac:dyDescent="0.2">
      <c r="L3181" s="12"/>
      <c r="M3181" s="13"/>
    </row>
    <row r="3182" spans="12:13" x14ac:dyDescent="0.2">
      <c r="L3182" s="12"/>
      <c r="M3182" s="13"/>
    </row>
    <row r="3183" spans="12:13" x14ac:dyDescent="0.2">
      <c r="L3183" s="12"/>
      <c r="M3183" s="13"/>
    </row>
    <row r="3184" spans="12:13" x14ac:dyDescent="0.2">
      <c r="L3184" s="12"/>
      <c r="M3184" s="13"/>
    </row>
    <row r="3185" spans="12:13" x14ac:dyDescent="0.2">
      <c r="L3185" s="12"/>
      <c r="M3185" s="13"/>
    </row>
    <row r="3186" spans="12:13" x14ac:dyDescent="0.2">
      <c r="L3186" s="12"/>
      <c r="M3186" s="13"/>
    </row>
    <row r="3187" spans="12:13" x14ac:dyDescent="0.2">
      <c r="L3187" s="12"/>
      <c r="M3187" s="13"/>
    </row>
    <row r="3188" spans="12:13" x14ac:dyDescent="0.2">
      <c r="L3188" s="12"/>
      <c r="M3188" s="13"/>
    </row>
    <row r="3189" spans="12:13" x14ac:dyDescent="0.2">
      <c r="L3189" s="12"/>
      <c r="M3189" s="13"/>
    </row>
    <row r="3190" spans="12:13" x14ac:dyDescent="0.2">
      <c r="L3190" s="12"/>
      <c r="M3190" s="13"/>
    </row>
    <row r="3191" spans="12:13" x14ac:dyDescent="0.2">
      <c r="L3191" s="12"/>
      <c r="M3191" s="13"/>
    </row>
    <row r="3192" spans="12:13" x14ac:dyDescent="0.2">
      <c r="L3192" s="12"/>
      <c r="M3192" s="13"/>
    </row>
    <row r="3193" spans="12:13" x14ac:dyDescent="0.2">
      <c r="L3193" s="12"/>
      <c r="M3193" s="13"/>
    </row>
    <row r="3194" spans="12:13" x14ac:dyDescent="0.2">
      <c r="L3194" s="12"/>
      <c r="M3194" s="13"/>
    </row>
    <row r="3195" spans="12:13" x14ac:dyDescent="0.2">
      <c r="L3195" s="12"/>
      <c r="M3195" s="13"/>
    </row>
    <row r="3196" spans="12:13" x14ac:dyDescent="0.2">
      <c r="L3196" s="12"/>
      <c r="M3196" s="13"/>
    </row>
    <row r="3197" spans="12:13" x14ac:dyDescent="0.2">
      <c r="L3197" s="12"/>
      <c r="M3197" s="13"/>
    </row>
    <row r="3198" spans="12:13" x14ac:dyDescent="0.2">
      <c r="L3198" s="12"/>
      <c r="M3198" s="13"/>
    </row>
    <row r="3199" spans="12:13" x14ac:dyDescent="0.2">
      <c r="L3199" s="12"/>
      <c r="M3199" s="13"/>
    </row>
    <row r="3200" spans="12:13" x14ac:dyDescent="0.2">
      <c r="L3200" s="12"/>
      <c r="M3200" s="13"/>
    </row>
    <row r="3201" spans="12:13" x14ac:dyDescent="0.2">
      <c r="L3201" s="12"/>
      <c r="M3201" s="13"/>
    </row>
    <row r="3202" spans="12:13" x14ac:dyDescent="0.2">
      <c r="L3202" s="12"/>
      <c r="M3202" s="13"/>
    </row>
    <row r="3203" spans="12:13" x14ac:dyDescent="0.2">
      <c r="L3203" s="12"/>
      <c r="M3203" s="13"/>
    </row>
    <row r="3204" spans="12:13" x14ac:dyDescent="0.2">
      <c r="L3204" s="12"/>
      <c r="M3204" s="13"/>
    </row>
    <row r="3205" spans="12:13" x14ac:dyDescent="0.2">
      <c r="L3205" s="12"/>
      <c r="M3205" s="13"/>
    </row>
    <row r="3206" spans="12:13" x14ac:dyDescent="0.2">
      <c r="L3206" s="12"/>
      <c r="M3206" s="13"/>
    </row>
    <row r="3207" spans="12:13" x14ac:dyDescent="0.2">
      <c r="L3207" s="12"/>
      <c r="M3207" s="13"/>
    </row>
    <row r="3208" spans="12:13" x14ac:dyDescent="0.2">
      <c r="L3208" s="12"/>
      <c r="M3208" s="13"/>
    </row>
    <row r="3209" spans="12:13" x14ac:dyDescent="0.2">
      <c r="L3209" s="12"/>
      <c r="M3209" s="13"/>
    </row>
    <row r="3210" spans="12:13" x14ac:dyDescent="0.2">
      <c r="L3210" s="12"/>
      <c r="M3210" s="13"/>
    </row>
    <row r="3211" spans="12:13" x14ac:dyDescent="0.2">
      <c r="L3211" s="12"/>
      <c r="M3211" s="13"/>
    </row>
    <row r="3212" spans="12:13" x14ac:dyDescent="0.2">
      <c r="L3212" s="12"/>
      <c r="M3212" s="13"/>
    </row>
    <row r="3213" spans="12:13" x14ac:dyDescent="0.2">
      <c r="L3213" s="12"/>
      <c r="M3213" s="13"/>
    </row>
    <row r="3214" spans="12:13" x14ac:dyDescent="0.2">
      <c r="L3214" s="12"/>
      <c r="M3214" s="13"/>
    </row>
    <row r="3215" spans="12:13" x14ac:dyDescent="0.2">
      <c r="L3215" s="12"/>
      <c r="M3215" s="13"/>
    </row>
    <row r="3216" spans="12:13" x14ac:dyDescent="0.2">
      <c r="L3216" s="12"/>
      <c r="M3216" s="13"/>
    </row>
    <row r="3217" spans="12:13" x14ac:dyDescent="0.2">
      <c r="L3217" s="12"/>
      <c r="M3217" s="13"/>
    </row>
    <row r="3218" spans="12:13" x14ac:dyDescent="0.2">
      <c r="L3218" s="12"/>
      <c r="M3218" s="13"/>
    </row>
    <row r="3219" spans="12:13" x14ac:dyDescent="0.2">
      <c r="L3219" s="12"/>
      <c r="M3219" s="13"/>
    </row>
    <row r="3220" spans="12:13" x14ac:dyDescent="0.2">
      <c r="L3220" s="12"/>
      <c r="M3220" s="13"/>
    </row>
    <row r="3221" spans="12:13" x14ac:dyDescent="0.2">
      <c r="L3221" s="12"/>
      <c r="M3221" s="13"/>
    </row>
    <row r="3222" spans="12:13" x14ac:dyDescent="0.2">
      <c r="L3222" s="12"/>
      <c r="M3222" s="13"/>
    </row>
    <row r="3223" spans="12:13" x14ac:dyDescent="0.2">
      <c r="L3223" s="12"/>
      <c r="M3223" s="13"/>
    </row>
    <row r="3224" spans="12:13" x14ac:dyDescent="0.2">
      <c r="L3224" s="12"/>
      <c r="M3224" s="13"/>
    </row>
    <row r="3225" spans="12:13" x14ac:dyDescent="0.2">
      <c r="L3225" s="12"/>
      <c r="M3225" s="13"/>
    </row>
    <row r="3226" spans="12:13" x14ac:dyDescent="0.2">
      <c r="L3226" s="12"/>
      <c r="M3226" s="13"/>
    </row>
    <row r="3227" spans="12:13" x14ac:dyDescent="0.2">
      <c r="L3227" s="12"/>
      <c r="M3227" s="13"/>
    </row>
    <row r="3228" spans="12:13" x14ac:dyDescent="0.2">
      <c r="L3228" s="12"/>
      <c r="M3228" s="13"/>
    </row>
    <row r="3229" spans="12:13" x14ac:dyDescent="0.2">
      <c r="L3229" s="12"/>
      <c r="M3229" s="13"/>
    </row>
    <row r="3230" spans="12:13" x14ac:dyDescent="0.2">
      <c r="L3230" s="12"/>
      <c r="M3230" s="13"/>
    </row>
    <row r="3231" spans="12:13" x14ac:dyDescent="0.2">
      <c r="L3231" s="12"/>
      <c r="M3231" s="13"/>
    </row>
    <row r="3232" spans="12:13" x14ac:dyDescent="0.2">
      <c r="L3232" s="12"/>
      <c r="M3232" s="13"/>
    </row>
    <row r="3233" spans="12:13" x14ac:dyDescent="0.2">
      <c r="L3233" s="12"/>
      <c r="M3233" s="13"/>
    </row>
    <row r="3234" spans="12:13" x14ac:dyDescent="0.2">
      <c r="L3234" s="12"/>
      <c r="M3234" s="13"/>
    </row>
    <row r="3235" spans="12:13" x14ac:dyDescent="0.2">
      <c r="L3235" s="12"/>
      <c r="M3235" s="13"/>
    </row>
    <row r="3236" spans="12:13" x14ac:dyDescent="0.2">
      <c r="L3236" s="12"/>
      <c r="M3236" s="13"/>
    </row>
    <row r="3237" spans="12:13" x14ac:dyDescent="0.2">
      <c r="L3237" s="12"/>
      <c r="M3237" s="13"/>
    </row>
    <row r="3238" spans="12:13" x14ac:dyDescent="0.2">
      <c r="L3238" s="12"/>
      <c r="M3238" s="13"/>
    </row>
    <row r="3239" spans="12:13" x14ac:dyDescent="0.2">
      <c r="L3239" s="12"/>
      <c r="M3239" s="13"/>
    </row>
    <row r="3240" spans="12:13" x14ac:dyDescent="0.2">
      <c r="L3240" s="12"/>
      <c r="M3240" s="13"/>
    </row>
    <row r="3241" spans="12:13" x14ac:dyDescent="0.2">
      <c r="L3241" s="12"/>
      <c r="M3241" s="13"/>
    </row>
    <row r="3242" spans="12:13" x14ac:dyDescent="0.2">
      <c r="L3242" s="12"/>
      <c r="M3242" s="13"/>
    </row>
    <row r="3243" spans="12:13" x14ac:dyDescent="0.2">
      <c r="L3243" s="12"/>
      <c r="M3243" s="13"/>
    </row>
    <row r="3244" spans="12:13" x14ac:dyDescent="0.2">
      <c r="L3244" s="12"/>
      <c r="M3244" s="13"/>
    </row>
    <row r="3245" spans="12:13" x14ac:dyDescent="0.2">
      <c r="L3245" s="12"/>
      <c r="M3245" s="13"/>
    </row>
    <row r="3246" spans="12:13" x14ac:dyDescent="0.2">
      <c r="L3246" s="12"/>
      <c r="M3246" s="13"/>
    </row>
    <row r="3247" spans="12:13" x14ac:dyDescent="0.2">
      <c r="L3247" s="12"/>
      <c r="M3247" s="13"/>
    </row>
    <row r="3248" spans="12:13" x14ac:dyDescent="0.2">
      <c r="L3248" s="12"/>
      <c r="M3248" s="13"/>
    </row>
    <row r="3249" spans="12:13" x14ac:dyDescent="0.2">
      <c r="L3249" s="12"/>
      <c r="M3249" s="13"/>
    </row>
    <row r="3250" spans="12:13" x14ac:dyDescent="0.2">
      <c r="L3250" s="12"/>
      <c r="M3250" s="13"/>
    </row>
    <row r="3251" spans="12:13" x14ac:dyDescent="0.2">
      <c r="L3251" s="12"/>
      <c r="M3251" s="13"/>
    </row>
    <row r="3252" spans="12:13" x14ac:dyDescent="0.2">
      <c r="L3252" s="12"/>
      <c r="M3252" s="13"/>
    </row>
    <row r="3253" spans="12:13" x14ac:dyDescent="0.2">
      <c r="L3253" s="12"/>
      <c r="M3253" s="13"/>
    </row>
    <row r="3254" spans="12:13" x14ac:dyDescent="0.2">
      <c r="L3254" s="12"/>
      <c r="M3254" s="13"/>
    </row>
    <row r="3255" spans="12:13" x14ac:dyDescent="0.2">
      <c r="L3255" s="12"/>
      <c r="M3255" s="13"/>
    </row>
    <row r="3256" spans="12:13" x14ac:dyDescent="0.2">
      <c r="L3256" s="12"/>
      <c r="M3256" s="13"/>
    </row>
    <row r="3257" spans="12:13" x14ac:dyDescent="0.2">
      <c r="L3257" s="12"/>
      <c r="M3257" s="13"/>
    </row>
    <row r="3258" spans="12:13" x14ac:dyDescent="0.2">
      <c r="L3258" s="12"/>
      <c r="M3258" s="13"/>
    </row>
    <row r="3259" spans="12:13" x14ac:dyDescent="0.2">
      <c r="L3259" s="12"/>
      <c r="M3259" s="13"/>
    </row>
    <row r="3260" spans="12:13" x14ac:dyDescent="0.2">
      <c r="L3260" s="12"/>
      <c r="M3260" s="13"/>
    </row>
    <row r="3261" spans="12:13" x14ac:dyDescent="0.2">
      <c r="L3261" s="12"/>
      <c r="M3261" s="13"/>
    </row>
    <row r="3262" spans="12:13" x14ac:dyDescent="0.2">
      <c r="L3262" s="12"/>
      <c r="M3262" s="13"/>
    </row>
    <row r="3263" spans="12:13" x14ac:dyDescent="0.2">
      <c r="L3263" s="12"/>
      <c r="M3263" s="13"/>
    </row>
    <row r="3264" spans="12:13" x14ac:dyDescent="0.2">
      <c r="L3264" s="12"/>
      <c r="M3264" s="13"/>
    </row>
    <row r="3265" spans="12:13" x14ac:dyDescent="0.2">
      <c r="L3265" s="12"/>
      <c r="M3265" s="13"/>
    </row>
    <row r="3266" spans="12:13" x14ac:dyDescent="0.2">
      <c r="L3266" s="12"/>
      <c r="M3266" s="13"/>
    </row>
    <row r="3267" spans="12:13" x14ac:dyDescent="0.2">
      <c r="L3267" s="12"/>
      <c r="M3267" s="13"/>
    </row>
    <row r="3268" spans="12:13" x14ac:dyDescent="0.2">
      <c r="L3268" s="12"/>
      <c r="M3268" s="13"/>
    </row>
    <row r="3269" spans="12:13" x14ac:dyDescent="0.2">
      <c r="L3269" s="12"/>
      <c r="M3269" s="13"/>
    </row>
    <row r="3270" spans="12:13" x14ac:dyDescent="0.2">
      <c r="L3270" s="12"/>
      <c r="M3270" s="13"/>
    </row>
    <row r="3271" spans="12:13" x14ac:dyDescent="0.2">
      <c r="L3271" s="12"/>
      <c r="M3271" s="13"/>
    </row>
    <row r="3272" spans="12:13" x14ac:dyDescent="0.2">
      <c r="L3272" s="12"/>
      <c r="M3272" s="13"/>
    </row>
    <row r="3273" spans="12:13" x14ac:dyDescent="0.2">
      <c r="L3273" s="12"/>
      <c r="M3273" s="13"/>
    </row>
    <row r="3274" spans="12:13" x14ac:dyDescent="0.2">
      <c r="L3274" s="12"/>
      <c r="M3274" s="13"/>
    </row>
    <row r="3275" spans="12:13" x14ac:dyDescent="0.2">
      <c r="L3275" s="12"/>
      <c r="M3275" s="13"/>
    </row>
    <row r="3276" spans="12:13" x14ac:dyDescent="0.2">
      <c r="L3276" s="12"/>
      <c r="M3276" s="13"/>
    </row>
    <row r="3277" spans="12:13" x14ac:dyDescent="0.2">
      <c r="L3277" s="12"/>
      <c r="M3277" s="13"/>
    </row>
    <row r="3278" spans="12:13" x14ac:dyDescent="0.2">
      <c r="L3278" s="12"/>
      <c r="M3278" s="13"/>
    </row>
    <row r="3279" spans="12:13" x14ac:dyDescent="0.2">
      <c r="L3279" s="12"/>
      <c r="M3279" s="13"/>
    </row>
    <row r="3280" spans="12:13" x14ac:dyDescent="0.2">
      <c r="L3280" s="12"/>
      <c r="M3280" s="13"/>
    </row>
    <row r="3281" spans="12:13" x14ac:dyDescent="0.2">
      <c r="L3281" s="12"/>
      <c r="M3281" s="13"/>
    </row>
    <row r="3282" spans="12:13" x14ac:dyDescent="0.2">
      <c r="L3282" s="12"/>
      <c r="M3282" s="13"/>
    </row>
    <row r="3283" spans="12:13" x14ac:dyDescent="0.2">
      <c r="L3283" s="12"/>
      <c r="M3283" s="13"/>
    </row>
    <row r="3284" spans="12:13" x14ac:dyDescent="0.2">
      <c r="L3284" s="12"/>
      <c r="M3284" s="13"/>
    </row>
    <row r="3285" spans="12:13" x14ac:dyDescent="0.2">
      <c r="L3285" s="12"/>
      <c r="M3285" s="13"/>
    </row>
    <row r="3286" spans="12:13" x14ac:dyDescent="0.2">
      <c r="L3286" s="12"/>
      <c r="M3286" s="13"/>
    </row>
    <row r="3287" spans="12:13" x14ac:dyDescent="0.2">
      <c r="L3287" s="12"/>
      <c r="M3287" s="13"/>
    </row>
    <row r="3288" spans="12:13" x14ac:dyDescent="0.2">
      <c r="L3288" s="12"/>
      <c r="M3288" s="13"/>
    </row>
    <row r="3289" spans="12:13" x14ac:dyDescent="0.2">
      <c r="L3289" s="12"/>
      <c r="M3289" s="13"/>
    </row>
    <row r="3290" spans="12:13" x14ac:dyDescent="0.2">
      <c r="L3290" s="12"/>
      <c r="M3290" s="13"/>
    </row>
    <row r="3291" spans="12:13" x14ac:dyDescent="0.2">
      <c r="L3291" s="12"/>
      <c r="M3291" s="13"/>
    </row>
    <row r="3292" spans="12:13" x14ac:dyDescent="0.2">
      <c r="L3292" s="12"/>
      <c r="M3292" s="13"/>
    </row>
    <row r="3293" spans="12:13" x14ac:dyDescent="0.2">
      <c r="L3293" s="12"/>
      <c r="M3293" s="13"/>
    </row>
    <row r="3294" spans="12:13" x14ac:dyDescent="0.2">
      <c r="L3294" s="12"/>
      <c r="M3294" s="13"/>
    </row>
    <row r="3295" spans="12:13" x14ac:dyDescent="0.2">
      <c r="L3295" s="12"/>
      <c r="M3295" s="13"/>
    </row>
    <row r="3296" spans="12:13" x14ac:dyDescent="0.2">
      <c r="L3296" s="12"/>
      <c r="M3296" s="13"/>
    </row>
    <row r="3297" spans="12:13" x14ac:dyDescent="0.2">
      <c r="L3297" s="12"/>
      <c r="M3297" s="13"/>
    </row>
    <row r="3298" spans="12:13" x14ac:dyDescent="0.2">
      <c r="L3298" s="12"/>
      <c r="M3298" s="13"/>
    </row>
    <row r="3299" spans="12:13" x14ac:dyDescent="0.2">
      <c r="L3299" s="12"/>
      <c r="M3299" s="13"/>
    </row>
    <row r="3300" spans="12:13" x14ac:dyDescent="0.2">
      <c r="L3300" s="12"/>
      <c r="M3300" s="13"/>
    </row>
    <row r="3301" spans="12:13" x14ac:dyDescent="0.2">
      <c r="L3301" s="12"/>
      <c r="M3301" s="13"/>
    </row>
    <row r="3302" spans="12:13" x14ac:dyDescent="0.2">
      <c r="L3302" s="12"/>
      <c r="M3302" s="13"/>
    </row>
    <row r="3303" spans="12:13" x14ac:dyDescent="0.2">
      <c r="L3303" s="12"/>
      <c r="M3303" s="13"/>
    </row>
    <row r="3304" spans="12:13" x14ac:dyDescent="0.2">
      <c r="L3304" s="12"/>
      <c r="M3304" s="13"/>
    </row>
    <row r="3305" spans="12:13" x14ac:dyDescent="0.2">
      <c r="L3305" s="12"/>
      <c r="M3305" s="13"/>
    </row>
    <row r="3306" spans="12:13" x14ac:dyDescent="0.2">
      <c r="L3306" s="12"/>
      <c r="M3306" s="13"/>
    </row>
    <row r="3307" spans="12:13" x14ac:dyDescent="0.2">
      <c r="L3307" s="12"/>
      <c r="M3307" s="13"/>
    </row>
    <row r="3308" spans="12:13" x14ac:dyDescent="0.2">
      <c r="L3308" s="12"/>
      <c r="M3308" s="13"/>
    </row>
    <row r="3309" spans="12:13" x14ac:dyDescent="0.2">
      <c r="L3309" s="12"/>
      <c r="M3309" s="13"/>
    </row>
    <row r="3310" spans="12:13" x14ac:dyDescent="0.2">
      <c r="L3310" s="12"/>
      <c r="M3310" s="13"/>
    </row>
    <row r="3311" spans="12:13" x14ac:dyDescent="0.2">
      <c r="L3311" s="12"/>
      <c r="M3311" s="13"/>
    </row>
    <row r="3312" spans="12:13" x14ac:dyDescent="0.2">
      <c r="L3312" s="12"/>
      <c r="M3312" s="13"/>
    </row>
    <row r="3313" spans="12:13" x14ac:dyDescent="0.2">
      <c r="L3313" s="12"/>
      <c r="M3313" s="13"/>
    </row>
    <row r="3314" spans="12:13" x14ac:dyDescent="0.2">
      <c r="L3314" s="12"/>
      <c r="M3314" s="13"/>
    </row>
    <row r="3315" spans="12:13" x14ac:dyDescent="0.2">
      <c r="L3315" s="12"/>
      <c r="M3315" s="13"/>
    </row>
    <row r="3316" spans="12:13" x14ac:dyDescent="0.2">
      <c r="L3316" s="12"/>
      <c r="M3316" s="13"/>
    </row>
    <row r="3317" spans="12:13" x14ac:dyDescent="0.2">
      <c r="L3317" s="12"/>
      <c r="M3317" s="13"/>
    </row>
    <row r="3318" spans="12:13" x14ac:dyDescent="0.2">
      <c r="L3318" s="12"/>
      <c r="M3318" s="13"/>
    </row>
    <row r="3319" spans="12:13" x14ac:dyDescent="0.2">
      <c r="L3319" s="12"/>
      <c r="M3319" s="13"/>
    </row>
    <row r="3320" spans="12:13" x14ac:dyDescent="0.2">
      <c r="L3320" s="12"/>
      <c r="M3320" s="13"/>
    </row>
    <row r="3321" spans="12:13" x14ac:dyDescent="0.2">
      <c r="L3321" s="12"/>
      <c r="M3321" s="13"/>
    </row>
    <row r="3322" spans="12:13" x14ac:dyDescent="0.2">
      <c r="L3322" s="12"/>
      <c r="M3322" s="13"/>
    </row>
    <row r="3323" spans="12:13" x14ac:dyDescent="0.2">
      <c r="L3323" s="12"/>
      <c r="M3323" s="13"/>
    </row>
    <row r="3324" spans="12:13" x14ac:dyDescent="0.2">
      <c r="L3324" s="12"/>
      <c r="M3324" s="13"/>
    </row>
    <row r="3325" spans="12:13" x14ac:dyDescent="0.2">
      <c r="L3325" s="12"/>
      <c r="M3325" s="13"/>
    </row>
    <row r="3326" spans="12:13" x14ac:dyDescent="0.2">
      <c r="L3326" s="12"/>
      <c r="M3326" s="13"/>
    </row>
    <row r="3327" spans="12:13" x14ac:dyDescent="0.2">
      <c r="L3327" s="12"/>
      <c r="M3327" s="13"/>
    </row>
    <row r="3328" spans="12:13" x14ac:dyDescent="0.2">
      <c r="L3328" s="12"/>
      <c r="M3328" s="13"/>
    </row>
    <row r="3329" spans="12:13" x14ac:dyDescent="0.2">
      <c r="L3329" s="12"/>
      <c r="M3329" s="13"/>
    </row>
    <row r="3330" spans="12:13" x14ac:dyDescent="0.2">
      <c r="L3330" s="17"/>
      <c r="M3330" s="18"/>
    </row>
    <row r="3331" spans="12:13" x14ac:dyDescent="0.2">
      <c r="L3331" s="12"/>
      <c r="M3331" s="13"/>
    </row>
    <row r="3332" spans="12:13" x14ac:dyDescent="0.2">
      <c r="L3332" s="12"/>
      <c r="M3332" s="13"/>
    </row>
    <row r="3333" spans="12:13" x14ac:dyDescent="0.2">
      <c r="L3333" s="12"/>
      <c r="M3333" s="13"/>
    </row>
    <row r="3334" spans="12:13" x14ac:dyDescent="0.2">
      <c r="L3334" s="12"/>
      <c r="M3334" s="13"/>
    </row>
    <row r="3335" spans="12:13" x14ac:dyDescent="0.2">
      <c r="L3335" s="12"/>
      <c r="M3335" s="13"/>
    </row>
    <row r="3336" spans="12:13" x14ac:dyDescent="0.2">
      <c r="L3336" s="12"/>
      <c r="M3336" s="13"/>
    </row>
    <row r="3337" spans="12:13" x14ac:dyDescent="0.2">
      <c r="L3337" s="12"/>
      <c r="M3337" s="13"/>
    </row>
    <row r="3338" spans="12:13" x14ac:dyDescent="0.2">
      <c r="L3338" s="12"/>
      <c r="M3338" s="13"/>
    </row>
    <row r="3339" spans="12:13" x14ac:dyDescent="0.2">
      <c r="L3339" s="12"/>
      <c r="M3339" s="13"/>
    </row>
    <row r="3340" spans="12:13" x14ac:dyDescent="0.2">
      <c r="L3340" s="12"/>
      <c r="M3340" s="13"/>
    </row>
    <row r="3341" spans="12:13" x14ac:dyDescent="0.2">
      <c r="L3341" s="12"/>
      <c r="M3341" s="13"/>
    </row>
    <row r="3342" spans="12:13" x14ac:dyDescent="0.2">
      <c r="L3342" s="12"/>
      <c r="M3342" s="13"/>
    </row>
    <row r="3343" spans="12:13" x14ac:dyDescent="0.2">
      <c r="L3343" s="12"/>
      <c r="M3343" s="13"/>
    </row>
    <row r="3344" spans="12:13" x14ac:dyDescent="0.2">
      <c r="L3344" s="12"/>
      <c r="M3344" s="13"/>
    </row>
    <row r="3345" spans="12:13" x14ac:dyDescent="0.2">
      <c r="L3345" s="12"/>
      <c r="M3345" s="13"/>
    </row>
    <row r="3346" spans="12:13" x14ac:dyDescent="0.2">
      <c r="L3346" s="12"/>
      <c r="M3346" s="13"/>
    </row>
    <row r="3347" spans="12:13" x14ac:dyDescent="0.2">
      <c r="L3347" s="12"/>
      <c r="M3347" s="13"/>
    </row>
    <row r="3348" spans="12:13" x14ac:dyDescent="0.2">
      <c r="L3348" s="12"/>
      <c r="M3348" s="13"/>
    </row>
    <row r="3349" spans="12:13" x14ac:dyDescent="0.2">
      <c r="L3349" s="12"/>
      <c r="M3349" s="13"/>
    </row>
    <row r="3350" spans="12:13" x14ac:dyDescent="0.2">
      <c r="L3350" s="12"/>
      <c r="M3350" s="13"/>
    </row>
    <row r="3351" spans="12:13" x14ac:dyDescent="0.2">
      <c r="L3351" s="12"/>
      <c r="M3351" s="13"/>
    </row>
    <row r="3352" spans="12:13" x14ac:dyDescent="0.2">
      <c r="L3352" s="12"/>
      <c r="M3352" s="13"/>
    </row>
    <row r="3353" spans="12:13" x14ac:dyDescent="0.2">
      <c r="L3353" s="12"/>
      <c r="M3353" s="13"/>
    </row>
    <row r="3354" spans="12:13" x14ac:dyDescent="0.2">
      <c r="L3354" s="12"/>
      <c r="M3354" s="13"/>
    </row>
    <row r="3355" spans="12:13" x14ac:dyDescent="0.2">
      <c r="L3355" s="12"/>
      <c r="M3355" s="13"/>
    </row>
    <row r="3356" spans="12:13" x14ac:dyDescent="0.2">
      <c r="L3356" s="12"/>
      <c r="M3356" s="13"/>
    </row>
    <row r="3357" spans="12:13" x14ac:dyDescent="0.2">
      <c r="L3357" s="12"/>
      <c r="M3357" s="13"/>
    </row>
    <row r="3358" spans="12:13" x14ac:dyDescent="0.2">
      <c r="L3358" s="12"/>
      <c r="M3358" s="13"/>
    </row>
    <row r="3359" spans="12:13" x14ac:dyDescent="0.2">
      <c r="L3359" s="12"/>
      <c r="M3359" s="13"/>
    </row>
    <row r="3360" spans="12:13" x14ac:dyDescent="0.2">
      <c r="L3360" s="12"/>
      <c r="M3360" s="13"/>
    </row>
    <row r="3361" spans="12:13" x14ac:dyDescent="0.2">
      <c r="L3361" s="12"/>
      <c r="M3361" s="13"/>
    </row>
    <row r="3362" spans="12:13" x14ac:dyDescent="0.2">
      <c r="L3362" s="12"/>
      <c r="M3362" s="13"/>
    </row>
    <row r="3363" spans="12:13" x14ac:dyDescent="0.2">
      <c r="L3363" s="12"/>
      <c r="M3363" s="13"/>
    </row>
    <row r="3364" spans="12:13" x14ac:dyDescent="0.2">
      <c r="L3364" s="12"/>
      <c r="M3364" s="13"/>
    </row>
    <row r="3365" spans="12:13" x14ac:dyDescent="0.2">
      <c r="L3365" s="12"/>
      <c r="M3365" s="13"/>
    </row>
    <row r="3366" spans="12:13" x14ac:dyDescent="0.2">
      <c r="L3366" s="12"/>
      <c r="M3366" s="13"/>
    </row>
    <row r="3367" spans="12:13" x14ac:dyDescent="0.2">
      <c r="L3367" s="12"/>
      <c r="M3367" s="13"/>
    </row>
    <row r="3368" spans="12:13" x14ac:dyDescent="0.2">
      <c r="L3368" s="12"/>
      <c r="M3368" s="13"/>
    </row>
    <row r="3369" spans="12:13" x14ac:dyDescent="0.2">
      <c r="L3369" s="12"/>
      <c r="M3369" s="13"/>
    </row>
    <row r="3370" spans="12:13" x14ac:dyDescent="0.2">
      <c r="L3370" s="12"/>
      <c r="M3370" s="13"/>
    </row>
    <row r="3371" spans="12:13" x14ac:dyDescent="0.2">
      <c r="L3371" s="12"/>
      <c r="M3371" s="13"/>
    </row>
    <row r="3372" spans="12:13" x14ac:dyDescent="0.2">
      <c r="L3372" s="12"/>
      <c r="M3372" s="13"/>
    </row>
    <row r="3373" spans="12:13" x14ac:dyDescent="0.2">
      <c r="L3373" s="12"/>
      <c r="M3373" s="13"/>
    </row>
    <row r="3374" spans="12:13" x14ac:dyDescent="0.2">
      <c r="L3374" s="12"/>
      <c r="M3374" s="13"/>
    </row>
    <row r="3375" spans="12:13" x14ac:dyDescent="0.2">
      <c r="L3375" s="12"/>
      <c r="M3375" s="13"/>
    </row>
    <row r="3376" spans="12:13" x14ac:dyDescent="0.2">
      <c r="L3376" s="12"/>
      <c r="M3376" s="13"/>
    </row>
    <row r="3377" spans="12:13" x14ac:dyDescent="0.2">
      <c r="L3377" s="12"/>
      <c r="M3377" s="13"/>
    </row>
    <row r="3378" spans="12:13" x14ac:dyDescent="0.2">
      <c r="L3378" s="12"/>
      <c r="M3378" s="13"/>
    </row>
    <row r="3379" spans="12:13" x14ac:dyDescent="0.2">
      <c r="L3379" s="12"/>
      <c r="M3379" s="13"/>
    </row>
    <row r="3380" spans="12:13" x14ac:dyDescent="0.2">
      <c r="L3380" s="12"/>
      <c r="M3380" s="13"/>
    </row>
    <row r="3381" spans="12:13" x14ac:dyDescent="0.2">
      <c r="L3381" s="12"/>
      <c r="M3381" s="13"/>
    </row>
    <row r="3382" spans="12:13" x14ac:dyDescent="0.2">
      <c r="L3382" s="12"/>
      <c r="M3382" s="13"/>
    </row>
    <row r="3383" spans="12:13" x14ac:dyDescent="0.2">
      <c r="L3383" s="12"/>
      <c r="M3383" s="13"/>
    </row>
    <row r="3384" spans="12:13" x14ac:dyDescent="0.2">
      <c r="L3384" s="12"/>
      <c r="M3384" s="13"/>
    </row>
    <row r="3385" spans="12:13" x14ac:dyDescent="0.2">
      <c r="L3385" s="12"/>
      <c r="M3385" s="13"/>
    </row>
    <row r="3386" spans="12:13" x14ac:dyDescent="0.2">
      <c r="L3386" s="12"/>
      <c r="M3386" s="13"/>
    </row>
    <row r="3387" spans="12:13" x14ac:dyDescent="0.2">
      <c r="L3387" s="12"/>
      <c r="M3387" s="13"/>
    </row>
    <row r="3388" spans="12:13" x14ac:dyDescent="0.2">
      <c r="L3388" s="12"/>
      <c r="M3388" s="13"/>
    </row>
    <row r="3389" spans="12:13" x14ac:dyDescent="0.2">
      <c r="L3389" s="12"/>
      <c r="M3389" s="13"/>
    </row>
    <row r="3390" spans="12:13" x14ac:dyDescent="0.2">
      <c r="L3390" s="12"/>
      <c r="M3390" s="13"/>
    </row>
    <row r="3391" spans="12:13" x14ac:dyDescent="0.2">
      <c r="L3391" s="12"/>
      <c r="M3391" s="13"/>
    </row>
    <row r="3392" spans="12:13" x14ac:dyDescent="0.2">
      <c r="L3392" s="12"/>
      <c r="M3392" s="13"/>
    </row>
    <row r="3393" spans="12:13" x14ac:dyDescent="0.2">
      <c r="L3393" s="12"/>
      <c r="M3393" s="13"/>
    </row>
    <row r="3394" spans="12:13" x14ac:dyDescent="0.2">
      <c r="L3394" s="12"/>
      <c r="M3394" s="13"/>
    </row>
    <row r="3395" spans="12:13" x14ac:dyDescent="0.2">
      <c r="L3395" s="12"/>
      <c r="M3395" s="13"/>
    </row>
    <row r="3396" spans="12:13" x14ac:dyDescent="0.2">
      <c r="L3396" s="12"/>
      <c r="M3396" s="13"/>
    </row>
    <row r="3397" spans="12:13" x14ac:dyDescent="0.2">
      <c r="L3397" s="12"/>
      <c r="M3397" s="13"/>
    </row>
    <row r="3398" spans="12:13" x14ac:dyDescent="0.2">
      <c r="L3398" s="12"/>
      <c r="M3398" s="13"/>
    </row>
    <row r="3399" spans="12:13" x14ac:dyDescent="0.2">
      <c r="L3399" s="12"/>
      <c r="M3399" s="13"/>
    </row>
    <row r="3400" spans="12:13" x14ac:dyDescent="0.2">
      <c r="L3400" s="12"/>
      <c r="M3400" s="13"/>
    </row>
    <row r="3401" spans="12:13" x14ac:dyDescent="0.2">
      <c r="L3401" s="12"/>
      <c r="M3401" s="13"/>
    </row>
    <row r="3402" spans="12:13" x14ac:dyDescent="0.2">
      <c r="L3402" s="12"/>
      <c r="M3402" s="13"/>
    </row>
    <row r="3403" spans="12:13" x14ac:dyDescent="0.2">
      <c r="L3403" s="12"/>
      <c r="M3403" s="13"/>
    </row>
    <row r="3404" spans="12:13" x14ac:dyDescent="0.2">
      <c r="L3404" s="12"/>
      <c r="M3404" s="13"/>
    </row>
    <row r="3405" spans="12:13" x14ac:dyDescent="0.2">
      <c r="L3405" s="12"/>
      <c r="M3405" s="13"/>
    </row>
    <row r="3406" spans="12:13" x14ac:dyDescent="0.2">
      <c r="L3406" s="12"/>
      <c r="M3406" s="13"/>
    </row>
    <row r="3407" spans="12:13" x14ac:dyDescent="0.2">
      <c r="L3407" s="12"/>
      <c r="M3407" s="13"/>
    </row>
    <row r="3408" spans="12:13" x14ac:dyDescent="0.2">
      <c r="L3408" s="12"/>
      <c r="M3408" s="13"/>
    </row>
    <row r="3409" spans="12:13" x14ac:dyDescent="0.2">
      <c r="L3409" s="12"/>
      <c r="M3409" s="13"/>
    </row>
    <row r="3410" spans="12:13" x14ac:dyDescent="0.2">
      <c r="L3410" s="12"/>
      <c r="M3410" s="13"/>
    </row>
    <row r="3411" spans="12:13" x14ac:dyDescent="0.2">
      <c r="L3411" s="12"/>
      <c r="M3411" s="13"/>
    </row>
    <row r="3412" spans="12:13" x14ac:dyDescent="0.2">
      <c r="L3412" s="12"/>
      <c r="M3412" s="13"/>
    </row>
    <row r="3413" spans="12:13" x14ac:dyDescent="0.2">
      <c r="L3413" s="12"/>
      <c r="M3413" s="13"/>
    </row>
    <row r="3414" spans="12:13" x14ac:dyDescent="0.2">
      <c r="L3414" s="12"/>
      <c r="M3414" s="13"/>
    </row>
    <row r="3415" spans="12:13" x14ac:dyDescent="0.2">
      <c r="L3415" s="12"/>
      <c r="M3415" s="13"/>
    </row>
    <row r="3416" spans="12:13" x14ac:dyDescent="0.2">
      <c r="L3416" s="12"/>
      <c r="M3416" s="13"/>
    </row>
    <row r="3417" spans="12:13" x14ac:dyDescent="0.2">
      <c r="L3417" s="12"/>
      <c r="M3417" s="13"/>
    </row>
    <row r="3418" spans="12:13" x14ac:dyDescent="0.2">
      <c r="L3418" s="12"/>
      <c r="M3418" s="13"/>
    </row>
    <row r="3419" spans="12:13" x14ac:dyDescent="0.2">
      <c r="L3419" s="12"/>
      <c r="M3419" s="13"/>
    </row>
    <row r="3420" spans="12:13" x14ac:dyDescent="0.2">
      <c r="L3420" s="12"/>
      <c r="M3420" s="13"/>
    </row>
    <row r="3421" spans="12:13" x14ac:dyDescent="0.2">
      <c r="L3421" s="12"/>
      <c r="M3421" s="13"/>
    </row>
    <row r="3422" spans="12:13" x14ac:dyDescent="0.2">
      <c r="L3422" s="12"/>
      <c r="M3422" s="13"/>
    </row>
    <row r="3423" spans="12:13" x14ac:dyDescent="0.2">
      <c r="L3423" s="12"/>
      <c r="M3423" s="13"/>
    </row>
    <row r="3424" spans="12:13" x14ac:dyDescent="0.2">
      <c r="L3424" s="12"/>
      <c r="M3424" s="13"/>
    </row>
    <row r="3425" spans="12:13" x14ac:dyDescent="0.2">
      <c r="L3425" s="12"/>
      <c r="M3425" s="13"/>
    </row>
    <row r="3426" spans="12:13" x14ac:dyDescent="0.2">
      <c r="L3426" s="12"/>
      <c r="M3426" s="13"/>
    </row>
    <row r="3427" spans="12:13" x14ac:dyDescent="0.2">
      <c r="L3427" s="12"/>
      <c r="M3427" s="13"/>
    </row>
    <row r="3428" spans="12:13" x14ac:dyDescent="0.2">
      <c r="L3428" s="12"/>
      <c r="M3428" s="13"/>
    </row>
    <row r="3429" spans="12:13" x14ac:dyDescent="0.2">
      <c r="L3429" s="12"/>
      <c r="M3429" s="13"/>
    </row>
    <row r="3430" spans="12:13" x14ac:dyDescent="0.2">
      <c r="L3430" s="12"/>
      <c r="M3430" s="13"/>
    </row>
    <row r="3431" spans="12:13" x14ac:dyDescent="0.2">
      <c r="L3431" s="12"/>
      <c r="M3431" s="13"/>
    </row>
    <row r="3432" spans="12:13" x14ac:dyDescent="0.2">
      <c r="L3432" s="12"/>
      <c r="M3432" s="13"/>
    </row>
    <row r="3433" spans="12:13" x14ac:dyDescent="0.2">
      <c r="L3433" s="12"/>
      <c r="M3433" s="13"/>
    </row>
    <row r="3434" spans="12:13" x14ac:dyDescent="0.2">
      <c r="L3434" s="12"/>
      <c r="M3434" s="13"/>
    </row>
    <row r="3435" spans="12:13" x14ac:dyDescent="0.2">
      <c r="L3435" s="12"/>
      <c r="M3435" s="13"/>
    </row>
    <row r="3436" spans="12:13" x14ac:dyDescent="0.2">
      <c r="L3436" s="12"/>
      <c r="M3436" s="13"/>
    </row>
    <row r="3437" spans="12:13" x14ac:dyDescent="0.2">
      <c r="L3437" s="12"/>
      <c r="M3437" s="13"/>
    </row>
    <row r="3438" spans="12:13" x14ac:dyDescent="0.2">
      <c r="L3438" s="12"/>
      <c r="M3438" s="13"/>
    </row>
    <row r="3439" spans="12:13" x14ac:dyDescent="0.2">
      <c r="L3439" s="12"/>
      <c r="M3439" s="13"/>
    </row>
    <row r="3440" spans="12:13" x14ac:dyDescent="0.2">
      <c r="L3440" s="12"/>
      <c r="M3440" s="13"/>
    </row>
    <row r="3441" spans="12:13" x14ac:dyDescent="0.2">
      <c r="L3441" s="12"/>
      <c r="M3441" s="13"/>
    </row>
    <row r="3442" spans="12:13" x14ac:dyDescent="0.2">
      <c r="L3442" s="12"/>
      <c r="M3442" s="13"/>
    </row>
    <row r="3443" spans="12:13" x14ac:dyDescent="0.2">
      <c r="L3443" s="12"/>
      <c r="M3443" s="13"/>
    </row>
    <row r="3444" spans="12:13" x14ac:dyDescent="0.2">
      <c r="L3444" s="12"/>
      <c r="M3444" s="13"/>
    </row>
    <row r="3445" spans="12:13" x14ac:dyDescent="0.2">
      <c r="L3445" s="12"/>
      <c r="M3445" s="13"/>
    </row>
    <row r="3446" spans="12:13" x14ac:dyDescent="0.2">
      <c r="L3446" s="12"/>
      <c r="M3446" s="13"/>
    </row>
    <row r="3447" spans="12:13" x14ac:dyDescent="0.2">
      <c r="L3447" s="12"/>
      <c r="M3447" s="13"/>
    </row>
    <row r="3448" spans="12:13" x14ac:dyDescent="0.2">
      <c r="L3448" s="12"/>
      <c r="M3448" s="13"/>
    </row>
    <row r="3449" spans="12:13" x14ac:dyDescent="0.2">
      <c r="L3449" s="12"/>
      <c r="M3449" s="13"/>
    </row>
    <row r="3450" spans="12:13" x14ac:dyDescent="0.2">
      <c r="L3450" s="12"/>
      <c r="M3450" s="13"/>
    </row>
    <row r="3451" spans="12:13" x14ac:dyDescent="0.2">
      <c r="L3451" s="12"/>
      <c r="M3451" s="13"/>
    </row>
    <row r="3452" spans="12:13" x14ac:dyDescent="0.2">
      <c r="L3452" s="12"/>
      <c r="M3452" s="13"/>
    </row>
    <row r="3453" spans="12:13" x14ac:dyDescent="0.2">
      <c r="L3453" s="12"/>
      <c r="M3453" s="13"/>
    </row>
    <row r="3454" spans="12:13" x14ac:dyDescent="0.2">
      <c r="L3454" s="12"/>
      <c r="M3454" s="13"/>
    </row>
    <row r="3455" spans="12:13" x14ac:dyDescent="0.2">
      <c r="L3455" s="12"/>
      <c r="M3455" s="13"/>
    </row>
    <row r="3456" spans="12:13" x14ac:dyDescent="0.2">
      <c r="L3456" s="12"/>
      <c r="M3456" s="13"/>
    </row>
    <row r="3457" spans="12:13" x14ac:dyDescent="0.2">
      <c r="L3457" s="12"/>
      <c r="M3457" s="13"/>
    </row>
    <row r="3458" spans="12:13" x14ac:dyDescent="0.2">
      <c r="L3458" s="12"/>
      <c r="M3458" s="13"/>
    </row>
    <row r="3459" spans="12:13" x14ac:dyDescent="0.2">
      <c r="L3459" s="12"/>
      <c r="M3459" s="13"/>
    </row>
    <row r="3460" spans="12:13" x14ac:dyDescent="0.2">
      <c r="L3460" s="12"/>
      <c r="M3460" s="13"/>
    </row>
    <row r="3461" spans="12:13" x14ac:dyDescent="0.2">
      <c r="L3461" s="12"/>
      <c r="M3461" s="13"/>
    </row>
    <row r="3462" spans="12:13" x14ac:dyDescent="0.2">
      <c r="L3462" s="12"/>
      <c r="M3462" s="13"/>
    </row>
    <row r="3463" spans="12:13" x14ac:dyDescent="0.2">
      <c r="L3463" s="12"/>
      <c r="M3463" s="13"/>
    </row>
    <row r="3464" spans="12:13" x14ac:dyDescent="0.2">
      <c r="L3464" s="12"/>
      <c r="M3464" s="13"/>
    </row>
    <row r="3465" spans="12:13" x14ac:dyDescent="0.2">
      <c r="L3465" s="12"/>
      <c r="M3465" s="13"/>
    </row>
    <row r="3466" spans="12:13" x14ac:dyDescent="0.2">
      <c r="L3466" s="12"/>
      <c r="M3466" s="13"/>
    </row>
    <row r="3467" spans="12:13" x14ac:dyDescent="0.2">
      <c r="L3467" s="12"/>
      <c r="M3467" s="13"/>
    </row>
    <row r="3468" spans="12:13" x14ac:dyDescent="0.2">
      <c r="L3468" s="12"/>
      <c r="M3468" s="13"/>
    </row>
    <row r="3469" spans="12:13" x14ac:dyDescent="0.2">
      <c r="L3469" s="12"/>
      <c r="M3469" s="13"/>
    </row>
    <row r="3470" spans="12:13" x14ac:dyDescent="0.2">
      <c r="L3470" s="12"/>
      <c r="M3470" s="13"/>
    </row>
    <row r="3471" spans="12:13" x14ac:dyDescent="0.2">
      <c r="L3471" s="12"/>
      <c r="M3471" s="13"/>
    </row>
    <row r="3472" spans="12:13" x14ac:dyDescent="0.2">
      <c r="L3472" s="12"/>
      <c r="M3472" s="13"/>
    </row>
    <row r="3473" spans="12:13" x14ac:dyDescent="0.2">
      <c r="L3473" s="12"/>
      <c r="M3473" s="13"/>
    </row>
    <row r="3474" spans="12:13" x14ac:dyDescent="0.2">
      <c r="L3474" s="12"/>
      <c r="M3474" s="13"/>
    </row>
    <row r="3475" spans="12:13" x14ac:dyDescent="0.2">
      <c r="L3475" s="12"/>
      <c r="M3475" s="13"/>
    </row>
    <row r="3476" spans="12:13" x14ac:dyDescent="0.2">
      <c r="L3476" s="12"/>
      <c r="M3476" s="13"/>
    </row>
    <row r="3477" spans="12:13" x14ac:dyDescent="0.2">
      <c r="L3477" s="12"/>
      <c r="M3477" s="13"/>
    </row>
    <row r="3478" spans="12:13" x14ac:dyDescent="0.2">
      <c r="L3478" s="12"/>
      <c r="M3478" s="13"/>
    </row>
    <row r="3479" spans="12:13" x14ac:dyDescent="0.2">
      <c r="L3479" s="12"/>
      <c r="M3479" s="13"/>
    </row>
    <row r="3480" spans="12:13" x14ac:dyDescent="0.2">
      <c r="L3480" s="12"/>
      <c r="M3480" s="13"/>
    </row>
    <row r="3481" spans="12:13" x14ac:dyDescent="0.2">
      <c r="L3481" s="12"/>
      <c r="M3481" s="13"/>
    </row>
    <row r="3482" spans="12:13" x14ac:dyDescent="0.2">
      <c r="L3482" s="12"/>
      <c r="M3482" s="13"/>
    </row>
    <row r="3483" spans="12:13" x14ac:dyDescent="0.2">
      <c r="L3483" s="12"/>
      <c r="M3483" s="13"/>
    </row>
    <row r="3484" spans="12:13" x14ac:dyDescent="0.2">
      <c r="L3484" s="12"/>
      <c r="M3484" s="13"/>
    </row>
    <row r="3485" spans="12:13" x14ac:dyDescent="0.2">
      <c r="L3485" s="12"/>
      <c r="M3485" s="13"/>
    </row>
    <row r="3486" spans="12:13" x14ac:dyDescent="0.2">
      <c r="L3486" s="12"/>
      <c r="M3486" s="13"/>
    </row>
    <row r="3487" spans="12:13" x14ac:dyDescent="0.2">
      <c r="L3487" s="12"/>
      <c r="M3487" s="13"/>
    </row>
    <row r="3488" spans="12:13" x14ac:dyDescent="0.2">
      <c r="L3488" s="12"/>
      <c r="M3488" s="13"/>
    </row>
    <row r="3489" spans="12:13" x14ac:dyDescent="0.2">
      <c r="L3489" s="12"/>
      <c r="M3489" s="13"/>
    </row>
    <row r="3490" spans="12:13" x14ac:dyDescent="0.2">
      <c r="L3490" s="12"/>
      <c r="M3490" s="13"/>
    </row>
    <row r="3491" spans="12:13" x14ac:dyDescent="0.2">
      <c r="L3491" s="12"/>
      <c r="M3491" s="13"/>
    </row>
    <row r="3492" spans="12:13" x14ac:dyDescent="0.2">
      <c r="L3492" s="12"/>
      <c r="M3492" s="13"/>
    </row>
    <row r="3493" spans="12:13" x14ac:dyDescent="0.2">
      <c r="L3493" s="12"/>
      <c r="M3493" s="13"/>
    </row>
    <row r="3494" spans="12:13" x14ac:dyDescent="0.2">
      <c r="L3494" s="12"/>
      <c r="M3494" s="13"/>
    </row>
    <row r="3495" spans="12:13" x14ac:dyDescent="0.2">
      <c r="L3495" s="12"/>
      <c r="M3495" s="13"/>
    </row>
    <row r="3496" spans="12:13" x14ac:dyDescent="0.2">
      <c r="L3496" s="12"/>
      <c r="M3496" s="13"/>
    </row>
    <row r="3497" spans="12:13" x14ac:dyDescent="0.2">
      <c r="L3497" s="12"/>
      <c r="M3497" s="13"/>
    </row>
    <row r="3498" spans="12:13" x14ac:dyDescent="0.2">
      <c r="L3498" s="12"/>
      <c r="M3498" s="13"/>
    </row>
    <row r="3499" spans="12:13" x14ac:dyDescent="0.2">
      <c r="L3499" s="12"/>
      <c r="M3499" s="13"/>
    </row>
    <row r="3500" spans="12:13" x14ac:dyDescent="0.2">
      <c r="L3500" s="12"/>
      <c r="M3500" s="13"/>
    </row>
    <row r="3501" spans="12:13" x14ac:dyDescent="0.2">
      <c r="L3501" s="12"/>
      <c r="M3501" s="13"/>
    </row>
    <row r="3502" spans="12:13" x14ac:dyDescent="0.2">
      <c r="L3502" s="12"/>
      <c r="M3502" s="13"/>
    </row>
    <row r="3503" spans="12:13" x14ac:dyDescent="0.2">
      <c r="L3503" s="12"/>
      <c r="M3503" s="13"/>
    </row>
    <row r="3504" spans="12:13" x14ac:dyDescent="0.2">
      <c r="L3504" s="12"/>
      <c r="M3504" s="13"/>
    </row>
    <row r="3505" spans="12:13" x14ac:dyDescent="0.2">
      <c r="L3505" s="12"/>
      <c r="M3505" s="13"/>
    </row>
    <row r="3506" spans="12:13" x14ac:dyDescent="0.2">
      <c r="L3506" s="12"/>
      <c r="M3506" s="13"/>
    </row>
    <row r="3507" spans="12:13" x14ac:dyDescent="0.2">
      <c r="L3507" s="12"/>
      <c r="M3507" s="13"/>
    </row>
    <row r="3508" spans="12:13" x14ac:dyDescent="0.2">
      <c r="L3508" s="12"/>
      <c r="M3508" s="13"/>
    </row>
    <row r="3509" spans="12:13" x14ac:dyDescent="0.2">
      <c r="L3509" s="12"/>
      <c r="M3509" s="13"/>
    </row>
    <row r="3510" spans="12:13" x14ac:dyDescent="0.2">
      <c r="L3510" s="12"/>
      <c r="M3510" s="13"/>
    </row>
    <row r="3511" spans="12:13" x14ac:dyDescent="0.2">
      <c r="L3511" s="12"/>
      <c r="M3511" s="13"/>
    </row>
    <row r="3512" spans="12:13" x14ac:dyDescent="0.2">
      <c r="L3512" s="12"/>
      <c r="M3512" s="13"/>
    </row>
    <row r="3513" spans="12:13" x14ac:dyDescent="0.2">
      <c r="L3513" s="12"/>
      <c r="M3513" s="13"/>
    </row>
    <row r="3514" spans="12:13" x14ac:dyDescent="0.2">
      <c r="L3514" s="12"/>
      <c r="M3514" s="13"/>
    </row>
    <row r="3515" spans="12:13" x14ac:dyDescent="0.2">
      <c r="L3515" s="12"/>
      <c r="M3515" s="13"/>
    </row>
    <row r="3516" spans="12:13" x14ac:dyDescent="0.2">
      <c r="L3516" s="12"/>
      <c r="M3516" s="13"/>
    </row>
    <row r="3517" spans="12:13" x14ac:dyDescent="0.2">
      <c r="L3517" s="12"/>
      <c r="M3517" s="13"/>
    </row>
    <row r="3518" spans="12:13" x14ac:dyDescent="0.2">
      <c r="L3518" s="12"/>
      <c r="M3518" s="13"/>
    </row>
    <row r="3519" spans="12:13" x14ac:dyDescent="0.2">
      <c r="L3519" s="12"/>
      <c r="M3519" s="13"/>
    </row>
    <row r="3520" spans="12:13" x14ac:dyDescent="0.2">
      <c r="L3520" s="12"/>
      <c r="M3520" s="13"/>
    </row>
    <row r="3521" spans="12:13" x14ac:dyDescent="0.2">
      <c r="L3521" s="12"/>
      <c r="M3521" s="13"/>
    </row>
    <row r="3522" spans="12:13" x14ac:dyDescent="0.2">
      <c r="L3522" s="12"/>
      <c r="M3522" s="13"/>
    </row>
    <row r="3523" spans="12:13" x14ac:dyDescent="0.2">
      <c r="L3523" s="12"/>
      <c r="M3523" s="13"/>
    </row>
    <row r="3524" spans="12:13" x14ac:dyDescent="0.2">
      <c r="L3524" s="12"/>
      <c r="M3524" s="13"/>
    </row>
    <row r="3525" spans="12:13" x14ac:dyDescent="0.2">
      <c r="L3525" s="12"/>
      <c r="M3525" s="13"/>
    </row>
    <row r="3526" spans="12:13" x14ac:dyDescent="0.2">
      <c r="L3526" s="12"/>
      <c r="M3526" s="13"/>
    </row>
    <row r="3527" spans="12:13" x14ac:dyDescent="0.2">
      <c r="L3527" s="12"/>
      <c r="M3527" s="13"/>
    </row>
    <row r="3528" spans="12:13" x14ac:dyDescent="0.2">
      <c r="L3528" s="12"/>
      <c r="M3528" s="13"/>
    </row>
    <row r="3529" spans="12:13" x14ac:dyDescent="0.2">
      <c r="L3529" s="12"/>
      <c r="M3529" s="13"/>
    </row>
    <row r="3530" spans="12:13" x14ac:dyDescent="0.2">
      <c r="L3530" s="12"/>
      <c r="M3530" s="13"/>
    </row>
    <row r="3531" spans="12:13" x14ac:dyDescent="0.2">
      <c r="L3531" s="12"/>
      <c r="M3531" s="13"/>
    </row>
    <row r="3532" spans="12:13" x14ac:dyDescent="0.2">
      <c r="L3532" s="12"/>
      <c r="M3532" s="13"/>
    </row>
    <row r="3533" spans="12:13" x14ac:dyDescent="0.2">
      <c r="L3533" s="12"/>
      <c r="M3533" s="13"/>
    </row>
    <row r="3534" spans="12:13" x14ac:dyDescent="0.2">
      <c r="L3534" s="12"/>
      <c r="M3534" s="13"/>
    </row>
    <row r="3535" spans="12:13" x14ac:dyDescent="0.2">
      <c r="L3535" s="12"/>
      <c r="M3535" s="13"/>
    </row>
    <row r="3536" spans="12:13" x14ac:dyDescent="0.2">
      <c r="L3536" s="12"/>
      <c r="M3536" s="13"/>
    </row>
    <row r="3537" spans="12:13" x14ac:dyDescent="0.2">
      <c r="L3537" s="12"/>
      <c r="M3537" s="13"/>
    </row>
    <row r="3538" spans="12:13" x14ac:dyDescent="0.2">
      <c r="L3538" s="12"/>
      <c r="M3538" s="13"/>
    </row>
    <row r="3539" spans="12:13" x14ac:dyDescent="0.2">
      <c r="L3539" s="12"/>
      <c r="M3539" s="13"/>
    </row>
    <row r="3540" spans="12:13" x14ac:dyDescent="0.2">
      <c r="L3540" s="12"/>
      <c r="M3540" s="13"/>
    </row>
    <row r="3541" spans="12:13" x14ac:dyDescent="0.2">
      <c r="L3541" s="12"/>
      <c r="M3541" s="13"/>
    </row>
    <row r="3542" spans="12:13" x14ac:dyDescent="0.2">
      <c r="L3542" s="12"/>
      <c r="M3542" s="13"/>
    </row>
    <row r="3543" spans="12:13" x14ac:dyDescent="0.2">
      <c r="L3543" s="12"/>
      <c r="M3543" s="13"/>
    </row>
    <row r="3544" spans="12:13" x14ac:dyDescent="0.2">
      <c r="L3544" s="12"/>
      <c r="M3544" s="13"/>
    </row>
    <row r="3545" spans="12:13" x14ac:dyDescent="0.2">
      <c r="L3545" s="12"/>
      <c r="M3545" s="13"/>
    </row>
    <row r="3546" spans="12:13" x14ac:dyDescent="0.2">
      <c r="L3546" s="12"/>
      <c r="M3546" s="13"/>
    </row>
    <row r="3547" spans="12:13" x14ac:dyDescent="0.2">
      <c r="L3547" s="12"/>
      <c r="M3547" s="13"/>
    </row>
    <row r="3548" spans="12:13" x14ac:dyDescent="0.2">
      <c r="L3548" s="12"/>
      <c r="M3548" s="13"/>
    </row>
    <row r="3549" spans="12:13" x14ac:dyDescent="0.2">
      <c r="L3549" s="12"/>
      <c r="M3549" s="13"/>
    </row>
    <row r="3550" spans="12:13" x14ac:dyDescent="0.2">
      <c r="L3550" s="12"/>
      <c r="M3550" s="13"/>
    </row>
    <row r="3551" spans="12:13" x14ac:dyDescent="0.2">
      <c r="L3551" s="12"/>
      <c r="M3551" s="13"/>
    </row>
    <row r="3552" spans="12:13" x14ac:dyDescent="0.2">
      <c r="L3552" s="12"/>
      <c r="M3552" s="13"/>
    </row>
    <row r="3553" spans="12:13" x14ac:dyDescent="0.2">
      <c r="L3553" s="12"/>
      <c r="M3553" s="13"/>
    </row>
    <row r="3554" spans="12:13" x14ac:dyDescent="0.2">
      <c r="L3554" s="12"/>
      <c r="M3554" s="13"/>
    </row>
    <row r="3555" spans="12:13" x14ac:dyDescent="0.2">
      <c r="L3555" s="12"/>
      <c r="M3555" s="13"/>
    </row>
    <row r="3556" spans="12:13" x14ac:dyDescent="0.2">
      <c r="L3556" s="12"/>
      <c r="M3556" s="13"/>
    </row>
    <row r="3557" spans="12:13" x14ac:dyDescent="0.2">
      <c r="L3557" s="12"/>
      <c r="M3557" s="13"/>
    </row>
    <row r="3558" spans="12:13" x14ac:dyDescent="0.2">
      <c r="L3558" s="12"/>
      <c r="M3558" s="13"/>
    </row>
    <row r="3559" spans="12:13" x14ac:dyDescent="0.2">
      <c r="L3559" s="12"/>
      <c r="M3559" s="13"/>
    </row>
    <row r="3560" spans="12:13" x14ac:dyDescent="0.2">
      <c r="L3560" s="12"/>
      <c r="M3560" s="13"/>
    </row>
    <row r="3561" spans="12:13" x14ac:dyDescent="0.2">
      <c r="L3561" s="12"/>
      <c r="M3561" s="13"/>
    </row>
    <row r="3562" spans="12:13" x14ac:dyDescent="0.2">
      <c r="L3562" s="12"/>
      <c r="M3562" s="13"/>
    </row>
    <row r="3563" spans="12:13" x14ac:dyDescent="0.2">
      <c r="L3563" s="12"/>
      <c r="M3563" s="13"/>
    </row>
    <row r="3564" spans="12:13" x14ac:dyDescent="0.2">
      <c r="L3564" s="12"/>
      <c r="M3564" s="13"/>
    </row>
    <row r="3565" spans="12:13" x14ac:dyDescent="0.2">
      <c r="L3565" s="12"/>
      <c r="M3565" s="13"/>
    </row>
    <row r="3566" spans="12:13" x14ac:dyDescent="0.2">
      <c r="L3566" s="12"/>
      <c r="M3566" s="13"/>
    </row>
    <row r="3567" spans="12:13" x14ac:dyDescent="0.2">
      <c r="L3567" s="12"/>
      <c r="M3567" s="13"/>
    </row>
    <row r="3568" spans="12:13" x14ac:dyDescent="0.2">
      <c r="L3568" s="12"/>
      <c r="M3568" s="13"/>
    </row>
    <row r="3569" spans="12:13" x14ac:dyDescent="0.2">
      <c r="L3569" s="12"/>
      <c r="M3569" s="13"/>
    </row>
    <row r="3570" spans="12:13" x14ac:dyDescent="0.2">
      <c r="L3570" s="12"/>
      <c r="M3570" s="13"/>
    </row>
    <row r="3571" spans="12:13" x14ac:dyDescent="0.2">
      <c r="L3571" s="12"/>
      <c r="M3571" s="13"/>
    </row>
    <row r="3572" spans="12:13" x14ac:dyDescent="0.2">
      <c r="L3572" s="12"/>
      <c r="M3572" s="13"/>
    </row>
    <row r="3573" spans="12:13" x14ac:dyDescent="0.2">
      <c r="L3573" s="12"/>
      <c r="M3573" s="13"/>
    </row>
    <row r="3574" spans="12:13" x14ac:dyDescent="0.2">
      <c r="L3574" s="12"/>
      <c r="M3574" s="13"/>
    </row>
    <row r="3575" spans="12:13" x14ac:dyDescent="0.2">
      <c r="L3575" s="12"/>
      <c r="M3575" s="13"/>
    </row>
    <row r="3576" spans="12:13" x14ac:dyDescent="0.2">
      <c r="L3576" s="12"/>
      <c r="M3576" s="13"/>
    </row>
    <row r="3577" spans="12:13" x14ac:dyDescent="0.2">
      <c r="L3577" s="12"/>
      <c r="M3577" s="13"/>
    </row>
    <row r="3578" spans="12:13" x14ac:dyDescent="0.2">
      <c r="L3578" s="12"/>
      <c r="M3578" s="13"/>
    </row>
    <row r="3579" spans="12:13" x14ac:dyDescent="0.2">
      <c r="L3579" s="12"/>
      <c r="M3579" s="13"/>
    </row>
    <row r="3580" spans="12:13" x14ac:dyDescent="0.2">
      <c r="L3580" s="12"/>
      <c r="M3580" s="13"/>
    </row>
    <row r="3581" spans="12:13" x14ac:dyDescent="0.2">
      <c r="L3581" s="12"/>
      <c r="M3581" s="13"/>
    </row>
    <row r="3582" spans="12:13" x14ac:dyDescent="0.2">
      <c r="L3582" s="12"/>
      <c r="M3582" s="13"/>
    </row>
    <row r="3583" spans="12:13" x14ac:dyDescent="0.2">
      <c r="L3583" s="12"/>
      <c r="M3583" s="13"/>
    </row>
    <row r="3584" spans="12:13" x14ac:dyDescent="0.2">
      <c r="L3584" s="12"/>
      <c r="M3584" s="13"/>
    </row>
    <row r="3585" spans="12:13" x14ac:dyDescent="0.2">
      <c r="L3585" s="12"/>
      <c r="M3585" s="13"/>
    </row>
    <row r="3586" spans="12:13" x14ac:dyDescent="0.2">
      <c r="L3586" s="17"/>
      <c r="M3586" s="18"/>
    </row>
    <row r="3587" spans="12:13" x14ac:dyDescent="0.2">
      <c r="L3587" s="12"/>
      <c r="M3587" s="13"/>
    </row>
    <row r="3588" spans="12:13" x14ac:dyDescent="0.2">
      <c r="L3588" s="12"/>
      <c r="M3588" s="13"/>
    </row>
    <row r="3589" spans="12:13" x14ac:dyDescent="0.2">
      <c r="L3589" s="12"/>
      <c r="M3589" s="13"/>
    </row>
    <row r="3590" spans="12:13" x14ac:dyDescent="0.2">
      <c r="L3590" s="12"/>
      <c r="M3590" s="13"/>
    </row>
    <row r="3591" spans="12:13" x14ac:dyDescent="0.2">
      <c r="L3591" s="12"/>
      <c r="M3591" s="13"/>
    </row>
    <row r="3592" spans="12:13" x14ac:dyDescent="0.2">
      <c r="L3592" s="12"/>
      <c r="M3592" s="13"/>
    </row>
    <row r="3593" spans="12:13" x14ac:dyDescent="0.2">
      <c r="L3593" s="12"/>
      <c r="M3593" s="13"/>
    </row>
    <row r="3594" spans="12:13" x14ac:dyDescent="0.2">
      <c r="L3594" s="12"/>
      <c r="M3594" s="13"/>
    </row>
    <row r="3595" spans="12:13" x14ac:dyDescent="0.2">
      <c r="L3595" s="12"/>
      <c r="M3595" s="13"/>
    </row>
    <row r="3596" spans="12:13" x14ac:dyDescent="0.2">
      <c r="L3596" s="12"/>
      <c r="M3596" s="13"/>
    </row>
    <row r="3597" spans="12:13" x14ac:dyDescent="0.2">
      <c r="L3597" s="12"/>
      <c r="M3597" s="13"/>
    </row>
    <row r="3598" spans="12:13" x14ac:dyDescent="0.2">
      <c r="L3598" s="12"/>
      <c r="M3598" s="13"/>
    </row>
    <row r="3599" spans="12:13" x14ac:dyDescent="0.2">
      <c r="L3599" s="12"/>
      <c r="M3599" s="13"/>
    </row>
    <row r="3600" spans="12:13" x14ac:dyDescent="0.2">
      <c r="L3600" s="12"/>
      <c r="M3600" s="13"/>
    </row>
    <row r="3601" spans="12:13" x14ac:dyDescent="0.2">
      <c r="L3601" s="12"/>
      <c r="M3601" s="13"/>
    </row>
    <row r="3602" spans="12:13" x14ac:dyDescent="0.2">
      <c r="L3602" s="12"/>
      <c r="M3602" s="13"/>
    </row>
    <row r="3603" spans="12:13" x14ac:dyDescent="0.2">
      <c r="L3603" s="12"/>
      <c r="M3603" s="13"/>
    </row>
    <row r="3604" spans="12:13" x14ac:dyDescent="0.2">
      <c r="L3604" s="12"/>
      <c r="M3604" s="13"/>
    </row>
    <row r="3605" spans="12:13" x14ac:dyDescent="0.2">
      <c r="L3605" s="12"/>
      <c r="M3605" s="13"/>
    </row>
    <row r="3606" spans="12:13" x14ac:dyDescent="0.2">
      <c r="L3606" s="12"/>
      <c r="M3606" s="13"/>
    </row>
    <row r="3607" spans="12:13" x14ac:dyDescent="0.2">
      <c r="L3607" s="12"/>
      <c r="M3607" s="13"/>
    </row>
    <row r="3608" spans="12:13" x14ac:dyDescent="0.2">
      <c r="L3608" s="12"/>
      <c r="M3608" s="13"/>
    </row>
    <row r="3609" spans="12:13" x14ac:dyDescent="0.2">
      <c r="L3609" s="12"/>
      <c r="M3609" s="13"/>
    </row>
    <row r="3610" spans="12:13" x14ac:dyDescent="0.2">
      <c r="L3610" s="12"/>
      <c r="M3610" s="13"/>
    </row>
    <row r="3611" spans="12:13" x14ac:dyDescent="0.2">
      <c r="L3611" s="12"/>
      <c r="M3611" s="13"/>
    </row>
    <row r="3612" spans="12:13" x14ac:dyDescent="0.2">
      <c r="L3612" s="12"/>
      <c r="M3612" s="13"/>
    </row>
    <row r="3613" spans="12:13" x14ac:dyDescent="0.2">
      <c r="L3613" s="12"/>
      <c r="M3613" s="13"/>
    </row>
    <row r="3614" spans="12:13" x14ac:dyDescent="0.2">
      <c r="L3614" s="12"/>
      <c r="M3614" s="13"/>
    </row>
    <row r="3615" spans="12:13" x14ac:dyDescent="0.2">
      <c r="L3615" s="12"/>
      <c r="M3615" s="13"/>
    </row>
    <row r="3616" spans="12:13" x14ac:dyDescent="0.2">
      <c r="L3616" s="12"/>
      <c r="M3616" s="13"/>
    </row>
    <row r="3617" spans="12:13" x14ac:dyDescent="0.2">
      <c r="L3617" s="12"/>
      <c r="M3617" s="13"/>
    </row>
    <row r="3618" spans="12:13" x14ac:dyDescent="0.2">
      <c r="L3618" s="12"/>
      <c r="M3618" s="13"/>
    </row>
    <row r="3619" spans="12:13" x14ac:dyDescent="0.2">
      <c r="L3619" s="12"/>
      <c r="M3619" s="13"/>
    </row>
    <row r="3620" spans="12:13" x14ac:dyDescent="0.2">
      <c r="L3620" s="12"/>
      <c r="M3620" s="13"/>
    </row>
    <row r="3621" spans="12:13" x14ac:dyDescent="0.2">
      <c r="L3621" s="12"/>
      <c r="M3621" s="13"/>
    </row>
    <row r="3622" spans="12:13" x14ac:dyDescent="0.2">
      <c r="L3622" s="12"/>
      <c r="M3622" s="13"/>
    </row>
    <row r="3623" spans="12:13" x14ac:dyDescent="0.2">
      <c r="L3623" s="12"/>
      <c r="M3623" s="13"/>
    </row>
    <row r="3624" spans="12:13" x14ac:dyDescent="0.2">
      <c r="L3624" s="12"/>
      <c r="M3624" s="13"/>
    </row>
    <row r="3625" spans="12:13" x14ac:dyDescent="0.2">
      <c r="L3625" s="12"/>
      <c r="M3625" s="13"/>
    </row>
    <row r="3626" spans="12:13" x14ac:dyDescent="0.2">
      <c r="L3626" s="12"/>
      <c r="M3626" s="13"/>
    </row>
    <row r="3627" spans="12:13" x14ac:dyDescent="0.2">
      <c r="L3627" s="12"/>
      <c r="M3627" s="13"/>
    </row>
    <row r="3628" spans="12:13" x14ac:dyDescent="0.2">
      <c r="L3628" s="12"/>
      <c r="M3628" s="13"/>
    </row>
    <row r="3629" spans="12:13" x14ac:dyDescent="0.2">
      <c r="L3629" s="12"/>
      <c r="M3629" s="13"/>
    </row>
    <row r="3630" spans="12:13" x14ac:dyDescent="0.2">
      <c r="L3630" s="12"/>
      <c r="M3630" s="13"/>
    </row>
    <row r="3631" spans="12:13" x14ac:dyDescent="0.2">
      <c r="L3631" s="12"/>
      <c r="M3631" s="13"/>
    </row>
    <row r="3632" spans="12:13" x14ac:dyDescent="0.2">
      <c r="L3632" s="12"/>
      <c r="M3632" s="13"/>
    </row>
    <row r="3633" spans="12:13" x14ac:dyDescent="0.2">
      <c r="L3633" s="12"/>
      <c r="M3633" s="13"/>
    </row>
    <row r="3634" spans="12:13" x14ac:dyDescent="0.2">
      <c r="L3634" s="12"/>
      <c r="M3634" s="13"/>
    </row>
    <row r="3635" spans="12:13" x14ac:dyDescent="0.2">
      <c r="L3635" s="12"/>
      <c r="M3635" s="13"/>
    </row>
    <row r="3636" spans="12:13" x14ac:dyDescent="0.2">
      <c r="L3636" s="12"/>
      <c r="M3636" s="13"/>
    </row>
    <row r="3637" spans="12:13" x14ac:dyDescent="0.2">
      <c r="L3637" s="12"/>
      <c r="M3637" s="13"/>
    </row>
    <row r="3638" spans="12:13" x14ac:dyDescent="0.2">
      <c r="L3638" s="12"/>
      <c r="M3638" s="13"/>
    </row>
    <row r="3639" spans="12:13" x14ac:dyDescent="0.2">
      <c r="L3639" s="12"/>
      <c r="M3639" s="13"/>
    </row>
    <row r="3640" spans="12:13" x14ac:dyDescent="0.2">
      <c r="L3640" s="12"/>
      <c r="M3640" s="13"/>
    </row>
    <row r="3641" spans="12:13" x14ac:dyDescent="0.2">
      <c r="L3641" s="12"/>
      <c r="M3641" s="13"/>
    </row>
    <row r="3642" spans="12:13" x14ac:dyDescent="0.2">
      <c r="L3642" s="12"/>
      <c r="M3642" s="13"/>
    </row>
    <row r="3643" spans="12:13" x14ac:dyDescent="0.2">
      <c r="L3643" s="12"/>
      <c r="M3643" s="13"/>
    </row>
    <row r="3644" spans="12:13" x14ac:dyDescent="0.2">
      <c r="L3644" s="12"/>
      <c r="M3644" s="13"/>
    </row>
    <row r="3645" spans="12:13" x14ac:dyDescent="0.2">
      <c r="L3645" s="12"/>
      <c r="M3645" s="13"/>
    </row>
    <row r="3646" spans="12:13" x14ac:dyDescent="0.2">
      <c r="L3646" s="12"/>
      <c r="M3646" s="13"/>
    </row>
    <row r="3647" spans="12:13" x14ac:dyDescent="0.2">
      <c r="L3647" s="12"/>
      <c r="M3647" s="13"/>
    </row>
    <row r="3648" spans="12:13" x14ac:dyDescent="0.2">
      <c r="L3648" s="12"/>
      <c r="M3648" s="13"/>
    </row>
    <row r="3649" spans="12:13" x14ac:dyDescent="0.2">
      <c r="L3649" s="12"/>
      <c r="M3649" s="13"/>
    </row>
    <row r="3650" spans="12:13" x14ac:dyDescent="0.2">
      <c r="L3650" s="12"/>
      <c r="M3650" s="13"/>
    </row>
    <row r="3651" spans="12:13" x14ac:dyDescent="0.2">
      <c r="L3651" s="12"/>
      <c r="M3651" s="13"/>
    </row>
    <row r="3652" spans="12:13" x14ac:dyDescent="0.2">
      <c r="L3652" s="12"/>
      <c r="M3652" s="13"/>
    </row>
    <row r="3653" spans="12:13" x14ac:dyDescent="0.2">
      <c r="L3653" s="12"/>
      <c r="M3653" s="13"/>
    </row>
    <row r="3654" spans="12:13" x14ac:dyDescent="0.2">
      <c r="L3654" s="12"/>
      <c r="M3654" s="13"/>
    </row>
    <row r="3655" spans="12:13" x14ac:dyDescent="0.2">
      <c r="L3655" s="12"/>
      <c r="M3655" s="13"/>
    </row>
    <row r="3656" spans="12:13" x14ac:dyDescent="0.2">
      <c r="L3656" s="12"/>
      <c r="M3656" s="13"/>
    </row>
    <row r="3657" spans="12:13" x14ac:dyDescent="0.2">
      <c r="L3657" s="12"/>
      <c r="M3657" s="13"/>
    </row>
    <row r="3658" spans="12:13" x14ac:dyDescent="0.2">
      <c r="L3658" s="12"/>
      <c r="M3658" s="13"/>
    </row>
    <row r="3659" spans="12:13" x14ac:dyDescent="0.2">
      <c r="L3659" s="12"/>
      <c r="M3659" s="13"/>
    </row>
    <row r="3660" spans="12:13" x14ac:dyDescent="0.2">
      <c r="L3660" s="12"/>
      <c r="M3660" s="13"/>
    </row>
    <row r="3661" spans="12:13" x14ac:dyDescent="0.2">
      <c r="L3661" s="12"/>
      <c r="M3661" s="13"/>
    </row>
    <row r="3662" spans="12:13" x14ac:dyDescent="0.2">
      <c r="L3662" s="12"/>
      <c r="M3662" s="13"/>
    </row>
    <row r="3663" spans="12:13" x14ac:dyDescent="0.2">
      <c r="L3663" s="12"/>
      <c r="M3663" s="13"/>
    </row>
    <row r="3664" spans="12:13" x14ac:dyDescent="0.2">
      <c r="L3664" s="12"/>
      <c r="M3664" s="13"/>
    </row>
    <row r="3665" spans="12:13" x14ac:dyDescent="0.2">
      <c r="L3665" s="12"/>
      <c r="M3665" s="13"/>
    </row>
    <row r="3666" spans="12:13" x14ac:dyDescent="0.2">
      <c r="L3666" s="12"/>
      <c r="M3666" s="13"/>
    </row>
    <row r="3667" spans="12:13" x14ac:dyDescent="0.2">
      <c r="L3667" s="12"/>
      <c r="M3667" s="13"/>
    </row>
    <row r="3668" spans="12:13" x14ac:dyDescent="0.2">
      <c r="L3668" s="12"/>
      <c r="M3668" s="13"/>
    </row>
    <row r="3669" spans="12:13" x14ac:dyDescent="0.2">
      <c r="L3669" s="12"/>
      <c r="M3669" s="13"/>
    </row>
    <row r="3670" spans="12:13" x14ac:dyDescent="0.2">
      <c r="L3670" s="12"/>
      <c r="M3670" s="13"/>
    </row>
    <row r="3671" spans="12:13" x14ac:dyDescent="0.2">
      <c r="L3671" s="12"/>
      <c r="M3671" s="13"/>
    </row>
    <row r="3672" spans="12:13" x14ac:dyDescent="0.2">
      <c r="L3672" s="12"/>
      <c r="M3672" s="13"/>
    </row>
    <row r="3673" spans="12:13" x14ac:dyDescent="0.2">
      <c r="L3673" s="12"/>
      <c r="M3673" s="13"/>
    </row>
    <row r="3674" spans="12:13" x14ac:dyDescent="0.2">
      <c r="L3674" s="12"/>
      <c r="M3674" s="13"/>
    </row>
    <row r="3675" spans="12:13" x14ac:dyDescent="0.2">
      <c r="L3675" s="12"/>
      <c r="M3675" s="13"/>
    </row>
    <row r="3676" spans="12:13" x14ac:dyDescent="0.2">
      <c r="L3676" s="12"/>
      <c r="M3676" s="13"/>
    </row>
    <row r="3677" spans="12:13" x14ac:dyDescent="0.2">
      <c r="L3677" s="12"/>
      <c r="M3677" s="13"/>
    </row>
    <row r="3678" spans="12:13" x14ac:dyDescent="0.2">
      <c r="L3678" s="12"/>
      <c r="M3678" s="13"/>
    </row>
    <row r="3679" spans="12:13" x14ac:dyDescent="0.2">
      <c r="L3679" s="12"/>
      <c r="M3679" s="13"/>
    </row>
    <row r="3680" spans="12:13" x14ac:dyDescent="0.2">
      <c r="L3680" s="12"/>
      <c r="M3680" s="13"/>
    </row>
    <row r="3681" spans="12:13" x14ac:dyDescent="0.2">
      <c r="L3681" s="12"/>
      <c r="M3681" s="13"/>
    </row>
    <row r="3682" spans="12:13" x14ac:dyDescent="0.2">
      <c r="L3682" s="12"/>
      <c r="M3682" s="13"/>
    </row>
    <row r="3683" spans="12:13" x14ac:dyDescent="0.2">
      <c r="L3683" s="12"/>
      <c r="M3683" s="13"/>
    </row>
    <row r="3684" spans="12:13" x14ac:dyDescent="0.2">
      <c r="L3684" s="12"/>
      <c r="M3684" s="13"/>
    </row>
    <row r="3685" spans="12:13" x14ac:dyDescent="0.2">
      <c r="L3685" s="12"/>
      <c r="M3685" s="13"/>
    </row>
    <row r="3686" spans="12:13" x14ac:dyDescent="0.2">
      <c r="L3686" s="12"/>
      <c r="M3686" s="13"/>
    </row>
    <row r="3687" spans="12:13" x14ac:dyDescent="0.2">
      <c r="L3687" s="12"/>
      <c r="M3687" s="13"/>
    </row>
    <row r="3688" spans="12:13" x14ac:dyDescent="0.2">
      <c r="L3688" s="12"/>
      <c r="M3688" s="13"/>
    </row>
    <row r="3689" spans="12:13" x14ac:dyDescent="0.2">
      <c r="L3689" s="12"/>
      <c r="M3689" s="13"/>
    </row>
    <row r="3690" spans="12:13" x14ac:dyDescent="0.2">
      <c r="L3690" s="12"/>
      <c r="M3690" s="13"/>
    </row>
    <row r="3691" spans="12:13" x14ac:dyDescent="0.2">
      <c r="L3691" s="12"/>
      <c r="M3691" s="13"/>
    </row>
    <row r="3692" spans="12:13" x14ac:dyDescent="0.2">
      <c r="L3692" s="12"/>
      <c r="M3692" s="13"/>
    </row>
    <row r="3693" spans="12:13" x14ac:dyDescent="0.2">
      <c r="L3693" s="12"/>
      <c r="M3693" s="13"/>
    </row>
    <row r="3694" spans="12:13" x14ac:dyDescent="0.2">
      <c r="L3694" s="12"/>
      <c r="M3694" s="13"/>
    </row>
    <row r="3695" spans="12:13" x14ac:dyDescent="0.2">
      <c r="L3695" s="12"/>
      <c r="M3695" s="13"/>
    </row>
    <row r="3696" spans="12:13" x14ac:dyDescent="0.2">
      <c r="L3696" s="12"/>
      <c r="M3696" s="13"/>
    </row>
    <row r="3697" spans="12:13" x14ac:dyDescent="0.2">
      <c r="L3697" s="12"/>
      <c r="M3697" s="13"/>
    </row>
    <row r="3698" spans="12:13" x14ac:dyDescent="0.2">
      <c r="L3698" s="12"/>
      <c r="M3698" s="13"/>
    </row>
    <row r="3699" spans="12:13" x14ac:dyDescent="0.2">
      <c r="L3699" s="12"/>
      <c r="M3699" s="13"/>
    </row>
    <row r="3700" spans="12:13" x14ac:dyDescent="0.2">
      <c r="L3700" s="12"/>
      <c r="M3700" s="13"/>
    </row>
    <row r="3701" spans="12:13" x14ac:dyDescent="0.2">
      <c r="L3701" s="12"/>
      <c r="M3701" s="13"/>
    </row>
    <row r="3702" spans="12:13" x14ac:dyDescent="0.2">
      <c r="L3702" s="12"/>
      <c r="M3702" s="13"/>
    </row>
    <row r="3703" spans="12:13" x14ac:dyDescent="0.2">
      <c r="L3703" s="12"/>
      <c r="M3703" s="13"/>
    </row>
    <row r="3704" spans="12:13" x14ac:dyDescent="0.2">
      <c r="L3704" s="12"/>
      <c r="M3704" s="13"/>
    </row>
    <row r="3705" spans="12:13" x14ac:dyDescent="0.2">
      <c r="L3705" s="12"/>
      <c r="M3705" s="13"/>
    </row>
    <row r="3706" spans="12:13" x14ac:dyDescent="0.2">
      <c r="L3706" s="12"/>
      <c r="M3706" s="13"/>
    </row>
    <row r="3707" spans="12:13" x14ac:dyDescent="0.2">
      <c r="L3707" s="12"/>
      <c r="M3707" s="13"/>
    </row>
    <row r="3708" spans="12:13" x14ac:dyDescent="0.2">
      <c r="L3708" s="12"/>
      <c r="M3708" s="13"/>
    </row>
    <row r="3709" spans="12:13" x14ac:dyDescent="0.2">
      <c r="L3709" s="12"/>
      <c r="M3709" s="13"/>
    </row>
    <row r="3710" spans="12:13" x14ac:dyDescent="0.2">
      <c r="L3710" s="12"/>
      <c r="M3710" s="13"/>
    </row>
    <row r="3711" spans="12:13" x14ac:dyDescent="0.2">
      <c r="L3711" s="12"/>
      <c r="M3711" s="13"/>
    </row>
    <row r="3712" spans="12:13" x14ac:dyDescent="0.2">
      <c r="L3712" s="12"/>
      <c r="M3712" s="13"/>
    </row>
    <row r="3713" spans="12:13" x14ac:dyDescent="0.2">
      <c r="L3713" s="12"/>
      <c r="M3713" s="13"/>
    </row>
    <row r="3714" spans="12:13" x14ac:dyDescent="0.2">
      <c r="L3714" s="12"/>
      <c r="M3714" s="13"/>
    </row>
    <row r="3715" spans="12:13" x14ac:dyDescent="0.2">
      <c r="L3715" s="12"/>
      <c r="M3715" s="13"/>
    </row>
    <row r="3716" spans="12:13" x14ac:dyDescent="0.2">
      <c r="L3716" s="12"/>
      <c r="M3716" s="13"/>
    </row>
    <row r="3717" spans="12:13" x14ac:dyDescent="0.2">
      <c r="L3717" s="12"/>
      <c r="M3717" s="13"/>
    </row>
    <row r="3718" spans="12:13" x14ac:dyDescent="0.2">
      <c r="L3718" s="12"/>
      <c r="M3718" s="13"/>
    </row>
    <row r="3719" spans="12:13" x14ac:dyDescent="0.2">
      <c r="L3719" s="12"/>
      <c r="M3719" s="13"/>
    </row>
    <row r="3720" spans="12:13" x14ac:dyDescent="0.2">
      <c r="L3720" s="12"/>
      <c r="M3720" s="13"/>
    </row>
    <row r="3721" spans="12:13" x14ac:dyDescent="0.2">
      <c r="L3721" s="12"/>
      <c r="M3721" s="13"/>
    </row>
    <row r="3722" spans="12:13" x14ac:dyDescent="0.2">
      <c r="L3722" s="12"/>
      <c r="M3722" s="13"/>
    </row>
    <row r="3723" spans="12:13" x14ac:dyDescent="0.2">
      <c r="L3723" s="12"/>
      <c r="M3723" s="13"/>
    </row>
    <row r="3724" spans="12:13" x14ac:dyDescent="0.2">
      <c r="L3724" s="12"/>
      <c r="M3724" s="13"/>
    </row>
    <row r="3725" spans="12:13" x14ac:dyDescent="0.2">
      <c r="L3725" s="12"/>
      <c r="M3725" s="13"/>
    </row>
    <row r="3726" spans="12:13" x14ac:dyDescent="0.2">
      <c r="L3726" s="12"/>
      <c r="M3726" s="13"/>
    </row>
    <row r="3727" spans="12:13" x14ac:dyDescent="0.2">
      <c r="L3727" s="12"/>
      <c r="M3727" s="13"/>
    </row>
    <row r="3728" spans="12:13" x14ac:dyDescent="0.2">
      <c r="L3728" s="12"/>
      <c r="M3728" s="13"/>
    </row>
    <row r="3729" spans="12:13" x14ac:dyDescent="0.2">
      <c r="L3729" s="12"/>
      <c r="M3729" s="13"/>
    </row>
    <row r="3730" spans="12:13" x14ac:dyDescent="0.2">
      <c r="L3730" s="12"/>
      <c r="M3730" s="13"/>
    </row>
    <row r="3731" spans="12:13" x14ac:dyDescent="0.2">
      <c r="L3731" s="12"/>
      <c r="M3731" s="13"/>
    </row>
    <row r="3732" spans="12:13" x14ac:dyDescent="0.2">
      <c r="L3732" s="12"/>
      <c r="M3732" s="13"/>
    </row>
    <row r="3733" spans="12:13" x14ac:dyDescent="0.2">
      <c r="L3733" s="12"/>
      <c r="M3733" s="13"/>
    </row>
    <row r="3734" spans="12:13" x14ac:dyDescent="0.2">
      <c r="L3734" s="12"/>
      <c r="M3734" s="13"/>
    </row>
    <row r="3735" spans="12:13" x14ac:dyDescent="0.2">
      <c r="L3735" s="12"/>
      <c r="M3735" s="13"/>
    </row>
    <row r="3736" spans="12:13" x14ac:dyDescent="0.2">
      <c r="L3736" s="12"/>
      <c r="M3736" s="13"/>
    </row>
    <row r="3737" spans="12:13" x14ac:dyDescent="0.2">
      <c r="L3737" s="12"/>
      <c r="M3737" s="13"/>
    </row>
    <row r="3738" spans="12:13" x14ac:dyDescent="0.2">
      <c r="L3738" s="12"/>
      <c r="M3738" s="13"/>
    </row>
    <row r="3739" spans="12:13" x14ac:dyDescent="0.2">
      <c r="L3739" s="12"/>
      <c r="M3739" s="13"/>
    </row>
    <row r="3740" spans="12:13" x14ac:dyDescent="0.2">
      <c r="L3740" s="12"/>
      <c r="M3740" s="13"/>
    </row>
    <row r="3741" spans="12:13" x14ac:dyDescent="0.2">
      <c r="L3741" s="12"/>
      <c r="M3741" s="13"/>
    </row>
    <row r="3742" spans="12:13" x14ac:dyDescent="0.2">
      <c r="L3742" s="12"/>
      <c r="M3742" s="13"/>
    </row>
    <row r="3743" spans="12:13" x14ac:dyDescent="0.2">
      <c r="L3743" s="12"/>
      <c r="M3743" s="13"/>
    </row>
    <row r="3744" spans="12:13" x14ac:dyDescent="0.2">
      <c r="L3744" s="12"/>
      <c r="M3744" s="13"/>
    </row>
    <row r="3745" spans="12:13" x14ac:dyDescent="0.2">
      <c r="L3745" s="12"/>
      <c r="M3745" s="13"/>
    </row>
    <row r="3746" spans="12:13" x14ac:dyDescent="0.2">
      <c r="L3746" s="12"/>
      <c r="M3746" s="13"/>
    </row>
    <row r="3747" spans="12:13" x14ac:dyDescent="0.2">
      <c r="L3747" s="12"/>
      <c r="M3747" s="13"/>
    </row>
    <row r="3748" spans="12:13" x14ac:dyDescent="0.2">
      <c r="L3748" s="12"/>
      <c r="M3748" s="13"/>
    </row>
    <row r="3749" spans="12:13" x14ac:dyDescent="0.2">
      <c r="L3749" s="12"/>
      <c r="M3749" s="13"/>
    </row>
    <row r="3750" spans="12:13" x14ac:dyDescent="0.2">
      <c r="L3750" s="12"/>
      <c r="M3750" s="13"/>
    </row>
    <row r="3751" spans="12:13" x14ac:dyDescent="0.2">
      <c r="L3751" s="12"/>
      <c r="M3751" s="13"/>
    </row>
    <row r="3752" spans="12:13" x14ac:dyDescent="0.2">
      <c r="L3752" s="12"/>
      <c r="M3752" s="13"/>
    </row>
    <row r="3753" spans="12:13" x14ac:dyDescent="0.2">
      <c r="L3753" s="12"/>
      <c r="M3753" s="13"/>
    </row>
    <row r="3754" spans="12:13" x14ac:dyDescent="0.2">
      <c r="L3754" s="12"/>
      <c r="M3754" s="13"/>
    </row>
    <row r="3755" spans="12:13" x14ac:dyDescent="0.2">
      <c r="L3755" s="12"/>
      <c r="M3755" s="13"/>
    </row>
    <row r="3756" spans="12:13" x14ac:dyDescent="0.2">
      <c r="L3756" s="12"/>
      <c r="M3756" s="13"/>
    </row>
    <row r="3757" spans="12:13" x14ac:dyDescent="0.2">
      <c r="L3757" s="12"/>
      <c r="M3757" s="13"/>
    </row>
    <row r="3758" spans="12:13" x14ac:dyDescent="0.2">
      <c r="L3758" s="12"/>
      <c r="M3758" s="13"/>
    </row>
    <row r="3759" spans="12:13" x14ac:dyDescent="0.2">
      <c r="L3759" s="12"/>
      <c r="M3759" s="13"/>
    </row>
    <row r="3760" spans="12:13" x14ac:dyDescent="0.2">
      <c r="L3760" s="12"/>
      <c r="M3760" s="13"/>
    </row>
    <row r="3761" spans="12:13" x14ac:dyDescent="0.2">
      <c r="L3761" s="12"/>
      <c r="M3761" s="13"/>
    </row>
    <row r="3762" spans="12:13" x14ac:dyDescent="0.2">
      <c r="L3762" s="12"/>
      <c r="M3762" s="13"/>
    </row>
    <row r="3763" spans="12:13" x14ac:dyDescent="0.2">
      <c r="L3763" s="12"/>
      <c r="M3763" s="13"/>
    </row>
    <row r="3764" spans="12:13" x14ac:dyDescent="0.2">
      <c r="L3764" s="12"/>
      <c r="M3764" s="13"/>
    </row>
    <row r="3765" spans="12:13" x14ac:dyDescent="0.2">
      <c r="L3765" s="12"/>
      <c r="M3765" s="13"/>
    </row>
    <row r="3766" spans="12:13" x14ac:dyDescent="0.2">
      <c r="L3766" s="12"/>
      <c r="M3766" s="13"/>
    </row>
    <row r="3767" spans="12:13" x14ac:dyDescent="0.2">
      <c r="L3767" s="12"/>
      <c r="M3767" s="13"/>
    </row>
    <row r="3768" spans="12:13" x14ac:dyDescent="0.2">
      <c r="L3768" s="12"/>
      <c r="M3768" s="13"/>
    </row>
    <row r="3769" spans="12:13" x14ac:dyDescent="0.2">
      <c r="L3769" s="12"/>
      <c r="M3769" s="13"/>
    </row>
    <row r="3770" spans="12:13" x14ac:dyDescent="0.2">
      <c r="L3770" s="12"/>
      <c r="M3770" s="13"/>
    </row>
    <row r="3771" spans="12:13" x14ac:dyDescent="0.2">
      <c r="L3771" s="12"/>
      <c r="M3771" s="13"/>
    </row>
    <row r="3772" spans="12:13" x14ac:dyDescent="0.2">
      <c r="L3772" s="12"/>
      <c r="M3772" s="13"/>
    </row>
    <row r="3773" spans="12:13" x14ac:dyDescent="0.2">
      <c r="L3773" s="12"/>
      <c r="M3773" s="13"/>
    </row>
    <row r="3774" spans="12:13" x14ac:dyDescent="0.2">
      <c r="L3774" s="12"/>
      <c r="M3774" s="13"/>
    </row>
    <row r="3775" spans="12:13" x14ac:dyDescent="0.2">
      <c r="L3775" s="12"/>
      <c r="M3775" s="13"/>
    </row>
    <row r="3776" spans="12:13" x14ac:dyDescent="0.2">
      <c r="L3776" s="12"/>
      <c r="M3776" s="13"/>
    </row>
    <row r="3777" spans="12:13" x14ac:dyDescent="0.2">
      <c r="L3777" s="12"/>
      <c r="M3777" s="13"/>
    </row>
    <row r="3778" spans="12:13" x14ac:dyDescent="0.2">
      <c r="L3778" s="12"/>
      <c r="M3778" s="13"/>
    </row>
    <row r="3779" spans="12:13" x14ac:dyDescent="0.2">
      <c r="L3779" s="12"/>
      <c r="M3779" s="13"/>
    </row>
    <row r="3780" spans="12:13" x14ac:dyDescent="0.2">
      <c r="L3780" s="12"/>
      <c r="M3780" s="13"/>
    </row>
    <row r="3781" spans="12:13" x14ac:dyDescent="0.2">
      <c r="L3781" s="12"/>
      <c r="M3781" s="13"/>
    </row>
    <row r="3782" spans="12:13" x14ac:dyDescent="0.2">
      <c r="L3782" s="12"/>
      <c r="M3782" s="13"/>
    </row>
    <row r="3783" spans="12:13" x14ac:dyDescent="0.2">
      <c r="L3783" s="12"/>
      <c r="M3783" s="13"/>
    </row>
    <row r="3784" spans="12:13" x14ac:dyDescent="0.2">
      <c r="L3784" s="12"/>
      <c r="M3784" s="13"/>
    </row>
    <row r="3785" spans="12:13" x14ac:dyDescent="0.2">
      <c r="L3785" s="12"/>
      <c r="M3785" s="13"/>
    </row>
    <row r="3786" spans="12:13" x14ac:dyDescent="0.2">
      <c r="L3786" s="12"/>
      <c r="M3786" s="13"/>
    </row>
    <row r="3787" spans="12:13" x14ac:dyDescent="0.2">
      <c r="L3787" s="12"/>
      <c r="M3787" s="13"/>
    </row>
    <row r="3788" spans="12:13" x14ac:dyDescent="0.2">
      <c r="L3788" s="12"/>
      <c r="M3788" s="13"/>
    </row>
    <row r="3789" spans="12:13" x14ac:dyDescent="0.2">
      <c r="L3789" s="12"/>
      <c r="M3789" s="13"/>
    </row>
    <row r="3790" spans="12:13" x14ac:dyDescent="0.2">
      <c r="L3790" s="12"/>
      <c r="M3790" s="13"/>
    </row>
    <row r="3791" spans="12:13" x14ac:dyDescent="0.2">
      <c r="L3791" s="12"/>
      <c r="M3791" s="13"/>
    </row>
    <row r="3792" spans="12:13" x14ac:dyDescent="0.2">
      <c r="L3792" s="12"/>
      <c r="M3792" s="13"/>
    </row>
    <row r="3793" spans="12:13" x14ac:dyDescent="0.2">
      <c r="L3793" s="12"/>
      <c r="M3793" s="13"/>
    </row>
    <row r="3794" spans="12:13" x14ac:dyDescent="0.2">
      <c r="L3794" s="12"/>
      <c r="M3794" s="13"/>
    </row>
    <row r="3795" spans="12:13" x14ac:dyDescent="0.2">
      <c r="L3795" s="12"/>
      <c r="M3795" s="13"/>
    </row>
    <row r="3796" spans="12:13" x14ac:dyDescent="0.2">
      <c r="L3796" s="12"/>
      <c r="M3796" s="13"/>
    </row>
    <row r="3797" spans="12:13" x14ac:dyDescent="0.2">
      <c r="L3797" s="12"/>
      <c r="M3797" s="13"/>
    </row>
    <row r="3798" spans="12:13" x14ac:dyDescent="0.2">
      <c r="L3798" s="12"/>
      <c r="M3798" s="13"/>
    </row>
    <row r="3799" spans="12:13" x14ac:dyDescent="0.2">
      <c r="L3799" s="12"/>
      <c r="M3799" s="13"/>
    </row>
    <row r="3800" spans="12:13" x14ac:dyDescent="0.2">
      <c r="L3800" s="12"/>
      <c r="M3800" s="13"/>
    </row>
    <row r="3801" spans="12:13" x14ac:dyDescent="0.2">
      <c r="L3801" s="12"/>
      <c r="M3801" s="13"/>
    </row>
    <row r="3802" spans="12:13" x14ac:dyDescent="0.2">
      <c r="L3802" s="12"/>
      <c r="M3802" s="13"/>
    </row>
    <row r="3803" spans="12:13" x14ac:dyDescent="0.2">
      <c r="L3803" s="12"/>
      <c r="M3803" s="13"/>
    </row>
    <row r="3804" spans="12:13" x14ac:dyDescent="0.2">
      <c r="L3804" s="12"/>
      <c r="M3804" s="13"/>
    </row>
    <row r="3805" spans="12:13" x14ac:dyDescent="0.2">
      <c r="L3805" s="12"/>
      <c r="M3805" s="13"/>
    </row>
    <row r="3806" spans="12:13" x14ac:dyDescent="0.2">
      <c r="L3806" s="12"/>
      <c r="M3806" s="13"/>
    </row>
    <row r="3807" spans="12:13" x14ac:dyDescent="0.2">
      <c r="L3807" s="12"/>
      <c r="M3807" s="13"/>
    </row>
    <row r="3808" spans="12:13" x14ac:dyDescent="0.2">
      <c r="L3808" s="12"/>
      <c r="M3808" s="13"/>
    </row>
    <row r="3809" spans="12:13" x14ac:dyDescent="0.2">
      <c r="L3809" s="12"/>
      <c r="M3809" s="13"/>
    </row>
    <row r="3810" spans="12:13" x14ac:dyDescent="0.2">
      <c r="L3810" s="12"/>
      <c r="M3810" s="13"/>
    </row>
    <row r="3811" spans="12:13" x14ac:dyDescent="0.2">
      <c r="L3811" s="12"/>
      <c r="M3811" s="13"/>
    </row>
    <row r="3812" spans="12:13" x14ac:dyDescent="0.2">
      <c r="L3812" s="12"/>
      <c r="M3812" s="13"/>
    </row>
    <row r="3813" spans="12:13" x14ac:dyDescent="0.2">
      <c r="L3813" s="12"/>
      <c r="M3813" s="13"/>
    </row>
    <row r="3814" spans="12:13" x14ac:dyDescent="0.2">
      <c r="L3814" s="12"/>
      <c r="M3814" s="13"/>
    </row>
    <row r="3815" spans="12:13" x14ac:dyDescent="0.2">
      <c r="L3815" s="12"/>
      <c r="M3815" s="13"/>
    </row>
    <row r="3816" spans="12:13" x14ac:dyDescent="0.2">
      <c r="L3816" s="12"/>
      <c r="M3816" s="13"/>
    </row>
    <row r="3817" spans="12:13" x14ac:dyDescent="0.2">
      <c r="L3817" s="12"/>
      <c r="M3817" s="13"/>
    </row>
    <row r="3818" spans="12:13" x14ac:dyDescent="0.2">
      <c r="L3818" s="12"/>
      <c r="M3818" s="13"/>
    </row>
    <row r="3819" spans="12:13" x14ac:dyDescent="0.2">
      <c r="L3819" s="12"/>
      <c r="M3819" s="13"/>
    </row>
    <row r="3820" spans="12:13" x14ac:dyDescent="0.2">
      <c r="L3820" s="12"/>
      <c r="M3820" s="13"/>
    </row>
    <row r="3821" spans="12:13" x14ac:dyDescent="0.2">
      <c r="L3821" s="12"/>
      <c r="M3821" s="13"/>
    </row>
    <row r="3822" spans="12:13" x14ac:dyDescent="0.2">
      <c r="L3822" s="12"/>
      <c r="M3822" s="13"/>
    </row>
    <row r="3823" spans="12:13" x14ac:dyDescent="0.2">
      <c r="L3823" s="12"/>
      <c r="M3823" s="13"/>
    </row>
    <row r="3824" spans="12:13" x14ac:dyDescent="0.2">
      <c r="L3824" s="12"/>
      <c r="M3824" s="13"/>
    </row>
    <row r="3825" spans="12:13" x14ac:dyDescent="0.2">
      <c r="L3825" s="12"/>
      <c r="M3825" s="13"/>
    </row>
    <row r="3826" spans="12:13" x14ac:dyDescent="0.2">
      <c r="L3826" s="12"/>
      <c r="M3826" s="13"/>
    </row>
    <row r="3827" spans="12:13" x14ac:dyDescent="0.2">
      <c r="L3827" s="12"/>
      <c r="M3827" s="13"/>
    </row>
    <row r="3828" spans="12:13" x14ac:dyDescent="0.2">
      <c r="L3828" s="12"/>
      <c r="M3828" s="13"/>
    </row>
    <row r="3829" spans="12:13" x14ac:dyDescent="0.2">
      <c r="L3829" s="12"/>
      <c r="M3829" s="13"/>
    </row>
    <row r="3830" spans="12:13" x14ac:dyDescent="0.2">
      <c r="L3830" s="12"/>
      <c r="M3830" s="13"/>
    </row>
    <row r="3831" spans="12:13" x14ac:dyDescent="0.2">
      <c r="L3831" s="12"/>
      <c r="M3831" s="13"/>
    </row>
    <row r="3832" spans="12:13" x14ac:dyDescent="0.2">
      <c r="L3832" s="12"/>
      <c r="M3832" s="13"/>
    </row>
    <row r="3833" spans="12:13" x14ac:dyDescent="0.2">
      <c r="L3833" s="12"/>
      <c r="M3833" s="13"/>
    </row>
    <row r="3834" spans="12:13" x14ac:dyDescent="0.2">
      <c r="L3834" s="12"/>
      <c r="M3834" s="13"/>
    </row>
    <row r="3835" spans="12:13" x14ac:dyDescent="0.2">
      <c r="L3835" s="12"/>
      <c r="M3835" s="13"/>
    </row>
    <row r="3836" spans="12:13" x14ac:dyDescent="0.2">
      <c r="L3836" s="12"/>
      <c r="M3836" s="13"/>
    </row>
    <row r="3837" spans="12:13" x14ac:dyDescent="0.2">
      <c r="L3837" s="12"/>
      <c r="M3837" s="13"/>
    </row>
    <row r="3838" spans="12:13" x14ac:dyDescent="0.2">
      <c r="L3838" s="12"/>
      <c r="M3838" s="13"/>
    </row>
    <row r="3839" spans="12:13" x14ac:dyDescent="0.2">
      <c r="L3839" s="12"/>
      <c r="M3839" s="13"/>
    </row>
    <row r="3840" spans="12:13" x14ac:dyDescent="0.2">
      <c r="L3840" s="12"/>
      <c r="M3840" s="13"/>
    </row>
    <row r="3841" spans="12:13" x14ac:dyDescent="0.2">
      <c r="L3841" s="12"/>
      <c r="M3841" s="13"/>
    </row>
    <row r="3842" spans="12:13" x14ac:dyDescent="0.2">
      <c r="L3842" s="17"/>
      <c r="M3842" s="18"/>
    </row>
    <row r="3843" spans="12:13" x14ac:dyDescent="0.2">
      <c r="L3843" s="12"/>
      <c r="M3843" s="13"/>
    </row>
    <row r="3844" spans="12:13" x14ac:dyDescent="0.2">
      <c r="L3844" s="12"/>
      <c r="M3844" s="13"/>
    </row>
    <row r="3845" spans="12:13" x14ac:dyDescent="0.2">
      <c r="L3845" s="12"/>
      <c r="M3845" s="13"/>
    </row>
    <row r="3846" spans="12:13" x14ac:dyDescent="0.2">
      <c r="L3846" s="12"/>
      <c r="M3846" s="13"/>
    </row>
    <row r="3847" spans="12:13" x14ac:dyDescent="0.2">
      <c r="L3847" s="12"/>
      <c r="M3847" s="13"/>
    </row>
    <row r="3848" spans="12:13" x14ac:dyDescent="0.2">
      <c r="L3848" s="12"/>
      <c r="M3848" s="13"/>
    </row>
    <row r="3849" spans="12:13" x14ac:dyDescent="0.2">
      <c r="L3849" s="12"/>
      <c r="M3849" s="13"/>
    </row>
    <row r="3850" spans="12:13" x14ac:dyDescent="0.2">
      <c r="L3850" s="12"/>
      <c r="M3850" s="13"/>
    </row>
    <row r="3851" spans="12:13" x14ac:dyDescent="0.2">
      <c r="L3851" s="12"/>
      <c r="M3851" s="13"/>
    </row>
    <row r="3852" spans="12:13" x14ac:dyDescent="0.2">
      <c r="L3852" s="12"/>
      <c r="M3852" s="13"/>
    </row>
    <row r="3853" spans="12:13" x14ac:dyDescent="0.2">
      <c r="L3853" s="12"/>
      <c r="M3853" s="13"/>
    </row>
    <row r="3854" spans="12:13" x14ac:dyDescent="0.2">
      <c r="L3854" s="12"/>
      <c r="M3854" s="13"/>
    </row>
    <row r="3855" spans="12:13" x14ac:dyDescent="0.2">
      <c r="L3855" s="12"/>
      <c r="M3855" s="13"/>
    </row>
    <row r="3856" spans="12:13" x14ac:dyDescent="0.2">
      <c r="L3856" s="12"/>
      <c r="M3856" s="13"/>
    </row>
    <row r="3857" spans="12:13" x14ac:dyDescent="0.2">
      <c r="L3857" s="12"/>
      <c r="M3857" s="13"/>
    </row>
    <row r="3858" spans="12:13" x14ac:dyDescent="0.2">
      <c r="L3858" s="12"/>
      <c r="M3858" s="13"/>
    </row>
    <row r="3859" spans="12:13" x14ac:dyDescent="0.2">
      <c r="L3859" s="12"/>
      <c r="M3859" s="13"/>
    </row>
    <row r="3860" spans="12:13" x14ac:dyDescent="0.2">
      <c r="L3860" s="12"/>
      <c r="M3860" s="13"/>
    </row>
    <row r="3861" spans="12:13" x14ac:dyDescent="0.2">
      <c r="L3861" s="12"/>
      <c r="M3861" s="13"/>
    </row>
    <row r="3862" spans="12:13" x14ac:dyDescent="0.2">
      <c r="L3862" s="12"/>
      <c r="M3862" s="13"/>
    </row>
    <row r="3863" spans="12:13" x14ac:dyDescent="0.2">
      <c r="L3863" s="12"/>
      <c r="M3863" s="13"/>
    </row>
    <row r="3864" spans="12:13" x14ac:dyDescent="0.2">
      <c r="L3864" s="12"/>
      <c r="M3864" s="13"/>
    </row>
    <row r="3865" spans="12:13" x14ac:dyDescent="0.2">
      <c r="L3865" s="12"/>
      <c r="M3865" s="13"/>
    </row>
    <row r="3866" spans="12:13" x14ac:dyDescent="0.2">
      <c r="L3866" s="12"/>
      <c r="M3866" s="13"/>
    </row>
    <row r="3867" spans="12:13" x14ac:dyDescent="0.2">
      <c r="L3867" s="12"/>
      <c r="M3867" s="13"/>
    </row>
    <row r="3868" spans="12:13" x14ac:dyDescent="0.2">
      <c r="L3868" s="12"/>
      <c r="M3868" s="13"/>
    </row>
    <row r="3869" spans="12:13" x14ac:dyDescent="0.2">
      <c r="L3869" s="12"/>
      <c r="M3869" s="13"/>
    </row>
    <row r="3870" spans="12:13" x14ac:dyDescent="0.2">
      <c r="L3870" s="12"/>
      <c r="M3870" s="13"/>
    </row>
    <row r="3871" spans="12:13" x14ac:dyDescent="0.2">
      <c r="L3871" s="12"/>
      <c r="M3871" s="13"/>
    </row>
    <row r="3872" spans="12:13" x14ac:dyDescent="0.2">
      <c r="L3872" s="12"/>
      <c r="M3872" s="13"/>
    </row>
    <row r="3873" spans="12:13" x14ac:dyDescent="0.2">
      <c r="L3873" s="12"/>
      <c r="M3873" s="13"/>
    </row>
    <row r="3874" spans="12:13" x14ac:dyDescent="0.2">
      <c r="L3874" s="12"/>
      <c r="M3874" s="13"/>
    </row>
    <row r="3875" spans="12:13" x14ac:dyDescent="0.2">
      <c r="L3875" s="12"/>
      <c r="M3875" s="13"/>
    </row>
    <row r="3876" spans="12:13" x14ac:dyDescent="0.2">
      <c r="L3876" s="12"/>
      <c r="M3876" s="13"/>
    </row>
    <row r="3877" spans="12:13" x14ac:dyDescent="0.2">
      <c r="L3877" s="12"/>
      <c r="M3877" s="13"/>
    </row>
    <row r="3878" spans="12:13" x14ac:dyDescent="0.2">
      <c r="L3878" s="12"/>
      <c r="M3878" s="13"/>
    </row>
    <row r="3879" spans="12:13" x14ac:dyDescent="0.2">
      <c r="L3879" s="12"/>
      <c r="M3879" s="13"/>
    </row>
    <row r="3880" spans="12:13" x14ac:dyDescent="0.2">
      <c r="L3880" s="12"/>
      <c r="M3880" s="13"/>
    </row>
    <row r="3881" spans="12:13" x14ac:dyDescent="0.2">
      <c r="L3881" s="12"/>
      <c r="M3881" s="13"/>
    </row>
    <row r="3882" spans="12:13" x14ac:dyDescent="0.2">
      <c r="L3882" s="12"/>
      <c r="M3882" s="13"/>
    </row>
    <row r="3883" spans="12:13" x14ac:dyDescent="0.2">
      <c r="L3883" s="12"/>
      <c r="M3883" s="13"/>
    </row>
    <row r="3884" spans="12:13" x14ac:dyDescent="0.2">
      <c r="L3884" s="12"/>
      <c r="M3884" s="13"/>
    </row>
    <row r="3885" spans="12:13" x14ac:dyDescent="0.2">
      <c r="L3885" s="12"/>
      <c r="M3885" s="13"/>
    </row>
    <row r="3886" spans="12:13" x14ac:dyDescent="0.2">
      <c r="L3886" s="12"/>
      <c r="M3886" s="13"/>
    </row>
    <row r="3887" spans="12:13" x14ac:dyDescent="0.2">
      <c r="L3887" s="12"/>
      <c r="M3887" s="13"/>
    </row>
    <row r="3888" spans="12:13" x14ac:dyDescent="0.2">
      <c r="L3888" s="12"/>
      <c r="M3888" s="13"/>
    </row>
    <row r="3889" spans="12:13" x14ac:dyDescent="0.2">
      <c r="L3889" s="12"/>
      <c r="M3889" s="13"/>
    </row>
    <row r="3890" spans="12:13" x14ac:dyDescent="0.2">
      <c r="L3890" s="12"/>
      <c r="M3890" s="13"/>
    </row>
    <row r="3891" spans="12:13" x14ac:dyDescent="0.2">
      <c r="L3891" s="12"/>
      <c r="M3891" s="13"/>
    </row>
    <row r="3892" spans="12:13" x14ac:dyDescent="0.2">
      <c r="L3892" s="12"/>
      <c r="M3892" s="13"/>
    </row>
    <row r="3893" spans="12:13" x14ac:dyDescent="0.2">
      <c r="L3893" s="12"/>
      <c r="M3893" s="13"/>
    </row>
    <row r="3894" spans="12:13" x14ac:dyDescent="0.2">
      <c r="L3894" s="12"/>
      <c r="M3894" s="13"/>
    </row>
    <row r="3895" spans="12:13" x14ac:dyDescent="0.2">
      <c r="L3895" s="12"/>
      <c r="M3895" s="13"/>
    </row>
    <row r="3896" spans="12:13" x14ac:dyDescent="0.2">
      <c r="L3896" s="12"/>
      <c r="M3896" s="13"/>
    </row>
    <row r="3897" spans="12:13" x14ac:dyDescent="0.2">
      <c r="L3897" s="12"/>
      <c r="M3897" s="13"/>
    </row>
    <row r="3898" spans="12:13" x14ac:dyDescent="0.2">
      <c r="L3898" s="12"/>
      <c r="M3898" s="13"/>
    </row>
    <row r="3899" spans="12:13" x14ac:dyDescent="0.2">
      <c r="L3899" s="12"/>
      <c r="M3899" s="13"/>
    </row>
    <row r="3900" spans="12:13" x14ac:dyDescent="0.2">
      <c r="L3900" s="12"/>
      <c r="M3900" s="13"/>
    </row>
    <row r="3901" spans="12:13" x14ac:dyDescent="0.2">
      <c r="L3901" s="12"/>
      <c r="M3901" s="13"/>
    </row>
    <row r="3902" spans="12:13" x14ac:dyDescent="0.2">
      <c r="L3902" s="12"/>
      <c r="M3902" s="13"/>
    </row>
    <row r="3903" spans="12:13" x14ac:dyDescent="0.2">
      <c r="L3903" s="12"/>
      <c r="M3903" s="13"/>
    </row>
    <row r="3904" spans="12:13" x14ac:dyDescent="0.2">
      <c r="L3904" s="12"/>
      <c r="M3904" s="13"/>
    </row>
    <row r="3905" spans="12:13" x14ac:dyDescent="0.2">
      <c r="L3905" s="12"/>
      <c r="M3905" s="13"/>
    </row>
    <row r="3906" spans="12:13" x14ac:dyDescent="0.2">
      <c r="L3906" s="12"/>
      <c r="M3906" s="13"/>
    </row>
    <row r="3907" spans="12:13" x14ac:dyDescent="0.2">
      <c r="L3907" s="12"/>
      <c r="M3907" s="13"/>
    </row>
    <row r="3908" spans="12:13" x14ac:dyDescent="0.2">
      <c r="L3908" s="12"/>
      <c r="M3908" s="13"/>
    </row>
    <row r="3909" spans="12:13" x14ac:dyDescent="0.2">
      <c r="L3909" s="12"/>
      <c r="M3909" s="13"/>
    </row>
    <row r="3910" spans="12:13" x14ac:dyDescent="0.2">
      <c r="L3910" s="12"/>
      <c r="M3910" s="13"/>
    </row>
    <row r="3911" spans="12:13" x14ac:dyDescent="0.2">
      <c r="L3911" s="12"/>
      <c r="M3911" s="13"/>
    </row>
    <row r="3912" spans="12:13" x14ac:dyDescent="0.2">
      <c r="L3912" s="12"/>
      <c r="M3912" s="13"/>
    </row>
    <row r="3913" spans="12:13" x14ac:dyDescent="0.2">
      <c r="L3913" s="12"/>
      <c r="M3913" s="13"/>
    </row>
    <row r="3914" spans="12:13" x14ac:dyDescent="0.2">
      <c r="L3914" s="12"/>
      <c r="M3914" s="13"/>
    </row>
    <row r="3915" spans="12:13" x14ac:dyDescent="0.2">
      <c r="L3915" s="12"/>
      <c r="M3915" s="13"/>
    </row>
    <row r="3916" spans="12:13" x14ac:dyDescent="0.2">
      <c r="L3916" s="12"/>
      <c r="M3916" s="13"/>
    </row>
    <row r="3917" spans="12:13" x14ac:dyDescent="0.2">
      <c r="L3917" s="12"/>
      <c r="M3917" s="13"/>
    </row>
    <row r="3918" spans="12:13" x14ac:dyDescent="0.2">
      <c r="L3918" s="12"/>
      <c r="M3918" s="13"/>
    </row>
    <row r="3919" spans="12:13" x14ac:dyDescent="0.2">
      <c r="L3919" s="12"/>
      <c r="M3919" s="13"/>
    </row>
    <row r="3920" spans="12:13" x14ac:dyDescent="0.2">
      <c r="L3920" s="12"/>
      <c r="M3920" s="13"/>
    </row>
    <row r="3921" spans="12:13" x14ac:dyDescent="0.2">
      <c r="L3921" s="12"/>
      <c r="M3921" s="13"/>
    </row>
    <row r="3922" spans="12:13" x14ac:dyDescent="0.2">
      <c r="L3922" s="12"/>
      <c r="M3922" s="13"/>
    </row>
    <row r="3923" spans="12:13" x14ac:dyDescent="0.2">
      <c r="L3923" s="12"/>
      <c r="M3923" s="13"/>
    </row>
    <row r="3924" spans="12:13" x14ac:dyDescent="0.2">
      <c r="L3924" s="12"/>
      <c r="M3924" s="13"/>
    </row>
    <row r="3925" spans="12:13" x14ac:dyDescent="0.2">
      <c r="L3925" s="12"/>
      <c r="M3925" s="13"/>
    </row>
    <row r="3926" spans="12:13" x14ac:dyDescent="0.2">
      <c r="L3926" s="12"/>
      <c r="M3926" s="13"/>
    </row>
    <row r="3927" spans="12:13" x14ac:dyDescent="0.2">
      <c r="L3927" s="12"/>
      <c r="M3927" s="13"/>
    </row>
    <row r="3928" spans="12:13" x14ac:dyDescent="0.2">
      <c r="L3928" s="12"/>
      <c r="M3928" s="13"/>
    </row>
    <row r="3929" spans="12:13" x14ac:dyDescent="0.2">
      <c r="L3929" s="12"/>
      <c r="M3929" s="13"/>
    </row>
    <row r="3930" spans="12:13" x14ac:dyDescent="0.2">
      <c r="L3930" s="12"/>
      <c r="M3930" s="13"/>
    </row>
    <row r="3931" spans="12:13" x14ac:dyDescent="0.2">
      <c r="L3931" s="12"/>
      <c r="M3931" s="13"/>
    </row>
    <row r="3932" spans="12:13" x14ac:dyDescent="0.2">
      <c r="L3932" s="12"/>
      <c r="M3932" s="13"/>
    </row>
    <row r="3933" spans="12:13" x14ac:dyDescent="0.2">
      <c r="L3933" s="12"/>
      <c r="M3933" s="13"/>
    </row>
    <row r="3934" spans="12:13" x14ac:dyDescent="0.2">
      <c r="L3934" s="12"/>
      <c r="M3934" s="13"/>
    </row>
    <row r="3935" spans="12:13" x14ac:dyDescent="0.2">
      <c r="L3935" s="12"/>
      <c r="M3935" s="13"/>
    </row>
    <row r="3936" spans="12:13" x14ac:dyDescent="0.2">
      <c r="L3936" s="12"/>
      <c r="M3936" s="13"/>
    </row>
    <row r="3937" spans="12:13" x14ac:dyDescent="0.2">
      <c r="L3937" s="12"/>
      <c r="M3937" s="13"/>
    </row>
    <row r="3938" spans="12:13" x14ac:dyDescent="0.2">
      <c r="L3938" s="12"/>
      <c r="M3938" s="13"/>
    </row>
    <row r="3939" spans="12:13" x14ac:dyDescent="0.2">
      <c r="L3939" s="12"/>
      <c r="M3939" s="13"/>
    </row>
    <row r="3940" spans="12:13" x14ac:dyDescent="0.2">
      <c r="L3940" s="12"/>
      <c r="M3940" s="13"/>
    </row>
    <row r="3941" spans="12:13" x14ac:dyDescent="0.2">
      <c r="L3941" s="12"/>
      <c r="M3941" s="13"/>
    </row>
    <row r="3942" spans="12:13" x14ac:dyDescent="0.2">
      <c r="L3942" s="12"/>
      <c r="M3942" s="13"/>
    </row>
    <row r="3943" spans="12:13" x14ac:dyDescent="0.2">
      <c r="L3943" s="12"/>
      <c r="M3943" s="13"/>
    </row>
    <row r="3944" spans="12:13" x14ac:dyDescent="0.2">
      <c r="L3944" s="12"/>
      <c r="M3944" s="13"/>
    </row>
    <row r="3945" spans="12:13" x14ac:dyDescent="0.2">
      <c r="L3945" s="12"/>
      <c r="M3945" s="13"/>
    </row>
    <row r="3946" spans="12:13" x14ac:dyDescent="0.2">
      <c r="L3946" s="12"/>
      <c r="M3946" s="13"/>
    </row>
    <row r="3947" spans="12:13" x14ac:dyDescent="0.2">
      <c r="L3947" s="12"/>
      <c r="M3947" s="13"/>
    </row>
    <row r="3948" spans="12:13" x14ac:dyDescent="0.2">
      <c r="L3948" s="12"/>
      <c r="M3948" s="13"/>
    </row>
    <row r="3949" spans="12:13" x14ac:dyDescent="0.2">
      <c r="L3949" s="12"/>
      <c r="M3949" s="13"/>
    </row>
    <row r="3950" spans="12:13" x14ac:dyDescent="0.2">
      <c r="L3950" s="12"/>
      <c r="M3950" s="13"/>
    </row>
    <row r="3951" spans="12:13" x14ac:dyDescent="0.2">
      <c r="L3951" s="12"/>
      <c r="M3951" s="13"/>
    </row>
    <row r="3952" spans="12:13" x14ac:dyDescent="0.2">
      <c r="L3952" s="12"/>
      <c r="M3952" s="13"/>
    </row>
    <row r="3953" spans="12:13" x14ac:dyDescent="0.2">
      <c r="L3953" s="12"/>
      <c r="M3953" s="13"/>
    </row>
    <row r="3954" spans="12:13" x14ac:dyDescent="0.2">
      <c r="L3954" s="12"/>
      <c r="M3954" s="13"/>
    </row>
    <row r="3955" spans="12:13" x14ac:dyDescent="0.2">
      <c r="L3955" s="12"/>
      <c r="M3955" s="13"/>
    </row>
    <row r="3956" spans="12:13" x14ac:dyDescent="0.2">
      <c r="L3956" s="12"/>
      <c r="M3956" s="13"/>
    </row>
    <row r="3957" spans="12:13" x14ac:dyDescent="0.2">
      <c r="L3957" s="12"/>
      <c r="M3957" s="13"/>
    </row>
    <row r="3958" spans="12:13" x14ac:dyDescent="0.2">
      <c r="L3958" s="12"/>
      <c r="M3958" s="13"/>
    </row>
    <row r="3959" spans="12:13" x14ac:dyDescent="0.2">
      <c r="L3959" s="12"/>
      <c r="M3959" s="13"/>
    </row>
    <row r="3960" spans="12:13" x14ac:dyDescent="0.2">
      <c r="L3960" s="12"/>
      <c r="M3960" s="13"/>
    </row>
    <row r="3961" spans="12:13" x14ac:dyDescent="0.2">
      <c r="L3961" s="12"/>
      <c r="M3961" s="13"/>
    </row>
    <row r="3962" spans="12:13" x14ac:dyDescent="0.2">
      <c r="L3962" s="12"/>
      <c r="M3962" s="13"/>
    </row>
    <row r="3963" spans="12:13" x14ac:dyDescent="0.2">
      <c r="L3963" s="12"/>
      <c r="M3963" s="13"/>
    </row>
    <row r="3964" spans="12:13" x14ac:dyDescent="0.2">
      <c r="L3964" s="12"/>
      <c r="M3964" s="13"/>
    </row>
    <row r="3965" spans="12:13" x14ac:dyDescent="0.2">
      <c r="L3965" s="12"/>
      <c r="M3965" s="13"/>
    </row>
    <row r="3966" spans="12:13" x14ac:dyDescent="0.2">
      <c r="L3966" s="12"/>
      <c r="M3966" s="13"/>
    </row>
    <row r="3967" spans="12:13" x14ac:dyDescent="0.2">
      <c r="L3967" s="12"/>
      <c r="M3967" s="13"/>
    </row>
    <row r="3968" spans="12:13" x14ac:dyDescent="0.2">
      <c r="L3968" s="12"/>
      <c r="M3968" s="13"/>
    </row>
    <row r="3969" spans="12:13" x14ac:dyDescent="0.2">
      <c r="L3969" s="12"/>
      <c r="M3969" s="13"/>
    </row>
    <row r="3970" spans="12:13" x14ac:dyDescent="0.2">
      <c r="L3970" s="12"/>
      <c r="M3970" s="13"/>
    </row>
    <row r="3971" spans="12:13" x14ac:dyDescent="0.2">
      <c r="L3971" s="12"/>
      <c r="M3971" s="13"/>
    </row>
    <row r="3972" spans="12:13" x14ac:dyDescent="0.2">
      <c r="L3972" s="12"/>
      <c r="M3972" s="13"/>
    </row>
    <row r="3973" spans="12:13" x14ac:dyDescent="0.2">
      <c r="L3973" s="12"/>
      <c r="M3973" s="13"/>
    </row>
    <row r="3974" spans="12:13" x14ac:dyDescent="0.2">
      <c r="L3974" s="12"/>
      <c r="M3974" s="13"/>
    </row>
    <row r="3975" spans="12:13" x14ac:dyDescent="0.2">
      <c r="L3975" s="12"/>
      <c r="M3975" s="13"/>
    </row>
    <row r="3976" spans="12:13" x14ac:dyDescent="0.2">
      <c r="L3976" s="12"/>
      <c r="M3976" s="13"/>
    </row>
    <row r="3977" spans="12:13" x14ac:dyDescent="0.2">
      <c r="L3977" s="12"/>
      <c r="M3977" s="13"/>
    </row>
    <row r="3978" spans="12:13" x14ac:dyDescent="0.2">
      <c r="L3978" s="12"/>
      <c r="M3978" s="13"/>
    </row>
    <row r="3979" spans="12:13" x14ac:dyDescent="0.2">
      <c r="L3979" s="12"/>
      <c r="M3979" s="13"/>
    </row>
    <row r="3980" spans="12:13" x14ac:dyDescent="0.2">
      <c r="L3980" s="12"/>
      <c r="M3980" s="13"/>
    </row>
    <row r="3981" spans="12:13" x14ac:dyDescent="0.2">
      <c r="L3981" s="12"/>
      <c r="M3981" s="13"/>
    </row>
    <row r="3982" spans="12:13" x14ac:dyDescent="0.2">
      <c r="L3982" s="12"/>
      <c r="M3982" s="13"/>
    </row>
    <row r="3983" spans="12:13" x14ac:dyDescent="0.2">
      <c r="L3983" s="12"/>
      <c r="M3983" s="13"/>
    </row>
    <row r="3984" spans="12:13" x14ac:dyDescent="0.2">
      <c r="L3984" s="12"/>
      <c r="M3984" s="13"/>
    </row>
    <row r="3985" spans="12:13" x14ac:dyDescent="0.2">
      <c r="L3985" s="12"/>
      <c r="M3985" s="13"/>
    </row>
    <row r="3986" spans="12:13" x14ac:dyDescent="0.2">
      <c r="L3986" s="12"/>
      <c r="M3986" s="13"/>
    </row>
    <row r="3987" spans="12:13" x14ac:dyDescent="0.2">
      <c r="L3987" s="12"/>
      <c r="M3987" s="13"/>
    </row>
    <row r="3988" spans="12:13" x14ac:dyDescent="0.2">
      <c r="L3988" s="12"/>
      <c r="M3988" s="13"/>
    </row>
    <row r="3989" spans="12:13" x14ac:dyDescent="0.2">
      <c r="L3989" s="12"/>
      <c r="M3989" s="13"/>
    </row>
    <row r="3990" spans="12:13" x14ac:dyDescent="0.2">
      <c r="L3990" s="12"/>
      <c r="M3990" s="13"/>
    </row>
    <row r="3991" spans="12:13" x14ac:dyDescent="0.2">
      <c r="L3991" s="12"/>
      <c r="M3991" s="13"/>
    </row>
    <row r="3992" spans="12:13" x14ac:dyDescent="0.2">
      <c r="L3992" s="12"/>
      <c r="M3992" s="13"/>
    </row>
    <row r="3993" spans="12:13" x14ac:dyDescent="0.2">
      <c r="L3993" s="12"/>
      <c r="M3993" s="13"/>
    </row>
    <row r="3994" spans="12:13" x14ac:dyDescent="0.2">
      <c r="L3994" s="12"/>
      <c r="M3994" s="13"/>
    </row>
    <row r="3995" spans="12:13" x14ac:dyDescent="0.2">
      <c r="L3995" s="12"/>
      <c r="M3995" s="13"/>
    </row>
    <row r="3996" spans="12:13" x14ac:dyDescent="0.2">
      <c r="L3996" s="12"/>
      <c r="M3996" s="13"/>
    </row>
    <row r="3997" spans="12:13" x14ac:dyDescent="0.2">
      <c r="L3997" s="12"/>
      <c r="M3997" s="13"/>
    </row>
    <row r="3998" spans="12:13" x14ac:dyDescent="0.2">
      <c r="L3998" s="12"/>
      <c r="M3998" s="13"/>
    </row>
    <row r="3999" spans="12:13" x14ac:dyDescent="0.2">
      <c r="L3999" s="12"/>
      <c r="M3999" s="13"/>
    </row>
    <row r="4000" spans="12:13" x14ac:dyDescent="0.2">
      <c r="L4000" s="12"/>
      <c r="M4000" s="13"/>
    </row>
    <row r="4001" spans="12:13" x14ac:dyDescent="0.2">
      <c r="L4001" s="12"/>
      <c r="M4001" s="13"/>
    </row>
    <row r="4002" spans="12:13" x14ac:dyDescent="0.2">
      <c r="L4002" s="12"/>
      <c r="M4002" s="13"/>
    </row>
    <row r="4003" spans="12:13" x14ac:dyDescent="0.2">
      <c r="L4003" s="12"/>
      <c r="M4003" s="13"/>
    </row>
    <row r="4004" spans="12:13" x14ac:dyDescent="0.2">
      <c r="L4004" s="12"/>
      <c r="M4004" s="13"/>
    </row>
    <row r="4005" spans="12:13" x14ac:dyDescent="0.2">
      <c r="L4005" s="12"/>
      <c r="M4005" s="13"/>
    </row>
    <row r="4006" spans="12:13" x14ac:dyDescent="0.2">
      <c r="L4006" s="12"/>
      <c r="M4006" s="13"/>
    </row>
    <row r="4007" spans="12:13" x14ac:dyDescent="0.2">
      <c r="L4007" s="12"/>
      <c r="M4007" s="13"/>
    </row>
    <row r="4008" spans="12:13" x14ac:dyDescent="0.2">
      <c r="L4008" s="12"/>
      <c r="M4008" s="13"/>
    </row>
    <row r="4009" spans="12:13" x14ac:dyDescent="0.2">
      <c r="L4009" s="12"/>
      <c r="M4009" s="13"/>
    </row>
    <row r="4010" spans="12:13" x14ac:dyDescent="0.2">
      <c r="L4010" s="12"/>
      <c r="M4010" s="13"/>
    </row>
    <row r="4011" spans="12:13" x14ac:dyDescent="0.2">
      <c r="L4011" s="12"/>
      <c r="M4011" s="13"/>
    </row>
    <row r="4012" spans="12:13" x14ac:dyDescent="0.2">
      <c r="L4012" s="12"/>
      <c r="M4012" s="13"/>
    </row>
    <row r="4013" spans="12:13" x14ac:dyDescent="0.2">
      <c r="L4013" s="12"/>
      <c r="M4013" s="13"/>
    </row>
    <row r="4014" spans="12:13" x14ac:dyDescent="0.2">
      <c r="L4014" s="12"/>
      <c r="M4014" s="13"/>
    </row>
    <row r="4015" spans="12:13" x14ac:dyDescent="0.2">
      <c r="L4015" s="12"/>
      <c r="M4015" s="13"/>
    </row>
    <row r="4016" spans="12:13" x14ac:dyDescent="0.2">
      <c r="L4016" s="12"/>
      <c r="M4016" s="13"/>
    </row>
    <row r="4017" spans="12:13" x14ac:dyDescent="0.2">
      <c r="L4017" s="12"/>
      <c r="M4017" s="13"/>
    </row>
    <row r="4018" spans="12:13" x14ac:dyDescent="0.2">
      <c r="L4018" s="12"/>
      <c r="M4018" s="13"/>
    </row>
    <row r="4019" spans="12:13" x14ac:dyDescent="0.2">
      <c r="L4019" s="12"/>
      <c r="M4019" s="13"/>
    </row>
    <row r="4020" spans="12:13" x14ac:dyDescent="0.2">
      <c r="L4020" s="12"/>
      <c r="M4020" s="13"/>
    </row>
    <row r="4021" spans="12:13" x14ac:dyDescent="0.2">
      <c r="L4021" s="12"/>
      <c r="M4021" s="13"/>
    </row>
    <row r="4022" spans="12:13" x14ac:dyDescent="0.2">
      <c r="L4022" s="12"/>
      <c r="M4022" s="13"/>
    </row>
    <row r="4023" spans="12:13" x14ac:dyDescent="0.2">
      <c r="L4023" s="12"/>
      <c r="M4023" s="13"/>
    </row>
    <row r="4024" spans="12:13" x14ac:dyDescent="0.2">
      <c r="L4024" s="12"/>
      <c r="M4024" s="13"/>
    </row>
    <row r="4025" spans="12:13" x14ac:dyDescent="0.2">
      <c r="L4025" s="12"/>
      <c r="M4025" s="13"/>
    </row>
    <row r="4026" spans="12:13" x14ac:dyDescent="0.2">
      <c r="L4026" s="12"/>
      <c r="M4026" s="13"/>
    </row>
    <row r="4027" spans="12:13" x14ac:dyDescent="0.2">
      <c r="L4027" s="12"/>
      <c r="M4027" s="13"/>
    </row>
    <row r="4028" spans="12:13" x14ac:dyDescent="0.2">
      <c r="L4028" s="12"/>
      <c r="M4028" s="13"/>
    </row>
    <row r="4029" spans="12:13" x14ac:dyDescent="0.2">
      <c r="L4029" s="12"/>
      <c r="M4029" s="13"/>
    </row>
    <row r="4030" spans="12:13" x14ac:dyDescent="0.2">
      <c r="L4030" s="12"/>
      <c r="M4030" s="13"/>
    </row>
    <row r="4031" spans="12:13" x14ac:dyDescent="0.2">
      <c r="L4031" s="12"/>
      <c r="M4031" s="13"/>
    </row>
    <row r="4032" spans="12:13" x14ac:dyDescent="0.2">
      <c r="L4032" s="12"/>
      <c r="M4032" s="13"/>
    </row>
    <row r="4033" spans="12:13" x14ac:dyDescent="0.2">
      <c r="L4033" s="12"/>
      <c r="M4033" s="13"/>
    </row>
    <row r="4034" spans="12:13" x14ac:dyDescent="0.2">
      <c r="L4034" s="12"/>
      <c r="M4034" s="13"/>
    </row>
    <row r="4035" spans="12:13" x14ac:dyDescent="0.2">
      <c r="L4035" s="12"/>
      <c r="M4035" s="13"/>
    </row>
    <row r="4036" spans="12:13" x14ac:dyDescent="0.2">
      <c r="L4036" s="12"/>
      <c r="M4036" s="13"/>
    </row>
    <row r="4037" spans="12:13" x14ac:dyDescent="0.2">
      <c r="L4037" s="12"/>
      <c r="M4037" s="13"/>
    </row>
    <row r="4038" spans="12:13" x14ac:dyDescent="0.2">
      <c r="L4038" s="12"/>
      <c r="M4038" s="13"/>
    </row>
    <row r="4039" spans="12:13" x14ac:dyDescent="0.2">
      <c r="L4039" s="12"/>
      <c r="M4039" s="13"/>
    </row>
    <row r="4040" spans="12:13" x14ac:dyDescent="0.2">
      <c r="L4040" s="12"/>
      <c r="M4040" s="13"/>
    </row>
    <row r="4041" spans="12:13" x14ac:dyDescent="0.2">
      <c r="L4041" s="12"/>
      <c r="M4041" s="13"/>
    </row>
    <row r="4042" spans="12:13" x14ac:dyDescent="0.2">
      <c r="L4042" s="12"/>
      <c r="M4042" s="13"/>
    </row>
    <row r="4043" spans="12:13" x14ac:dyDescent="0.2">
      <c r="L4043" s="12"/>
      <c r="M4043" s="13"/>
    </row>
    <row r="4044" spans="12:13" x14ac:dyDescent="0.2">
      <c r="L4044" s="12"/>
      <c r="M4044" s="13"/>
    </row>
    <row r="4045" spans="12:13" x14ac:dyDescent="0.2">
      <c r="L4045" s="12"/>
      <c r="M4045" s="13"/>
    </row>
    <row r="4046" spans="12:13" x14ac:dyDescent="0.2">
      <c r="L4046" s="12"/>
      <c r="M4046" s="13"/>
    </row>
    <row r="4047" spans="12:13" x14ac:dyDescent="0.2">
      <c r="L4047" s="12"/>
      <c r="M4047" s="13"/>
    </row>
    <row r="4048" spans="12:13" x14ac:dyDescent="0.2">
      <c r="L4048" s="12"/>
      <c r="M4048" s="13"/>
    </row>
    <row r="4049" spans="12:13" x14ac:dyDescent="0.2">
      <c r="L4049" s="12"/>
      <c r="M4049" s="13"/>
    </row>
    <row r="4050" spans="12:13" x14ac:dyDescent="0.2">
      <c r="L4050" s="12"/>
      <c r="M4050" s="13"/>
    </row>
    <row r="4051" spans="12:13" x14ac:dyDescent="0.2">
      <c r="L4051" s="12"/>
      <c r="M4051" s="13"/>
    </row>
    <row r="4052" spans="12:13" x14ac:dyDescent="0.2">
      <c r="L4052" s="12"/>
      <c r="M4052" s="13"/>
    </row>
    <row r="4053" spans="12:13" x14ac:dyDescent="0.2">
      <c r="L4053" s="12"/>
      <c r="M4053" s="13"/>
    </row>
    <row r="4054" spans="12:13" x14ac:dyDescent="0.2">
      <c r="L4054" s="12"/>
      <c r="M4054" s="13"/>
    </row>
    <row r="4055" spans="12:13" x14ac:dyDescent="0.2">
      <c r="L4055" s="12"/>
      <c r="M4055" s="13"/>
    </row>
    <row r="4056" spans="12:13" x14ac:dyDescent="0.2">
      <c r="L4056" s="12"/>
      <c r="M4056" s="13"/>
    </row>
    <row r="4057" spans="12:13" x14ac:dyDescent="0.2">
      <c r="L4057" s="12"/>
      <c r="M4057" s="13"/>
    </row>
    <row r="4058" spans="12:13" x14ac:dyDescent="0.2">
      <c r="L4058" s="12"/>
      <c r="M4058" s="13"/>
    </row>
    <row r="4059" spans="12:13" x14ac:dyDescent="0.2">
      <c r="L4059" s="12"/>
      <c r="M4059" s="13"/>
    </row>
    <row r="4060" spans="12:13" x14ac:dyDescent="0.2">
      <c r="L4060" s="12"/>
      <c r="M4060" s="13"/>
    </row>
    <row r="4061" spans="12:13" x14ac:dyDescent="0.2">
      <c r="L4061" s="12"/>
      <c r="M4061" s="13"/>
    </row>
    <row r="4062" spans="12:13" x14ac:dyDescent="0.2">
      <c r="L4062" s="12"/>
      <c r="M4062" s="13"/>
    </row>
    <row r="4063" spans="12:13" x14ac:dyDescent="0.2">
      <c r="L4063" s="12"/>
      <c r="M4063" s="13"/>
    </row>
    <row r="4064" spans="12:13" x14ac:dyDescent="0.2">
      <c r="L4064" s="12"/>
      <c r="M4064" s="13"/>
    </row>
    <row r="4065" spans="12:13" x14ac:dyDescent="0.2">
      <c r="L4065" s="12"/>
      <c r="M4065" s="13"/>
    </row>
    <row r="4066" spans="12:13" x14ac:dyDescent="0.2">
      <c r="L4066" s="12"/>
      <c r="M4066" s="13"/>
    </row>
    <row r="4067" spans="12:13" x14ac:dyDescent="0.2">
      <c r="L4067" s="12"/>
      <c r="M4067" s="13"/>
    </row>
    <row r="4068" spans="12:13" x14ac:dyDescent="0.2">
      <c r="L4068" s="12"/>
      <c r="M4068" s="13"/>
    </row>
    <row r="4069" spans="12:13" x14ac:dyDescent="0.2">
      <c r="L4069" s="12"/>
      <c r="M4069" s="13"/>
    </row>
    <row r="4070" spans="12:13" x14ac:dyDescent="0.2">
      <c r="L4070" s="12"/>
      <c r="M4070" s="13"/>
    </row>
    <row r="4071" spans="12:13" x14ac:dyDescent="0.2">
      <c r="L4071" s="12"/>
      <c r="M4071" s="13"/>
    </row>
    <row r="4072" spans="12:13" x14ac:dyDescent="0.2">
      <c r="L4072" s="12"/>
      <c r="M4072" s="13"/>
    </row>
    <row r="4073" spans="12:13" x14ac:dyDescent="0.2">
      <c r="L4073" s="12"/>
      <c r="M4073" s="13"/>
    </row>
    <row r="4074" spans="12:13" x14ac:dyDescent="0.2">
      <c r="L4074" s="12"/>
      <c r="M4074" s="13"/>
    </row>
    <row r="4075" spans="12:13" x14ac:dyDescent="0.2">
      <c r="L4075" s="12"/>
      <c r="M4075" s="13"/>
    </row>
    <row r="4076" spans="12:13" x14ac:dyDescent="0.2">
      <c r="L4076" s="12"/>
      <c r="M4076" s="13"/>
    </row>
    <row r="4077" spans="12:13" x14ac:dyDescent="0.2">
      <c r="L4077" s="12"/>
      <c r="M4077" s="13"/>
    </row>
    <row r="4078" spans="12:13" x14ac:dyDescent="0.2">
      <c r="L4078" s="12"/>
      <c r="M4078" s="13"/>
    </row>
    <row r="4079" spans="12:13" x14ac:dyDescent="0.2">
      <c r="L4079" s="12"/>
      <c r="M4079" s="13"/>
    </row>
    <row r="4080" spans="12:13" x14ac:dyDescent="0.2">
      <c r="L4080" s="12"/>
      <c r="M4080" s="13"/>
    </row>
    <row r="4081" spans="12:13" x14ac:dyDescent="0.2">
      <c r="L4081" s="12"/>
      <c r="M4081" s="13"/>
    </row>
    <row r="4082" spans="12:13" x14ac:dyDescent="0.2">
      <c r="L4082" s="12"/>
      <c r="M4082" s="13"/>
    </row>
    <row r="4083" spans="12:13" x14ac:dyDescent="0.2">
      <c r="L4083" s="12"/>
      <c r="M4083" s="13"/>
    </row>
    <row r="4084" spans="12:13" x14ac:dyDescent="0.2">
      <c r="L4084" s="12"/>
      <c r="M4084" s="13"/>
    </row>
    <row r="4085" spans="12:13" x14ac:dyDescent="0.2">
      <c r="L4085" s="12"/>
      <c r="M4085" s="13"/>
    </row>
    <row r="4086" spans="12:13" x14ac:dyDescent="0.2">
      <c r="L4086" s="12"/>
      <c r="M4086" s="13"/>
    </row>
    <row r="4087" spans="12:13" x14ac:dyDescent="0.2">
      <c r="L4087" s="12"/>
      <c r="M4087" s="13"/>
    </row>
    <row r="4088" spans="12:13" x14ac:dyDescent="0.2">
      <c r="L4088" s="12"/>
      <c r="M4088" s="13"/>
    </row>
    <row r="4089" spans="12:13" x14ac:dyDescent="0.2">
      <c r="L4089" s="12"/>
      <c r="M4089" s="13"/>
    </row>
    <row r="4090" spans="12:13" x14ac:dyDescent="0.2">
      <c r="L4090" s="12"/>
      <c r="M4090" s="13"/>
    </row>
    <row r="4091" spans="12:13" x14ac:dyDescent="0.2">
      <c r="L4091" s="12"/>
      <c r="M4091" s="13"/>
    </row>
    <row r="4092" spans="12:13" x14ac:dyDescent="0.2">
      <c r="L4092" s="12"/>
      <c r="M4092" s="13"/>
    </row>
    <row r="4093" spans="12:13" x14ac:dyDescent="0.2">
      <c r="L4093" s="12"/>
      <c r="M4093" s="13"/>
    </row>
    <row r="4094" spans="12:13" x14ac:dyDescent="0.2">
      <c r="L4094" s="12"/>
      <c r="M4094" s="13"/>
    </row>
    <row r="4095" spans="12:13" x14ac:dyDescent="0.2">
      <c r="L4095" s="12"/>
      <c r="M4095" s="13"/>
    </row>
    <row r="4096" spans="12:13" x14ac:dyDescent="0.2">
      <c r="L4096" s="12"/>
      <c r="M4096" s="13"/>
    </row>
    <row r="4097" spans="12:13" x14ac:dyDescent="0.2">
      <c r="L4097" s="12"/>
      <c r="M4097" s="13"/>
    </row>
    <row r="4098" spans="12:13" x14ac:dyDescent="0.2">
      <c r="L4098" s="17"/>
      <c r="M4098" s="18"/>
    </row>
    <row r="4099" spans="12:13" x14ac:dyDescent="0.2">
      <c r="L4099" s="12"/>
      <c r="M4099" s="13"/>
    </row>
    <row r="4100" spans="12:13" x14ac:dyDescent="0.2">
      <c r="L4100" s="12"/>
      <c r="M4100" s="13"/>
    </row>
    <row r="4101" spans="12:13" x14ac:dyDescent="0.2">
      <c r="L4101" s="12"/>
      <c r="M4101" s="13"/>
    </row>
    <row r="4102" spans="12:13" x14ac:dyDescent="0.2">
      <c r="L4102" s="12"/>
      <c r="M4102" s="13"/>
    </row>
    <row r="4103" spans="12:13" x14ac:dyDescent="0.2">
      <c r="L4103" s="12"/>
      <c r="M4103" s="13"/>
    </row>
    <row r="4104" spans="12:13" x14ac:dyDescent="0.2">
      <c r="L4104" s="12"/>
      <c r="M4104" s="13"/>
    </row>
    <row r="4105" spans="12:13" x14ac:dyDescent="0.2">
      <c r="L4105" s="12"/>
      <c r="M4105" s="13"/>
    </row>
    <row r="4106" spans="12:13" x14ac:dyDescent="0.2">
      <c r="L4106" s="12"/>
      <c r="M4106" s="13"/>
    </row>
    <row r="4107" spans="12:13" x14ac:dyDescent="0.2">
      <c r="L4107" s="12"/>
      <c r="M4107" s="13"/>
    </row>
    <row r="4108" spans="12:13" x14ac:dyDescent="0.2">
      <c r="L4108" s="12"/>
      <c r="M4108" s="13"/>
    </row>
    <row r="4109" spans="12:13" x14ac:dyDescent="0.2">
      <c r="L4109" s="12"/>
      <c r="M4109" s="13"/>
    </row>
    <row r="4110" spans="12:13" x14ac:dyDescent="0.2">
      <c r="L4110" s="12"/>
      <c r="M4110" s="13"/>
    </row>
    <row r="4111" spans="12:13" x14ac:dyDescent="0.2">
      <c r="L4111" s="12"/>
      <c r="M4111" s="13"/>
    </row>
    <row r="4112" spans="12:13" x14ac:dyDescent="0.2">
      <c r="L4112" s="12"/>
      <c r="M4112" s="13"/>
    </row>
    <row r="4113" spans="12:13" x14ac:dyDescent="0.2">
      <c r="L4113" s="12"/>
      <c r="M4113" s="13"/>
    </row>
    <row r="4114" spans="12:13" x14ac:dyDescent="0.2">
      <c r="L4114" s="12"/>
      <c r="M4114" s="13"/>
    </row>
    <row r="4115" spans="12:13" x14ac:dyDescent="0.2">
      <c r="L4115" s="12"/>
      <c r="M4115" s="13"/>
    </row>
    <row r="4116" spans="12:13" x14ac:dyDescent="0.2">
      <c r="L4116" s="12"/>
      <c r="M4116" s="13"/>
    </row>
    <row r="4117" spans="12:13" x14ac:dyDescent="0.2">
      <c r="L4117" s="12"/>
      <c r="M4117" s="13"/>
    </row>
    <row r="4118" spans="12:13" x14ac:dyDescent="0.2">
      <c r="L4118" s="12"/>
      <c r="M4118" s="13"/>
    </row>
    <row r="4119" spans="12:13" x14ac:dyDescent="0.2">
      <c r="L4119" s="12"/>
      <c r="M4119" s="13"/>
    </row>
    <row r="4120" spans="12:13" x14ac:dyDescent="0.2">
      <c r="L4120" s="12"/>
      <c r="M4120" s="13"/>
    </row>
    <row r="4121" spans="12:13" x14ac:dyDescent="0.2">
      <c r="L4121" s="12"/>
      <c r="M4121" s="13"/>
    </row>
    <row r="4122" spans="12:13" x14ac:dyDescent="0.2">
      <c r="L4122" s="12"/>
      <c r="M4122" s="13"/>
    </row>
    <row r="4123" spans="12:13" x14ac:dyDescent="0.2">
      <c r="L4123" s="12"/>
      <c r="M4123" s="13"/>
    </row>
    <row r="4124" spans="12:13" x14ac:dyDescent="0.2">
      <c r="L4124" s="12"/>
      <c r="M4124" s="13"/>
    </row>
    <row r="4125" spans="12:13" x14ac:dyDescent="0.2">
      <c r="L4125" s="12"/>
      <c r="M4125" s="13"/>
    </row>
    <row r="4126" spans="12:13" x14ac:dyDescent="0.2">
      <c r="L4126" s="12"/>
      <c r="M4126" s="13"/>
    </row>
    <row r="4127" spans="12:13" x14ac:dyDescent="0.2">
      <c r="L4127" s="12"/>
      <c r="M4127" s="13"/>
    </row>
    <row r="4128" spans="12:13" x14ac:dyDescent="0.2">
      <c r="L4128" s="12"/>
      <c r="M4128" s="13"/>
    </row>
    <row r="4129" spans="12:13" x14ac:dyDescent="0.2">
      <c r="L4129" s="12"/>
      <c r="M4129" s="13"/>
    </row>
    <row r="4130" spans="12:13" x14ac:dyDescent="0.2">
      <c r="L4130" s="12"/>
      <c r="M4130" s="13"/>
    </row>
    <row r="4131" spans="12:13" x14ac:dyDescent="0.2">
      <c r="L4131" s="12"/>
      <c r="M4131" s="13"/>
    </row>
    <row r="4132" spans="12:13" x14ac:dyDescent="0.2">
      <c r="L4132" s="12"/>
      <c r="M4132" s="13"/>
    </row>
    <row r="4133" spans="12:13" x14ac:dyDescent="0.2">
      <c r="L4133" s="12"/>
      <c r="M4133" s="13"/>
    </row>
    <row r="4134" spans="12:13" x14ac:dyDescent="0.2">
      <c r="L4134" s="12"/>
      <c r="M4134" s="13"/>
    </row>
    <row r="4135" spans="12:13" x14ac:dyDescent="0.2">
      <c r="L4135" s="12"/>
      <c r="M4135" s="13"/>
    </row>
    <row r="4136" spans="12:13" x14ac:dyDescent="0.2">
      <c r="L4136" s="12"/>
      <c r="M4136" s="13"/>
    </row>
    <row r="4137" spans="12:13" x14ac:dyDescent="0.2">
      <c r="L4137" s="12"/>
      <c r="M4137" s="13"/>
    </row>
    <row r="4138" spans="12:13" x14ac:dyDescent="0.2">
      <c r="L4138" s="12"/>
      <c r="M4138" s="13"/>
    </row>
    <row r="4139" spans="12:13" x14ac:dyDescent="0.2">
      <c r="L4139" s="12"/>
      <c r="M4139" s="13"/>
    </row>
    <row r="4140" spans="12:13" x14ac:dyDescent="0.2">
      <c r="L4140" s="12"/>
      <c r="M4140" s="13"/>
    </row>
    <row r="4141" spans="12:13" x14ac:dyDescent="0.2">
      <c r="L4141" s="12"/>
      <c r="M4141" s="13"/>
    </row>
    <row r="4142" spans="12:13" x14ac:dyDescent="0.2">
      <c r="L4142" s="12"/>
      <c r="M4142" s="13"/>
    </row>
    <row r="4143" spans="12:13" x14ac:dyDescent="0.2">
      <c r="L4143" s="12"/>
      <c r="M4143" s="13"/>
    </row>
    <row r="4144" spans="12:13" x14ac:dyDescent="0.2">
      <c r="L4144" s="12"/>
      <c r="M4144" s="13"/>
    </row>
    <row r="4145" spans="12:13" x14ac:dyDescent="0.2">
      <c r="L4145" s="12"/>
      <c r="M4145" s="13"/>
    </row>
    <row r="4146" spans="12:13" x14ac:dyDescent="0.2">
      <c r="L4146" s="12"/>
      <c r="M4146" s="13"/>
    </row>
    <row r="4147" spans="12:13" x14ac:dyDescent="0.2">
      <c r="L4147" s="12"/>
      <c r="M4147" s="13"/>
    </row>
    <row r="4148" spans="12:13" x14ac:dyDescent="0.2">
      <c r="L4148" s="12"/>
      <c r="M4148" s="13"/>
    </row>
    <row r="4149" spans="12:13" x14ac:dyDescent="0.2">
      <c r="L4149" s="12"/>
      <c r="M4149" s="13"/>
    </row>
    <row r="4150" spans="12:13" x14ac:dyDescent="0.2">
      <c r="L4150" s="12"/>
      <c r="M4150" s="13"/>
    </row>
    <row r="4151" spans="12:13" x14ac:dyDescent="0.2">
      <c r="L4151" s="12"/>
      <c r="M4151" s="13"/>
    </row>
    <row r="4152" spans="12:13" x14ac:dyDescent="0.2">
      <c r="L4152" s="12"/>
      <c r="M4152" s="13"/>
    </row>
    <row r="4153" spans="12:13" x14ac:dyDescent="0.2">
      <c r="L4153" s="12"/>
      <c r="M4153" s="13"/>
    </row>
    <row r="4154" spans="12:13" x14ac:dyDescent="0.2">
      <c r="L4154" s="12"/>
      <c r="M4154" s="13"/>
    </row>
    <row r="4155" spans="12:13" x14ac:dyDescent="0.2">
      <c r="L4155" s="12"/>
      <c r="M4155" s="13"/>
    </row>
    <row r="4156" spans="12:13" x14ac:dyDescent="0.2">
      <c r="L4156" s="12"/>
      <c r="M4156" s="13"/>
    </row>
    <row r="4157" spans="12:13" x14ac:dyDescent="0.2">
      <c r="L4157" s="12"/>
      <c r="M4157" s="13"/>
    </row>
    <row r="4158" spans="12:13" x14ac:dyDescent="0.2">
      <c r="L4158" s="12"/>
      <c r="M4158" s="13"/>
    </row>
    <row r="4159" spans="12:13" x14ac:dyDescent="0.2">
      <c r="L4159" s="12"/>
      <c r="M4159" s="13"/>
    </row>
    <row r="4160" spans="12:13" x14ac:dyDescent="0.2">
      <c r="L4160" s="12"/>
      <c r="M4160" s="13"/>
    </row>
    <row r="4161" spans="12:13" x14ac:dyDescent="0.2">
      <c r="L4161" s="12"/>
      <c r="M4161" s="13"/>
    </row>
    <row r="4162" spans="12:13" x14ac:dyDescent="0.2">
      <c r="L4162" s="12"/>
      <c r="M4162" s="13"/>
    </row>
    <row r="4163" spans="12:13" x14ac:dyDescent="0.2">
      <c r="L4163" s="12"/>
      <c r="M4163" s="13"/>
    </row>
    <row r="4164" spans="12:13" x14ac:dyDescent="0.2">
      <c r="L4164" s="12"/>
      <c r="M4164" s="13"/>
    </row>
    <row r="4165" spans="12:13" x14ac:dyDescent="0.2">
      <c r="L4165" s="12"/>
      <c r="M4165" s="13"/>
    </row>
    <row r="4166" spans="12:13" x14ac:dyDescent="0.2">
      <c r="L4166" s="12"/>
      <c r="M4166" s="13"/>
    </row>
    <row r="4167" spans="12:13" x14ac:dyDescent="0.2">
      <c r="L4167" s="12"/>
      <c r="M4167" s="13"/>
    </row>
    <row r="4168" spans="12:13" x14ac:dyDescent="0.2">
      <c r="L4168" s="12"/>
      <c r="M4168" s="13"/>
    </row>
    <row r="4169" spans="12:13" x14ac:dyDescent="0.2">
      <c r="L4169" s="12"/>
      <c r="M4169" s="13"/>
    </row>
    <row r="4170" spans="12:13" x14ac:dyDescent="0.2">
      <c r="L4170" s="12"/>
      <c r="M4170" s="13"/>
    </row>
    <row r="4171" spans="12:13" x14ac:dyDescent="0.2">
      <c r="L4171" s="12"/>
      <c r="M4171" s="13"/>
    </row>
    <row r="4172" spans="12:13" x14ac:dyDescent="0.2">
      <c r="L4172" s="12"/>
      <c r="M4172" s="13"/>
    </row>
    <row r="4173" spans="12:13" x14ac:dyDescent="0.2">
      <c r="L4173" s="12"/>
      <c r="M4173" s="13"/>
    </row>
    <row r="4174" spans="12:13" x14ac:dyDescent="0.2">
      <c r="L4174" s="12"/>
      <c r="M4174" s="13"/>
    </row>
    <row r="4175" spans="12:13" x14ac:dyDescent="0.2">
      <c r="L4175" s="12"/>
      <c r="M4175" s="13"/>
    </row>
    <row r="4176" spans="12:13" x14ac:dyDescent="0.2">
      <c r="L4176" s="12"/>
      <c r="M4176" s="13"/>
    </row>
    <row r="4177" spans="12:13" x14ac:dyDescent="0.2">
      <c r="L4177" s="12"/>
      <c r="M4177" s="13"/>
    </row>
    <row r="4178" spans="12:13" x14ac:dyDescent="0.2">
      <c r="L4178" s="12"/>
      <c r="M4178" s="13"/>
    </row>
    <row r="4179" spans="12:13" x14ac:dyDescent="0.2">
      <c r="L4179" s="12"/>
      <c r="M4179" s="13"/>
    </row>
    <row r="4180" spans="12:13" x14ac:dyDescent="0.2">
      <c r="L4180" s="12"/>
      <c r="M4180" s="13"/>
    </row>
    <row r="4181" spans="12:13" x14ac:dyDescent="0.2">
      <c r="L4181" s="12"/>
      <c r="M4181" s="13"/>
    </row>
    <row r="4182" spans="12:13" x14ac:dyDescent="0.2">
      <c r="L4182" s="12"/>
      <c r="M4182" s="13"/>
    </row>
    <row r="4183" spans="12:13" x14ac:dyDescent="0.2">
      <c r="L4183" s="12"/>
      <c r="M4183" s="13"/>
    </row>
    <row r="4184" spans="12:13" x14ac:dyDescent="0.2">
      <c r="L4184" s="12"/>
      <c r="M4184" s="13"/>
    </row>
    <row r="4185" spans="12:13" x14ac:dyDescent="0.2">
      <c r="L4185" s="12"/>
      <c r="M4185" s="13"/>
    </row>
    <row r="4186" spans="12:13" x14ac:dyDescent="0.2">
      <c r="L4186" s="12"/>
      <c r="M4186" s="13"/>
    </row>
    <row r="4187" spans="12:13" x14ac:dyDescent="0.2">
      <c r="L4187" s="12"/>
      <c r="M4187" s="13"/>
    </row>
    <row r="4188" spans="12:13" x14ac:dyDescent="0.2">
      <c r="L4188" s="12"/>
      <c r="M4188" s="13"/>
    </row>
    <row r="4189" spans="12:13" x14ac:dyDescent="0.2">
      <c r="L4189" s="12"/>
      <c r="M4189" s="13"/>
    </row>
    <row r="4190" spans="12:13" x14ac:dyDescent="0.2">
      <c r="L4190" s="12"/>
      <c r="M4190" s="13"/>
    </row>
    <row r="4191" spans="12:13" x14ac:dyDescent="0.2">
      <c r="L4191" s="12"/>
      <c r="M4191" s="13"/>
    </row>
    <row r="4192" spans="12:13" x14ac:dyDescent="0.2">
      <c r="L4192" s="12"/>
      <c r="M4192" s="13"/>
    </row>
    <row r="4193" spans="12:13" x14ac:dyDescent="0.2">
      <c r="L4193" s="12"/>
      <c r="M4193" s="13"/>
    </row>
    <row r="4194" spans="12:13" x14ac:dyDescent="0.2">
      <c r="L4194" s="12"/>
      <c r="M4194" s="13"/>
    </row>
    <row r="4195" spans="12:13" x14ac:dyDescent="0.2">
      <c r="L4195" s="12"/>
      <c r="M4195" s="13"/>
    </row>
    <row r="4196" spans="12:13" x14ac:dyDescent="0.2">
      <c r="L4196" s="12"/>
      <c r="M4196" s="13"/>
    </row>
    <row r="4197" spans="12:13" x14ac:dyDescent="0.2">
      <c r="L4197" s="12"/>
      <c r="M4197" s="13"/>
    </row>
    <row r="4198" spans="12:13" x14ac:dyDescent="0.2">
      <c r="L4198" s="12"/>
      <c r="M4198" s="13"/>
    </row>
    <row r="4199" spans="12:13" x14ac:dyDescent="0.2">
      <c r="L4199" s="12"/>
      <c r="M4199" s="13"/>
    </row>
    <row r="4200" spans="12:13" x14ac:dyDescent="0.2">
      <c r="L4200" s="12"/>
      <c r="M4200" s="13"/>
    </row>
    <row r="4201" spans="12:13" x14ac:dyDescent="0.2">
      <c r="L4201" s="12"/>
      <c r="M4201" s="13"/>
    </row>
    <row r="4202" spans="12:13" x14ac:dyDescent="0.2">
      <c r="L4202" s="12"/>
      <c r="M4202" s="13"/>
    </row>
    <row r="4203" spans="12:13" x14ac:dyDescent="0.2">
      <c r="L4203" s="12"/>
      <c r="M4203" s="13"/>
    </row>
    <row r="4204" spans="12:13" x14ac:dyDescent="0.2">
      <c r="L4204" s="12"/>
      <c r="M4204" s="13"/>
    </row>
    <row r="4205" spans="12:13" x14ac:dyDescent="0.2">
      <c r="L4205" s="12"/>
      <c r="M4205" s="13"/>
    </row>
    <row r="4206" spans="12:13" x14ac:dyDescent="0.2">
      <c r="L4206" s="12"/>
      <c r="M4206" s="13"/>
    </row>
    <row r="4207" spans="12:13" x14ac:dyDescent="0.2">
      <c r="L4207" s="12"/>
      <c r="M4207" s="13"/>
    </row>
    <row r="4208" spans="12:13" x14ac:dyDescent="0.2">
      <c r="L4208" s="12"/>
      <c r="M4208" s="13"/>
    </row>
    <row r="4209" spans="12:13" x14ac:dyDescent="0.2">
      <c r="L4209" s="12"/>
      <c r="M4209" s="13"/>
    </row>
    <row r="4210" spans="12:13" x14ac:dyDescent="0.2">
      <c r="L4210" s="12"/>
      <c r="M4210" s="13"/>
    </row>
    <row r="4211" spans="12:13" x14ac:dyDescent="0.2">
      <c r="L4211" s="12"/>
      <c r="M4211" s="13"/>
    </row>
    <row r="4212" spans="12:13" x14ac:dyDescent="0.2">
      <c r="L4212" s="12"/>
      <c r="M4212" s="13"/>
    </row>
    <row r="4213" spans="12:13" x14ac:dyDescent="0.2">
      <c r="L4213" s="12"/>
      <c r="M4213" s="13"/>
    </row>
    <row r="4214" spans="12:13" x14ac:dyDescent="0.2">
      <c r="L4214" s="12"/>
      <c r="M4214" s="13"/>
    </row>
    <row r="4215" spans="12:13" x14ac:dyDescent="0.2">
      <c r="L4215" s="12"/>
      <c r="M4215" s="13"/>
    </row>
    <row r="4216" spans="12:13" x14ac:dyDescent="0.2">
      <c r="L4216" s="12"/>
      <c r="M4216" s="13"/>
    </row>
    <row r="4217" spans="12:13" x14ac:dyDescent="0.2">
      <c r="L4217" s="12"/>
      <c r="M4217" s="13"/>
    </row>
    <row r="4218" spans="12:13" x14ac:dyDescent="0.2">
      <c r="L4218" s="12"/>
      <c r="M4218" s="13"/>
    </row>
    <row r="4219" spans="12:13" x14ac:dyDescent="0.2">
      <c r="L4219" s="12"/>
      <c r="M4219" s="13"/>
    </row>
    <row r="4220" spans="12:13" x14ac:dyDescent="0.2">
      <c r="L4220" s="12"/>
      <c r="M4220" s="13"/>
    </row>
    <row r="4221" spans="12:13" x14ac:dyDescent="0.2">
      <c r="L4221" s="12"/>
      <c r="M4221" s="13"/>
    </row>
    <row r="4222" spans="12:13" x14ac:dyDescent="0.2">
      <c r="L4222" s="12"/>
      <c r="M4222" s="13"/>
    </row>
    <row r="4223" spans="12:13" x14ac:dyDescent="0.2">
      <c r="L4223" s="12"/>
      <c r="M4223" s="13"/>
    </row>
    <row r="4224" spans="12:13" x14ac:dyDescent="0.2">
      <c r="L4224" s="12"/>
      <c r="M4224" s="13"/>
    </row>
    <row r="4225" spans="12:13" x14ac:dyDescent="0.2">
      <c r="L4225" s="12"/>
      <c r="M4225" s="13"/>
    </row>
    <row r="4226" spans="12:13" x14ac:dyDescent="0.2">
      <c r="L4226" s="12"/>
      <c r="M4226" s="13"/>
    </row>
    <row r="4227" spans="12:13" x14ac:dyDescent="0.2">
      <c r="L4227" s="12"/>
      <c r="M4227" s="13"/>
    </row>
    <row r="4228" spans="12:13" x14ac:dyDescent="0.2">
      <c r="L4228" s="12"/>
      <c r="M4228" s="13"/>
    </row>
    <row r="4229" spans="12:13" x14ac:dyDescent="0.2">
      <c r="L4229" s="12"/>
      <c r="M4229" s="13"/>
    </row>
    <row r="4230" spans="12:13" x14ac:dyDescent="0.2">
      <c r="L4230" s="12"/>
      <c r="M4230" s="13"/>
    </row>
    <row r="4231" spans="12:13" x14ac:dyDescent="0.2">
      <c r="L4231" s="12"/>
      <c r="M4231" s="13"/>
    </row>
    <row r="4232" spans="12:13" x14ac:dyDescent="0.2">
      <c r="L4232" s="12"/>
      <c r="M4232" s="13"/>
    </row>
    <row r="4233" spans="12:13" x14ac:dyDescent="0.2">
      <c r="L4233" s="12"/>
      <c r="M4233" s="13"/>
    </row>
    <row r="4234" spans="12:13" x14ac:dyDescent="0.2">
      <c r="L4234" s="12"/>
      <c r="M4234" s="13"/>
    </row>
    <row r="4235" spans="12:13" x14ac:dyDescent="0.2">
      <c r="L4235" s="12"/>
      <c r="M4235" s="13"/>
    </row>
    <row r="4236" spans="12:13" x14ac:dyDescent="0.2">
      <c r="L4236" s="12"/>
      <c r="M4236" s="13"/>
    </row>
    <row r="4237" spans="12:13" x14ac:dyDescent="0.2">
      <c r="L4237" s="12"/>
      <c r="M4237" s="13"/>
    </row>
    <row r="4238" spans="12:13" x14ac:dyDescent="0.2">
      <c r="L4238" s="12"/>
      <c r="M4238" s="13"/>
    </row>
    <row r="4239" spans="12:13" x14ac:dyDescent="0.2">
      <c r="L4239" s="12"/>
      <c r="M4239" s="13"/>
    </row>
    <row r="4240" spans="12:13" x14ac:dyDescent="0.2">
      <c r="L4240" s="12"/>
      <c r="M4240" s="13"/>
    </row>
    <row r="4241" spans="12:13" x14ac:dyDescent="0.2">
      <c r="L4241" s="12"/>
      <c r="M4241" s="13"/>
    </row>
    <row r="4242" spans="12:13" x14ac:dyDescent="0.2">
      <c r="L4242" s="12"/>
      <c r="M4242" s="13"/>
    </row>
    <row r="4243" spans="12:13" x14ac:dyDescent="0.2">
      <c r="L4243" s="12"/>
      <c r="M4243" s="13"/>
    </row>
    <row r="4244" spans="12:13" x14ac:dyDescent="0.2">
      <c r="L4244" s="12"/>
      <c r="M4244" s="13"/>
    </row>
    <row r="4245" spans="12:13" x14ac:dyDescent="0.2">
      <c r="L4245" s="12"/>
      <c r="M4245" s="13"/>
    </row>
    <row r="4246" spans="12:13" x14ac:dyDescent="0.2">
      <c r="L4246" s="12"/>
      <c r="M4246" s="13"/>
    </row>
    <row r="4247" spans="12:13" x14ac:dyDescent="0.2">
      <c r="L4247" s="12"/>
      <c r="M4247" s="13"/>
    </row>
    <row r="4248" spans="12:13" x14ac:dyDescent="0.2">
      <c r="L4248" s="12"/>
      <c r="M4248" s="13"/>
    </row>
    <row r="4249" spans="12:13" x14ac:dyDescent="0.2">
      <c r="L4249" s="12"/>
      <c r="M4249" s="13"/>
    </row>
    <row r="4250" spans="12:13" x14ac:dyDescent="0.2">
      <c r="L4250" s="12"/>
      <c r="M4250" s="13"/>
    </row>
    <row r="4251" spans="12:13" x14ac:dyDescent="0.2">
      <c r="L4251" s="12"/>
      <c r="M4251" s="13"/>
    </row>
    <row r="4252" spans="12:13" x14ac:dyDescent="0.2">
      <c r="L4252" s="12"/>
      <c r="M4252" s="13"/>
    </row>
    <row r="4253" spans="12:13" x14ac:dyDescent="0.2">
      <c r="L4253" s="12"/>
      <c r="M4253" s="13"/>
    </row>
    <row r="4254" spans="12:13" x14ac:dyDescent="0.2">
      <c r="L4254" s="12"/>
      <c r="M4254" s="13"/>
    </row>
    <row r="4255" spans="12:13" x14ac:dyDescent="0.2">
      <c r="L4255" s="12"/>
      <c r="M4255" s="13"/>
    </row>
    <row r="4256" spans="12:13" x14ac:dyDescent="0.2">
      <c r="L4256" s="12"/>
      <c r="M4256" s="13"/>
    </row>
    <row r="4257" spans="12:13" x14ac:dyDescent="0.2">
      <c r="L4257" s="12"/>
      <c r="M4257" s="13"/>
    </row>
    <row r="4258" spans="12:13" x14ac:dyDescent="0.2">
      <c r="L4258" s="12"/>
      <c r="M4258" s="13"/>
    </row>
    <row r="4259" spans="12:13" x14ac:dyDescent="0.2">
      <c r="L4259" s="12"/>
      <c r="M4259" s="13"/>
    </row>
    <row r="4260" spans="12:13" x14ac:dyDescent="0.2">
      <c r="L4260" s="12"/>
      <c r="M4260" s="13"/>
    </row>
    <row r="4261" spans="12:13" x14ac:dyDescent="0.2">
      <c r="L4261" s="12"/>
      <c r="M4261" s="13"/>
    </row>
    <row r="4262" spans="12:13" x14ac:dyDescent="0.2">
      <c r="L4262" s="12"/>
      <c r="M4262" s="13"/>
    </row>
    <row r="4263" spans="12:13" x14ac:dyDescent="0.2">
      <c r="L4263" s="12"/>
      <c r="M4263" s="13"/>
    </row>
    <row r="4264" spans="12:13" x14ac:dyDescent="0.2">
      <c r="L4264" s="12"/>
      <c r="M4264" s="13"/>
    </row>
    <row r="4265" spans="12:13" x14ac:dyDescent="0.2">
      <c r="L4265" s="12"/>
      <c r="M4265" s="13"/>
    </row>
    <row r="4266" spans="12:13" x14ac:dyDescent="0.2">
      <c r="L4266" s="12"/>
      <c r="M4266" s="13"/>
    </row>
    <row r="4267" spans="12:13" x14ac:dyDescent="0.2">
      <c r="L4267" s="12"/>
      <c r="M4267" s="13"/>
    </row>
    <row r="4268" spans="12:13" x14ac:dyDescent="0.2">
      <c r="L4268" s="12"/>
      <c r="M4268" s="13"/>
    </row>
    <row r="4269" spans="12:13" x14ac:dyDescent="0.2">
      <c r="L4269" s="12"/>
      <c r="M4269" s="13"/>
    </row>
    <row r="4270" spans="12:13" x14ac:dyDescent="0.2">
      <c r="L4270" s="12"/>
      <c r="M4270" s="13"/>
    </row>
    <row r="4271" spans="12:13" x14ac:dyDescent="0.2">
      <c r="L4271" s="12"/>
      <c r="M4271" s="13"/>
    </row>
    <row r="4272" spans="12:13" x14ac:dyDescent="0.2">
      <c r="L4272" s="12"/>
      <c r="M4272" s="13"/>
    </row>
    <row r="4273" spans="12:13" x14ac:dyDescent="0.2">
      <c r="L4273" s="12"/>
      <c r="M4273" s="13"/>
    </row>
    <row r="4274" spans="12:13" x14ac:dyDescent="0.2">
      <c r="L4274" s="12"/>
      <c r="M4274" s="13"/>
    </row>
    <row r="4275" spans="12:13" x14ac:dyDescent="0.2">
      <c r="L4275" s="12"/>
      <c r="M4275" s="13"/>
    </row>
    <row r="4276" spans="12:13" x14ac:dyDescent="0.2">
      <c r="L4276" s="12"/>
      <c r="M4276" s="13"/>
    </row>
    <row r="4277" spans="12:13" x14ac:dyDescent="0.2">
      <c r="L4277" s="12"/>
      <c r="M4277" s="13"/>
    </row>
    <row r="4278" spans="12:13" x14ac:dyDescent="0.2">
      <c r="L4278" s="12"/>
      <c r="M4278" s="13"/>
    </row>
    <row r="4279" spans="12:13" x14ac:dyDescent="0.2">
      <c r="L4279" s="12"/>
      <c r="M4279" s="13"/>
    </row>
    <row r="4280" spans="12:13" x14ac:dyDescent="0.2">
      <c r="L4280" s="12"/>
      <c r="M4280" s="13"/>
    </row>
    <row r="4281" spans="12:13" x14ac:dyDescent="0.2">
      <c r="L4281" s="12"/>
      <c r="M4281" s="13"/>
    </row>
    <row r="4282" spans="12:13" x14ac:dyDescent="0.2">
      <c r="L4282" s="12"/>
      <c r="M4282" s="13"/>
    </row>
    <row r="4283" spans="12:13" x14ac:dyDescent="0.2">
      <c r="L4283" s="12"/>
      <c r="M4283" s="13"/>
    </row>
    <row r="4284" spans="12:13" x14ac:dyDescent="0.2">
      <c r="L4284" s="12"/>
      <c r="M4284" s="13"/>
    </row>
    <row r="4285" spans="12:13" x14ac:dyDescent="0.2">
      <c r="L4285" s="12"/>
      <c r="M4285" s="13"/>
    </row>
    <row r="4286" spans="12:13" x14ac:dyDescent="0.2">
      <c r="L4286" s="12"/>
      <c r="M4286" s="13"/>
    </row>
    <row r="4287" spans="12:13" x14ac:dyDescent="0.2">
      <c r="L4287" s="12"/>
      <c r="M4287" s="13"/>
    </row>
    <row r="4288" spans="12:13" x14ac:dyDescent="0.2">
      <c r="L4288" s="12"/>
      <c r="M4288" s="13"/>
    </row>
    <row r="4289" spans="12:13" x14ac:dyDescent="0.2">
      <c r="L4289" s="12"/>
      <c r="M4289" s="13"/>
    </row>
    <row r="4290" spans="12:13" x14ac:dyDescent="0.2">
      <c r="L4290" s="12"/>
      <c r="M4290" s="13"/>
    </row>
    <row r="4291" spans="12:13" x14ac:dyDescent="0.2">
      <c r="L4291" s="12"/>
      <c r="M4291" s="13"/>
    </row>
    <row r="4292" spans="12:13" x14ac:dyDescent="0.2">
      <c r="L4292" s="12"/>
      <c r="M4292" s="13"/>
    </row>
    <row r="4293" spans="12:13" x14ac:dyDescent="0.2">
      <c r="L4293" s="12"/>
      <c r="M4293" s="13"/>
    </row>
    <row r="4294" spans="12:13" x14ac:dyDescent="0.2">
      <c r="L4294" s="12"/>
      <c r="M4294" s="13"/>
    </row>
    <row r="4295" spans="12:13" x14ac:dyDescent="0.2">
      <c r="L4295" s="12"/>
      <c r="M4295" s="13"/>
    </row>
    <row r="4296" spans="12:13" x14ac:dyDescent="0.2">
      <c r="L4296" s="12"/>
      <c r="M4296" s="13"/>
    </row>
    <row r="4297" spans="12:13" x14ac:dyDescent="0.2">
      <c r="L4297" s="12"/>
      <c r="M4297" s="13"/>
    </row>
    <row r="4298" spans="12:13" x14ac:dyDescent="0.2">
      <c r="L4298" s="12"/>
      <c r="M4298" s="13"/>
    </row>
    <row r="4299" spans="12:13" x14ac:dyDescent="0.2">
      <c r="L4299" s="12"/>
      <c r="M4299" s="13"/>
    </row>
    <row r="4300" spans="12:13" x14ac:dyDescent="0.2">
      <c r="L4300" s="12"/>
      <c r="M4300" s="13"/>
    </row>
    <row r="4301" spans="12:13" x14ac:dyDescent="0.2">
      <c r="L4301" s="12"/>
      <c r="M4301" s="13"/>
    </row>
    <row r="4302" spans="12:13" x14ac:dyDescent="0.2">
      <c r="L4302" s="12"/>
      <c r="M4302" s="13"/>
    </row>
    <row r="4303" spans="12:13" x14ac:dyDescent="0.2">
      <c r="L4303" s="12"/>
      <c r="M4303" s="13"/>
    </row>
    <row r="4304" spans="12:13" x14ac:dyDescent="0.2">
      <c r="L4304" s="12"/>
      <c r="M4304" s="13"/>
    </row>
    <row r="4305" spans="12:13" x14ac:dyDescent="0.2">
      <c r="L4305" s="12"/>
      <c r="M4305" s="13"/>
    </row>
    <row r="4306" spans="12:13" x14ac:dyDescent="0.2">
      <c r="L4306" s="12"/>
      <c r="M4306" s="13"/>
    </row>
    <row r="4307" spans="12:13" x14ac:dyDescent="0.2">
      <c r="L4307" s="12"/>
      <c r="M4307" s="13"/>
    </row>
    <row r="4308" spans="12:13" x14ac:dyDescent="0.2">
      <c r="L4308" s="12"/>
      <c r="M4308" s="13"/>
    </row>
    <row r="4309" spans="12:13" x14ac:dyDescent="0.2">
      <c r="L4309" s="12"/>
      <c r="M4309" s="13"/>
    </row>
    <row r="4310" spans="12:13" x14ac:dyDescent="0.2">
      <c r="L4310" s="12"/>
      <c r="M4310" s="13"/>
    </row>
    <row r="4311" spans="12:13" x14ac:dyDescent="0.2">
      <c r="L4311" s="12"/>
      <c r="M4311" s="13"/>
    </row>
    <row r="4312" spans="12:13" x14ac:dyDescent="0.2">
      <c r="L4312" s="12"/>
      <c r="M4312" s="13"/>
    </row>
    <row r="4313" spans="12:13" x14ac:dyDescent="0.2">
      <c r="L4313" s="12"/>
      <c r="M4313" s="13"/>
    </row>
    <row r="4314" spans="12:13" x14ac:dyDescent="0.2">
      <c r="L4314" s="12"/>
      <c r="M4314" s="13"/>
    </row>
    <row r="4315" spans="12:13" x14ac:dyDescent="0.2">
      <c r="L4315" s="12"/>
      <c r="M4315" s="13"/>
    </row>
    <row r="4316" spans="12:13" x14ac:dyDescent="0.2">
      <c r="L4316" s="12"/>
      <c r="M4316" s="13"/>
    </row>
    <row r="4317" spans="12:13" x14ac:dyDescent="0.2">
      <c r="L4317" s="12"/>
      <c r="M4317" s="13"/>
    </row>
    <row r="4318" spans="12:13" x14ac:dyDescent="0.2">
      <c r="L4318" s="12"/>
      <c r="M4318" s="13"/>
    </row>
    <row r="4319" spans="12:13" x14ac:dyDescent="0.2">
      <c r="L4319" s="12"/>
      <c r="M4319" s="13"/>
    </row>
    <row r="4320" spans="12:13" x14ac:dyDescent="0.2">
      <c r="L4320" s="12"/>
      <c r="M4320" s="13"/>
    </row>
    <row r="4321" spans="12:13" x14ac:dyDescent="0.2">
      <c r="L4321" s="12"/>
      <c r="M4321" s="13"/>
    </row>
    <row r="4322" spans="12:13" x14ac:dyDescent="0.2">
      <c r="L4322" s="12"/>
      <c r="M4322" s="13"/>
    </row>
    <row r="4323" spans="12:13" x14ac:dyDescent="0.2">
      <c r="L4323" s="12"/>
      <c r="M4323" s="13"/>
    </row>
    <row r="4324" spans="12:13" x14ac:dyDescent="0.2">
      <c r="L4324" s="12"/>
      <c r="M4324" s="13"/>
    </row>
    <row r="4325" spans="12:13" x14ac:dyDescent="0.2">
      <c r="L4325" s="12"/>
      <c r="M4325" s="13"/>
    </row>
    <row r="4326" spans="12:13" x14ac:dyDescent="0.2">
      <c r="L4326" s="12"/>
      <c r="M4326" s="13"/>
    </row>
    <row r="4327" spans="12:13" x14ac:dyDescent="0.2">
      <c r="L4327" s="12"/>
      <c r="M4327" s="13"/>
    </row>
    <row r="4328" spans="12:13" x14ac:dyDescent="0.2">
      <c r="L4328" s="12"/>
      <c r="M4328" s="13"/>
    </row>
    <row r="4329" spans="12:13" x14ac:dyDescent="0.2">
      <c r="L4329" s="12"/>
      <c r="M4329" s="13"/>
    </row>
    <row r="4330" spans="12:13" x14ac:dyDescent="0.2">
      <c r="L4330" s="12"/>
      <c r="M4330" s="13"/>
    </row>
    <row r="4331" spans="12:13" x14ac:dyDescent="0.2">
      <c r="L4331" s="12"/>
      <c r="M4331" s="13"/>
    </row>
    <row r="4332" spans="12:13" x14ac:dyDescent="0.2">
      <c r="L4332" s="12"/>
      <c r="M4332" s="13"/>
    </row>
    <row r="4333" spans="12:13" x14ac:dyDescent="0.2">
      <c r="L4333" s="12"/>
      <c r="M4333" s="13"/>
    </row>
    <row r="4334" spans="12:13" x14ac:dyDescent="0.2">
      <c r="L4334" s="12"/>
      <c r="M4334" s="13"/>
    </row>
    <row r="4335" spans="12:13" x14ac:dyDescent="0.2">
      <c r="L4335" s="12"/>
      <c r="M4335" s="13"/>
    </row>
    <row r="4336" spans="12:13" x14ac:dyDescent="0.2">
      <c r="L4336" s="12"/>
      <c r="M4336" s="13"/>
    </row>
    <row r="4337" spans="12:13" x14ac:dyDescent="0.2">
      <c r="L4337" s="12"/>
      <c r="M4337" s="13"/>
    </row>
    <row r="4338" spans="12:13" x14ac:dyDescent="0.2">
      <c r="L4338" s="12"/>
      <c r="M4338" s="13"/>
    </row>
    <row r="4339" spans="12:13" x14ac:dyDescent="0.2">
      <c r="L4339" s="12"/>
      <c r="M4339" s="13"/>
    </row>
    <row r="4340" spans="12:13" x14ac:dyDescent="0.2">
      <c r="L4340" s="12"/>
      <c r="M4340" s="13"/>
    </row>
    <row r="4341" spans="12:13" x14ac:dyDescent="0.2">
      <c r="L4341" s="12"/>
      <c r="M4341" s="13"/>
    </row>
    <row r="4342" spans="12:13" x14ac:dyDescent="0.2">
      <c r="L4342" s="12"/>
      <c r="M4342" s="13"/>
    </row>
    <row r="4343" spans="12:13" x14ac:dyDescent="0.2">
      <c r="L4343" s="12"/>
      <c r="M4343" s="13"/>
    </row>
    <row r="4344" spans="12:13" x14ac:dyDescent="0.2">
      <c r="L4344" s="12"/>
      <c r="M4344" s="13"/>
    </row>
    <row r="4345" spans="12:13" x14ac:dyDescent="0.2">
      <c r="L4345" s="12"/>
      <c r="M4345" s="13"/>
    </row>
    <row r="4346" spans="12:13" x14ac:dyDescent="0.2">
      <c r="L4346" s="12"/>
      <c r="M4346" s="13"/>
    </row>
    <row r="4347" spans="12:13" x14ac:dyDescent="0.2">
      <c r="L4347" s="12"/>
      <c r="M4347" s="13"/>
    </row>
    <row r="4348" spans="12:13" x14ac:dyDescent="0.2">
      <c r="L4348" s="12"/>
      <c r="M4348" s="13"/>
    </row>
    <row r="4349" spans="12:13" x14ac:dyDescent="0.2">
      <c r="L4349" s="12"/>
      <c r="M4349" s="13"/>
    </row>
    <row r="4350" spans="12:13" x14ac:dyDescent="0.2">
      <c r="L4350" s="12"/>
      <c r="M4350" s="13"/>
    </row>
    <row r="4351" spans="12:13" x14ac:dyDescent="0.2">
      <c r="L4351" s="12"/>
      <c r="M4351" s="13"/>
    </row>
    <row r="4352" spans="12:13" x14ac:dyDescent="0.2">
      <c r="L4352" s="12"/>
      <c r="M4352" s="13"/>
    </row>
    <row r="4353" spans="12:13" x14ac:dyDescent="0.2">
      <c r="L4353" s="12"/>
      <c r="M4353" s="13"/>
    </row>
    <row r="4354" spans="12:13" x14ac:dyDescent="0.2">
      <c r="L4354" s="17"/>
      <c r="M4354" s="18"/>
    </row>
    <row r="4355" spans="12:13" x14ac:dyDescent="0.2">
      <c r="L4355" s="12"/>
      <c r="M4355" s="13"/>
    </row>
    <row r="4356" spans="12:13" x14ac:dyDescent="0.2">
      <c r="L4356" s="12"/>
      <c r="M4356" s="13"/>
    </row>
    <row r="4357" spans="12:13" x14ac:dyDescent="0.2">
      <c r="L4357" s="12"/>
      <c r="M4357" s="13"/>
    </row>
    <row r="4358" spans="12:13" x14ac:dyDescent="0.2">
      <c r="L4358" s="12"/>
      <c r="M4358" s="13"/>
    </row>
    <row r="4359" spans="12:13" x14ac:dyDescent="0.2">
      <c r="L4359" s="12"/>
      <c r="M4359" s="13"/>
    </row>
    <row r="4360" spans="12:13" x14ac:dyDescent="0.2">
      <c r="L4360" s="12"/>
      <c r="M4360" s="13"/>
    </row>
    <row r="4361" spans="12:13" x14ac:dyDescent="0.2">
      <c r="L4361" s="12"/>
      <c r="M4361" s="13"/>
    </row>
    <row r="4362" spans="12:13" x14ac:dyDescent="0.2">
      <c r="L4362" s="12"/>
      <c r="M4362" s="13"/>
    </row>
    <row r="4363" spans="12:13" x14ac:dyDescent="0.2">
      <c r="L4363" s="12"/>
      <c r="M4363" s="13"/>
    </row>
    <row r="4364" spans="12:13" x14ac:dyDescent="0.2">
      <c r="L4364" s="12"/>
      <c r="M4364" s="13"/>
    </row>
    <row r="4365" spans="12:13" x14ac:dyDescent="0.2">
      <c r="L4365" s="12"/>
      <c r="M4365" s="13"/>
    </row>
    <row r="4366" spans="12:13" x14ac:dyDescent="0.2">
      <c r="L4366" s="12"/>
      <c r="M4366" s="13"/>
    </row>
    <row r="4367" spans="12:13" x14ac:dyDescent="0.2">
      <c r="L4367" s="12"/>
      <c r="M4367" s="13"/>
    </row>
    <row r="4368" spans="12:13" x14ac:dyDescent="0.2">
      <c r="L4368" s="12"/>
      <c r="M4368" s="13"/>
    </row>
    <row r="4369" spans="12:13" x14ac:dyDescent="0.2">
      <c r="L4369" s="12"/>
      <c r="M4369" s="13"/>
    </row>
    <row r="4370" spans="12:13" x14ac:dyDescent="0.2">
      <c r="L4370" s="12"/>
      <c r="M4370" s="13"/>
    </row>
    <row r="4371" spans="12:13" x14ac:dyDescent="0.2">
      <c r="L4371" s="12"/>
      <c r="M4371" s="13"/>
    </row>
    <row r="4372" spans="12:13" x14ac:dyDescent="0.2">
      <c r="L4372" s="12"/>
      <c r="M4372" s="13"/>
    </row>
    <row r="4373" spans="12:13" x14ac:dyDescent="0.2">
      <c r="L4373" s="12"/>
      <c r="M4373" s="13"/>
    </row>
    <row r="4374" spans="12:13" x14ac:dyDescent="0.2">
      <c r="L4374" s="12"/>
      <c r="M4374" s="13"/>
    </row>
    <row r="4375" spans="12:13" x14ac:dyDescent="0.2">
      <c r="L4375" s="12"/>
      <c r="M4375" s="13"/>
    </row>
    <row r="4376" spans="12:13" x14ac:dyDescent="0.2">
      <c r="L4376" s="12"/>
      <c r="M4376" s="13"/>
    </row>
    <row r="4377" spans="12:13" x14ac:dyDescent="0.2">
      <c r="L4377" s="12"/>
      <c r="M4377" s="13"/>
    </row>
    <row r="4378" spans="12:13" x14ac:dyDescent="0.2">
      <c r="L4378" s="12"/>
      <c r="M4378" s="13"/>
    </row>
    <row r="4379" spans="12:13" x14ac:dyDescent="0.2">
      <c r="L4379" s="12"/>
      <c r="M4379" s="13"/>
    </row>
    <row r="4380" spans="12:13" x14ac:dyDescent="0.2">
      <c r="L4380" s="12"/>
      <c r="M4380" s="13"/>
    </row>
    <row r="4381" spans="12:13" x14ac:dyDescent="0.2">
      <c r="L4381" s="12"/>
      <c r="M4381" s="13"/>
    </row>
    <row r="4382" spans="12:13" x14ac:dyDescent="0.2">
      <c r="L4382" s="12"/>
      <c r="M4382" s="13"/>
    </row>
    <row r="4383" spans="12:13" x14ac:dyDescent="0.2">
      <c r="L4383" s="12"/>
      <c r="M4383" s="13"/>
    </row>
    <row r="4384" spans="12:13" x14ac:dyDescent="0.2">
      <c r="L4384" s="12"/>
      <c r="M4384" s="13"/>
    </row>
    <row r="4385" spans="12:13" x14ac:dyDescent="0.2">
      <c r="L4385" s="12"/>
      <c r="M4385" s="13"/>
    </row>
    <row r="4386" spans="12:13" x14ac:dyDescent="0.2">
      <c r="L4386" s="12"/>
      <c r="M4386" s="13"/>
    </row>
    <row r="4387" spans="12:13" x14ac:dyDescent="0.2">
      <c r="L4387" s="12"/>
      <c r="M4387" s="13"/>
    </row>
    <row r="4388" spans="12:13" x14ac:dyDescent="0.2">
      <c r="L4388" s="12"/>
      <c r="M4388" s="13"/>
    </row>
    <row r="4389" spans="12:13" x14ac:dyDescent="0.2">
      <c r="L4389" s="12"/>
      <c r="M4389" s="13"/>
    </row>
    <row r="4390" spans="12:13" x14ac:dyDescent="0.2">
      <c r="L4390" s="12"/>
      <c r="M4390" s="13"/>
    </row>
    <row r="4391" spans="12:13" x14ac:dyDescent="0.2">
      <c r="L4391" s="12"/>
      <c r="M4391" s="13"/>
    </row>
    <row r="4392" spans="12:13" x14ac:dyDescent="0.2">
      <c r="L4392" s="12"/>
      <c r="M4392" s="13"/>
    </row>
    <row r="4393" spans="12:13" x14ac:dyDescent="0.2">
      <c r="L4393" s="12"/>
      <c r="M4393" s="13"/>
    </row>
    <row r="4394" spans="12:13" x14ac:dyDescent="0.2">
      <c r="L4394" s="12"/>
      <c r="M4394" s="13"/>
    </row>
    <row r="4395" spans="12:13" x14ac:dyDescent="0.2">
      <c r="L4395" s="12"/>
      <c r="M4395" s="13"/>
    </row>
    <row r="4396" spans="12:13" x14ac:dyDescent="0.2">
      <c r="L4396" s="12"/>
      <c r="M4396" s="13"/>
    </row>
    <row r="4397" spans="12:13" x14ac:dyDescent="0.2">
      <c r="L4397" s="12"/>
      <c r="M4397" s="13"/>
    </row>
    <row r="4398" spans="12:13" x14ac:dyDescent="0.2">
      <c r="L4398" s="12"/>
      <c r="M4398" s="13"/>
    </row>
    <row r="4399" spans="12:13" x14ac:dyDescent="0.2">
      <c r="L4399" s="12"/>
      <c r="M4399" s="13"/>
    </row>
    <row r="4400" spans="12:13" x14ac:dyDescent="0.2">
      <c r="L4400" s="12"/>
      <c r="M4400" s="13"/>
    </row>
    <row r="4401" spans="12:13" x14ac:dyDescent="0.2">
      <c r="L4401" s="12"/>
      <c r="M4401" s="13"/>
    </row>
    <row r="4402" spans="12:13" x14ac:dyDescent="0.2">
      <c r="L4402" s="12"/>
      <c r="M4402" s="13"/>
    </row>
    <row r="4403" spans="12:13" x14ac:dyDescent="0.2">
      <c r="L4403" s="12"/>
      <c r="M4403" s="13"/>
    </row>
    <row r="4404" spans="12:13" x14ac:dyDescent="0.2">
      <c r="L4404" s="12"/>
      <c r="M4404" s="13"/>
    </row>
    <row r="4405" spans="12:13" x14ac:dyDescent="0.2">
      <c r="L4405" s="12"/>
      <c r="M4405" s="13"/>
    </row>
    <row r="4406" spans="12:13" x14ac:dyDescent="0.2">
      <c r="L4406" s="12"/>
      <c r="M4406" s="13"/>
    </row>
    <row r="4407" spans="12:13" x14ac:dyDescent="0.2">
      <c r="L4407" s="12"/>
      <c r="M4407" s="13"/>
    </row>
    <row r="4408" spans="12:13" x14ac:dyDescent="0.2">
      <c r="L4408" s="12"/>
      <c r="M4408" s="13"/>
    </row>
    <row r="4409" spans="12:13" x14ac:dyDescent="0.2">
      <c r="L4409" s="12"/>
      <c r="M4409" s="13"/>
    </row>
    <row r="4410" spans="12:13" x14ac:dyDescent="0.2">
      <c r="L4410" s="12"/>
      <c r="M4410" s="13"/>
    </row>
    <row r="4411" spans="12:13" x14ac:dyDescent="0.2">
      <c r="L4411" s="12"/>
      <c r="M4411" s="13"/>
    </row>
    <row r="4412" spans="12:13" x14ac:dyDescent="0.2">
      <c r="L4412" s="12"/>
      <c r="M4412" s="13"/>
    </row>
    <row r="4413" spans="12:13" x14ac:dyDescent="0.2">
      <c r="L4413" s="12"/>
      <c r="M4413" s="13"/>
    </row>
    <row r="4414" spans="12:13" x14ac:dyDescent="0.2">
      <c r="L4414" s="12"/>
      <c r="M4414" s="13"/>
    </row>
    <row r="4415" spans="12:13" x14ac:dyDescent="0.2">
      <c r="L4415" s="12"/>
      <c r="M4415" s="13"/>
    </row>
    <row r="4416" spans="12:13" x14ac:dyDescent="0.2">
      <c r="L4416" s="12"/>
      <c r="M4416" s="13"/>
    </row>
    <row r="4417" spans="12:13" x14ac:dyDescent="0.2">
      <c r="L4417" s="12"/>
      <c r="M4417" s="13"/>
    </row>
    <row r="4418" spans="12:13" x14ac:dyDescent="0.2">
      <c r="L4418" s="12"/>
      <c r="M4418" s="13"/>
    </row>
    <row r="4419" spans="12:13" x14ac:dyDescent="0.2">
      <c r="L4419" s="12"/>
      <c r="M4419" s="13"/>
    </row>
    <row r="4420" spans="12:13" x14ac:dyDescent="0.2">
      <c r="L4420" s="12"/>
      <c r="M4420" s="13"/>
    </row>
    <row r="4421" spans="12:13" x14ac:dyDescent="0.2">
      <c r="L4421" s="12"/>
      <c r="M4421" s="13"/>
    </row>
    <row r="4422" spans="12:13" x14ac:dyDescent="0.2">
      <c r="L4422" s="12"/>
      <c r="M4422" s="13"/>
    </row>
    <row r="4423" spans="12:13" x14ac:dyDescent="0.2">
      <c r="L4423" s="12"/>
      <c r="M4423" s="13"/>
    </row>
    <row r="4424" spans="12:13" x14ac:dyDescent="0.2">
      <c r="L4424" s="12"/>
      <c r="M4424" s="13"/>
    </row>
    <row r="4425" spans="12:13" x14ac:dyDescent="0.2">
      <c r="L4425" s="12"/>
      <c r="M4425" s="13"/>
    </row>
    <row r="4426" spans="12:13" x14ac:dyDescent="0.2">
      <c r="L4426" s="12"/>
      <c r="M4426" s="13"/>
    </row>
    <row r="4427" spans="12:13" x14ac:dyDescent="0.2">
      <c r="L4427" s="12"/>
      <c r="M4427" s="13"/>
    </row>
    <row r="4428" spans="12:13" x14ac:dyDescent="0.2">
      <c r="L4428" s="12"/>
      <c r="M4428" s="13"/>
    </row>
    <row r="4429" spans="12:13" x14ac:dyDescent="0.2">
      <c r="L4429" s="12"/>
      <c r="M4429" s="13"/>
    </row>
    <row r="4430" spans="12:13" x14ac:dyDescent="0.2">
      <c r="L4430" s="12"/>
      <c r="M4430" s="13"/>
    </row>
    <row r="4431" spans="12:13" x14ac:dyDescent="0.2">
      <c r="L4431" s="12"/>
      <c r="M4431" s="13"/>
    </row>
    <row r="4432" spans="12:13" x14ac:dyDescent="0.2">
      <c r="L4432" s="12"/>
      <c r="M4432" s="13"/>
    </row>
    <row r="4433" spans="12:13" x14ac:dyDescent="0.2">
      <c r="L4433" s="12"/>
      <c r="M4433" s="13"/>
    </row>
    <row r="4434" spans="12:13" x14ac:dyDescent="0.2">
      <c r="L4434" s="12"/>
      <c r="M4434" s="13"/>
    </row>
    <row r="4435" spans="12:13" x14ac:dyDescent="0.2">
      <c r="L4435" s="12"/>
      <c r="M4435" s="13"/>
    </row>
    <row r="4436" spans="12:13" x14ac:dyDescent="0.2">
      <c r="L4436" s="12"/>
      <c r="M4436" s="13"/>
    </row>
    <row r="4437" spans="12:13" x14ac:dyDescent="0.2">
      <c r="L4437" s="12"/>
      <c r="M4437" s="13"/>
    </row>
    <row r="4438" spans="12:13" x14ac:dyDescent="0.2">
      <c r="L4438" s="12"/>
      <c r="M4438" s="13"/>
    </row>
    <row r="4439" spans="12:13" x14ac:dyDescent="0.2">
      <c r="L4439" s="12"/>
      <c r="M4439" s="13"/>
    </row>
    <row r="4440" spans="12:13" x14ac:dyDescent="0.2">
      <c r="L4440" s="12"/>
      <c r="M4440" s="13"/>
    </row>
    <row r="4441" spans="12:13" x14ac:dyDescent="0.2">
      <c r="L4441" s="12"/>
      <c r="M4441" s="13"/>
    </row>
    <row r="4442" spans="12:13" x14ac:dyDescent="0.2">
      <c r="L4442" s="12"/>
      <c r="M4442" s="13"/>
    </row>
    <row r="4443" spans="12:13" x14ac:dyDescent="0.2">
      <c r="L4443" s="12"/>
      <c r="M4443" s="13"/>
    </row>
    <row r="4444" spans="12:13" x14ac:dyDescent="0.2">
      <c r="L4444" s="12"/>
      <c r="M4444" s="13"/>
    </row>
    <row r="4445" spans="12:13" x14ac:dyDescent="0.2">
      <c r="L4445" s="12"/>
      <c r="M4445" s="13"/>
    </row>
    <row r="4446" spans="12:13" x14ac:dyDescent="0.2">
      <c r="L4446" s="12"/>
      <c r="M4446" s="13"/>
    </row>
    <row r="4447" spans="12:13" x14ac:dyDescent="0.2">
      <c r="L4447" s="12"/>
      <c r="M4447" s="13"/>
    </row>
    <row r="4448" spans="12:13" x14ac:dyDescent="0.2">
      <c r="L4448" s="12"/>
      <c r="M4448" s="13"/>
    </row>
    <row r="4449" spans="12:13" x14ac:dyDescent="0.2">
      <c r="L4449" s="12"/>
      <c r="M4449" s="13"/>
    </row>
    <row r="4450" spans="12:13" x14ac:dyDescent="0.2">
      <c r="L4450" s="12"/>
      <c r="M4450" s="13"/>
    </row>
    <row r="4451" spans="12:13" x14ac:dyDescent="0.2">
      <c r="L4451" s="12"/>
      <c r="M4451" s="13"/>
    </row>
    <row r="4452" spans="12:13" x14ac:dyDescent="0.2">
      <c r="L4452" s="12"/>
      <c r="M4452" s="13"/>
    </row>
    <row r="4453" spans="12:13" x14ac:dyDescent="0.2">
      <c r="L4453" s="12"/>
      <c r="M4453" s="13"/>
    </row>
    <row r="4454" spans="12:13" x14ac:dyDescent="0.2">
      <c r="L4454" s="12"/>
      <c r="M4454" s="13"/>
    </row>
    <row r="4455" spans="12:13" x14ac:dyDescent="0.2">
      <c r="L4455" s="12"/>
      <c r="M4455" s="13"/>
    </row>
    <row r="4456" spans="12:13" x14ac:dyDescent="0.2">
      <c r="L4456" s="12"/>
      <c r="M4456" s="13"/>
    </row>
    <row r="4457" spans="12:13" x14ac:dyDescent="0.2">
      <c r="L4457" s="12"/>
      <c r="M4457" s="13"/>
    </row>
    <row r="4458" spans="12:13" x14ac:dyDescent="0.2">
      <c r="L4458" s="12"/>
      <c r="M4458" s="13"/>
    </row>
    <row r="4459" spans="12:13" x14ac:dyDescent="0.2">
      <c r="L4459" s="12"/>
      <c r="M4459" s="13"/>
    </row>
    <row r="4460" spans="12:13" x14ac:dyDescent="0.2">
      <c r="L4460" s="12"/>
      <c r="M4460" s="13"/>
    </row>
    <row r="4461" spans="12:13" x14ac:dyDescent="0.2">
      <c r="L4461" s="12"/>
      <c r="M4461" s="13"/>
    </row>
    <row r="4462" spans="12:13" x14ac:dyDescent="0.2">
      <c r="L4462" s="12"/>
      <c r="M4462" s="13"/>
    </row>
    <row r="4463" spans="12:13" x14ac:dyDescent="0.2">
      <c r="L4463" s="12"/>
      <c r="M4463" s="13"/>
    </row>
    <row r="4464" spans="12:13" x14ac:dyDescent="0.2">
      <c r="L4464" s="12"/>
      <c r="M4464" s="13"/>
    </row>
    <row r="4465" spans="12:13" x14ac:dyDescent="0.2">
      <c r="L4465" s="12"/>
      <c r="M4465" s="13"/>
    </row>
    <row r="4466" spans="12:13" x14ac:dyDescent="0.2">
      <c r="L4466" s="12"/>
      <c r="M4466" s="13"/>
    </row>
    <row r="4467" spans="12:13" x14ac:dyDescent="0.2">
      <c r="L4467" s="12"/>
      <c r="M4467" s="13"/>
    </row>
    <row r="4468" spans="12:13" x14ac:dyDescent="0.2">
      <c r="L4468" s="12"/>
      <c r="M4468" s="13"/>
    </row>
    <row r="4469" spans="12:13" x14ac:dyDescent="0.2">
      <c r="L4469" s="12"/>
      <c r="M4469" s="13"/>
    </row>
    <row r="4470" spans="12:13" x14ac:dyDescent="0.2">
      <c r="L4470" s="12"/>
      <c r="M4470" s="13"/>
    </row>
    <row r="4471" spans="12:13" x14ac:dyDescent="0.2">
      <c r="L4471" s="12"/>
      <c r="M4471" s="13"/>
    </row>
    <row r="4472" spans="12:13" x14ac:dyDescent="0.2">
      <c r="L4472" s="12"/>
      <c r="M4472" s="13"/>
    </row>
    <row r="4473" spans="12:13" x14ac:dyDescent="0.2">
      <c r="L4473" s="12"/>
      <c r="M4473" s="13"/>
    </row>
    <row r="4474" spans="12:13" x14ac:dyDescent="0.2">
      <c r="L4474" s="12"/>
      <c r="M4474" s="13"/>
    </row>
    <row r="4475" spans="12:13" x14ac:dyDescent="0.2">
      <c r="L4475" s="12"/>
      <c r="M4475" s="13"/>
    </row>
    <row r="4476" spans="12:13" x14ac:dyDescent="0.2">
      <c r="L4476" s="12"/>
      <c r="M4476" s="13"/>
    </row>
    <row r="4477" spans="12:13" x14ac:dyDescent="0.2">
      <c r="L4477" s="12"/>
      <c r="M4477" s="13"/>
    </row>
    <row r="4478" spans="12:13" x14ac:dyDescent="0.2">
      <c r="L4478" s="12"/>
      <c r="M4478" s="13"/>
    </row>
    <row r="4479" spans="12:13" x14ac:dyDescent="0.2">
      <c r="L4479" s="12"/>
      <c r="M4479" s="13"/>
    </row>
    <row r="4480" spans="12:13" x14ac:dyDescent="0.2">
      <c r="L4480" s="12"/>
      <c r="M4480" s="13"/>
    </row>
    <row r="4481" spans="12:13" x14ac:dyDescent="0.2">
      <c r="L4481" s="12"/>
      <c r="M4481" s="13"/>
    </row>
    <row r="4482" spans="12:13" x14ac:dyDescent="0.2">
      <c r="L4482" s="12"/>
      <c r="M4482" s="13"/>
    </row>
    <row r="4483" spans="12:13" x14ac:dyDescent="0.2">
      <c r="L4483" s="12"/>
      <c r="M4483" s="13"/>
    </row>
    <row r="4484" spans="12:13" x14ac:dyDescent="0.2">
      <c r="L4484" s="12"/>
      <c r="M4484" s="13"/>
    </row>
    <row r="4485" spans="12:13" x14ac:dyDescent="0.2">
      <c r="L4485" s="12"/>
      <c r="M4485" s="13"/>
    </row>
    <row r="4486" spans="12:13" x14ac:dyDescent="0.2">
      <c r="L4486" s="12"/>
      <c r="M4486" s="13"/>
    </row>
    <row r="4487" spans="12:13" x14ac:dyDescent="0.2">
      <c r="L4487" s="12"/>
      <c r="M4487" s="13"/>
    </row>
    <row r="4488" spans="12:13" x14ac:dyDescent="0.2">
      <c r="L4488" s="12"/>
      <c r="M4488" s="13"/>
    </row>
    <row r="4489" spans="12:13" x14ac:dyDescent="0.2">
      <c r="L4489" s="12"/>
      <c r="M4489" s="13"/>
    </row>
    <row r="4490" spans="12:13" x14ac:dyDescent="0.2">
      <c r="L4490" s="12"/>
      <c r="M4490" s="13"/>
    </row>
    <row r="4491" spans="12:13" x14ac:dyDescent="0.2">
      <c r="L4491" s="12"/>
      <c r="M4491" s="13"/>
    </row>
    <row r="4492" spans="12:13" x14ac:dyDescent="0.2">
      <c r="L4492" s="12"/>
      <c r="M4492" s="13"/>
    </row>
    <row r="4493" spans="12:13" x14ac:dyDescent="0.2">
      <c r="L4493" s="12"/>
      <c r="M4493" s="13"/>
    </row>
    <row r="4494" spans="12:13" x14ac:dyDescent="0.2">
      <c r="L4494" s="12"/>
      <c r="M4494" s="13"/>
    </row>
    <row r="4495" spans="12:13" x14ac:dyDescent="0.2">
      <c r="L4495" s="12"/>
      <c r="M4495" s="13"/>
    </row>
    <row r="4496" spans="12:13" x14ac:dyDescent="0.2">
      <c r="L4496" s="12"/>
      <c r="M4496" s="13"/>
    </row>
    <row r="4497" spans="12:13" x14ac:dyDescent="0.2">
      <c r="L4497" s="12"/>
      <c r="M4497" s="13"/>
    </row>
    <row r="4498" spans="12:13" x14ac:dyDescent="0.2">
      <c r="L4498" s="12"/>
      <c r="M4498" s="13"/>
    </row>
    <row r="4499" spans="12:13" x14ac:dyDescent="0.2">
      <c r="L4499" s="12"/>
      <c r="M4499" s="13"/>
    </row>
    <row r="4500" spans="12:13" x14ac:dyDescent="0.2">
      <c r="L4500" s="12"/>
      <c r="M4500" s="13"/>
    </row>
    <row r="4501" spans="12:13" x14ac:dyDescent="0.2">
      <c r="L4501" s="12"/>
      <c r="M4501" s="13"/>
    </row>
    <row r="4502" spans="12:13" x14ac:dyDescent="0.2">
      <c r="L4502" s="12"/>
      <c r="M4502" s="13"/>
    </row>
    <row r="4503" spans="12:13" x14ac:dyDescent="0.2">
      <c r="L4503" s="12"/>
      <c r="M4503" s="13"/>
    </row>
    <row r="4504" spans="12:13" x14ac:dyDescent="0.2">
      <c r="L4504" s="12"/>
      <c r="M4504" s="13"/>
    </row>
    <row r="4505" spans="12:13" x14ac:dyDescent="0.2">
      <c r="L4505" s="12"/>
      <c r="M4505" s="13"/>
    </row>
    <row r="4506" spans="12:13" x14ac:dyDescent="0.2">
      <c r="L4506" s="12"/>
      <c r="M4506" s="13"/>
    </row>
    <row r="4507" spans="12:13" x14ac:dyDescent="0.2">
      <c r="L4507" s="12"/>
      <c r="M4507" s="13"/>
    </row>
    <row r="4508" spans="12:13" x14ac:dyDescent="0.2">
      <c r="L4508" s="12"/>
      <c r="M4508" s="13"/>
    </row>
    <row r="4509" spans="12:13" x14ac:dyDescent="0.2">
      <c r="L4509" s="12"/>
      <c r="M4509" s="13"/>
    </row>
    <row r="4510" spans="12:13" x14ac:dyDescent="0.2">
      <c r="L4510" s="12"/>
      <c r="M4510" s="13"/>
    </row>
    <row r="4511" spans="12:13" x14ac:dyDescent="0.2">
      <c r="L4511" s="12"/>
      <c r="M4511" s="13"/>
    </row>
    <row r="4512" spans="12:13" x14ac:dyDescent="0.2">
      <c r="L4512" s="12"/>
      <c r="M4512" s="13"/>
    </row>
    <row r="4513" spans="12:13" x14ac:dyDescent="0.2">
      <c r="L4513" s="12"/>
      <c r="M4513" s="13"/>
    </row>
    <row r="4514" spans="12:13" x14ac:dyDescent="0.2">
      <c r="L4514" s="12"/>
      <c r="M4514" s="13"/>
    </row>
    <row r="4515" spans="12:13" x14ac:dyDescent="0.2">
      <c r="L4515" s="12"/>
      <c r="M4515" s="13"/>
    </row>
    <row r="4516" spans="12:13" x14ac:dyDescent="0.2">
      <c r="L4516" s="12"/>
      <c r="M4516" s="13"/>
    </row>
    <row r="4517" spans="12:13" x14ac:dyDescent="0.2">
      <c r="L4517" s="12"/>
      <c r="M4517" s="13"/>
    </row>
    <row r="4518" spans="12:13" x14ac:dyDescent="0.2">
      <c r="L4518" s="12"/>
      <c r="M4518" s="13"/>
    </row>
    <row r="4519" spans="12:13" x14ac:dyDescent="0.2">
      <c r="L4519" s="12"/>
      <c r="M4519" s="13"/>
    </row>
    <row r="4520" spans="12:13" x14ac:dyDescent="0.2">
      <c r="L4520" s="12"/>
      <c r="M4520" s="13"/>
    </row>
    <row r="4521" spans="12:13" x14ac:dyDescent="0.2">
      <c r="L4521" s="12"/>
      <c r="M4521" s="13"/>
    </row>
    <row r="4522" spans="12:13" x14ac:dyDescent="0.2">
      <c r="L4522" s="12"/>
      <c r="M4522" s="13"/>
    </row>
    <row r="4523" spans="12:13" x14ac:dyDescent="0.2">
      <c r="L4523" s="12"/>
      <c r="M4523" s="13"/>
    </row>
    <row r="4524" spans="12:13" x14ac:dyDescent="0.2">
      <c r="L4524" s="12"/>
      <c r="M4524" s="13"/>
    </row>
    <row r="4525" spans="12:13" x14ac:dyDescent="0.2">
      <c r="L4525" s="12"/>
      <c r="M4525" s="13"/>
    </row>
    <row r="4526" spans="12:13" x14ac:dyDescent="0.2">
      <c r="L4526" s="12"/>
      <c r="M4526" s="13"/>
    </row>
    <row r="4527" spans="12:13" x14ac:dyDescent="0.2">
      <c r="L4527" s="12"/>
      <c r="M4527" s="13"/>
    </row>
    <row r="4528" spans="12:13" x14ac:dyDescent="0.2">
      <c r="L4528" s="12"/>
      <c r="M4528" s="13"/>
    </row>
    <row r="4529" spans="12:13" x14ac:dyDescent="0.2">
      <c r="L4529" s="12"/>
      <c r="M4529" s="13"/>
    </row>
    <row r="4530" spans="12:13" x14ac:dyDescent="0.2">
      <c r="L4530" s="12"/>
      <c r="M4530" s="13"/>
    </row>
    <row r="4531" spans="12:13" x14ac:dyDescent="0.2">
      <c r="L4531" s="12"/>
      <c r="M4531" s="13"/>
    </row>
    <row r="4532" spans="12:13" x14ac:dyDescent="0.2">
      <c r="L4532" s="12"/>
      <c r="M4532" s="13"/>
    </row>
    <row r="4533" spans="12:13" x14ac:dyDescent="0.2">
      <c r="L4533" s="12"/>
      <c r="M4533" s="13"/>
    </row>
    <row r="4534" spans="12:13" x14ac:dyDescent="0.2">
      <c r="L4534" s="12"/>
      <c r="M4534" s="13"/>
    </row>
    <row r="4535" spans="12:13" x14ac:dyDescent="0.2">
      <c r="L4535" s="12"/>
      <c r="M4535" s="13"/>
    </row>
    <row r="4536" spans="12:13" x14ac:dyDescent="0.2">
      <c r="L4536" s="12"/>
      <c r="M4536" s="13"/>
    </row>
    <row r="4537" spans="12:13" x14ac:dyDescent="0.2">
      <c r="L4537" s="12"/>
      <c r="M4537" s="13"/>
    </row>
    <row r="4538" spans="12:13" x14ac:dyDescent="0.2">
      <c r="L4538" s="12"/>
      <c r="M4538" s="13"/>
    </row>
    <row r="4539" spans="12:13" x14ac:dyDescent="0.2">
      <c r="L4539" s="12"/>
      <c r="M4539" s="13"/>
    </row>
    <row r="4540" spans="12:13" x14ac:dyDescent="0.2">
      <c r="L4540" s="12"/>
      <c r="M4540" s="13"/>
    </row>
    <row r="4541" spans="12:13" x14ac:dyDescent="0.2">
      <c r="L4541" s="12"/>
      <c r="M4541" s="13"/>
    </row>
    <row r="4542" spans="12:13" x14ac:dyDescent="0.2">
      <c r="L4542" s="12"/>
      <c r="M4542" s="13"/>
    </row>
    <row r="4543" spans="12:13" x14ac:dyDescent="0.2">
      <c r="L4543" s="12"/>
      <c r="M4543" s="13"/>
    </row>
    <row r="4544" spans="12:13" x14ac:dyDescent="0.2">
      <c r="L4544" s="12"/>
      <c r="M4544" s="13"/>
    </row>
    <row r="4545" spans="12:13" x14ac:dyDescent="0.2">
      <c r="L4545" s="12"/>
      <c r="M4545" s="13"/>
    </row>
    <row r="4546" spans="12:13" x14ac:dyDescent="0.2">
      <c r="L4546" s="12"/>
      <c r="M4546" s="13"/>
    </row>
    <row r="4547" spans="12:13" x14ac:dyDescent="0.2">
      <c r="L4547" s="12"/>
      <c r="M4547" s="13"/>
    </row>
    <row r="4548" spans="12:13" x14ac:dyDescent="0.2">
      <c r="L4548" s="12"/>
      <c r="M4548" s="13"/>
    </row>
    <row r="4549" spans="12:13" x14ac:dyDescent="0.2">
      <c r="L4549" s="12"/>
      <c r="M4549" s="13"/>
    </row>
    <row r="4550" spans="12:13" x14ac:dyDescent="0.2">
      <c r="L4550" s="12"/>
      <c r="M4550" s="13"/>
    </row>
    <row r="4551" spans="12:13" x14ac:dyDescent="0.2">
      <c r="L4551" s="12"/>
      <c r="M4551" s="13"/>
    </row>
    <row r="4552" spans="12:13" x14ac:dyDescent="0.2">
      <c r="L4552" s="12"/>
      <c r="M4552" s="13"/>
    </row>
    <row r="4553" spans="12:13" x14ac:dyDescent="0.2">
      <c r="L4553" s="12"/>
      <c r="M4553" s="13"/>
    </row>
    <row r="4554" spans="12:13" x14ac:dyDescent="0.2">
      <c r="L4554" s="12"/>
      <c r="M4554" s="13"/>
    </row>
    <row r="4555" spans="12:13" x14ac:dyDescent="0.2">
      <c r="L4555" s="12"/>
      <c r="M4555" s="13"/>
    </row>
    <row r="4556" spans="12:13" x14ac:dyDescent="0.2">
      <c r="L4556" s="12"/>
      <c r="M4556" s="13"/>
    </row>
    <row r="4557" spans="12:13" x14ac:dyDescent="0.2">
      <c r="L4557" s="12"/>
      <c r="M4557" s="13"/>
    </row>
    <row r="4558" spans="12:13" x14ac:dyDescent="0.2">
      <c r="L4558" s="12"/>
      <c r="M4558" s="13"/>
    </row>
    <row r="4559" spans="12:13" x14ac:dyDescent="0.2">
      <c r="L4559" s="12"/>
      <c r="M4559" s="13"/>
    </row>
    <row r="4560" spans="12:13" x14ac:dyDescent="0.2">
      <c r="L4560" s="12"/>
      <c r="M4560" s="13"/>
    </row>
    <row r="4561" spans="12:13" x14ac:dyDescent="0.2">
      <c r="L4561" s="12"/>
      <c r="M4561" s="13"/>
    </row>
    <row r="4562" spans="12:13" x14ac:dyDescent="0.2">
      <c r="L4562" s="12"/>
      <c r="M4562" s="13"/>
    </row>
    <row r="4563" spans="12:13" x14ac:dyDescent="0.2">
      <c r="L4563" s="12"/>
      <c r="M4563" s="13"/>
    </row>
    <row r="4564" spans="12:13" x14ac:dyDescent="0.2">
      <c r="L4564" s="12"/>
      <c r="M4564" s="13"/>
    </row>
    <row r="4565" spans="12:13" x14ac:dyDescent="0.2">
      <c r="L4565" s="12"/>
      <c r="M4565" s="13"/>
    </row>
    <row r="4566" spans="12:13" x14ac:dyDescent="0.2">
      <c r="L4566" s="12"/>
      <c r="M4566" s="13"/>
    </row>
    <row r="4567" spans="12:13" x14ac:dyDescent="0.2">
      <c r="L4567" s="12"/>
      <c r="M4567" s="13"/>
    </row>
    <row r="4568" spans="12:13" x14ac:dyDescent="0.2">
      <c r="L4568" s="12"/>
      <c r="M4568" s="13"/>
    </row>
    <row r="4569" spans="12:13" x14ac:dyDescent="0.2">
      <c r="L4569" s="12"/>
      <c r="M4569" s="13"/>
    </row>
    <row r="4570" spans="12:13" x14ac:dyDescent="0.2">
      <c r="L4570" s="12"/>
      <c r="M4570" s="13"/>
    </row>
    <row r="4571" spans="12:13" x14ac:dyDescent="0.2">
      <c r="L4571" s="12"/>
      <c r="M4571" s="13"/>
    </row>
    <row r="4572" spans="12:13" x14ac:dyDescent="0.2">
      <c r="L4572" s="12"/>
      <c r="M4572" s="13"/>
    </row>
    <row r="4573" spans="12:13" x14ac:dyDescent="0.2">
      <c r="L4573" s="12"/>
      <c r="M4573" s="13"/>
    </row>
    <row r="4574" spans="12:13" x14ac:dyDescent="0.2">
      <c r="L4574" s="12"/>
      <c r="M4574" s="13"/>
    </row>
    <row r="4575" spans="12:13" x14ac:dyDescent="0.2">
      <c r="L4575" s="12"/>
      <c r="M4575" s="13"/>
    </row>
    <row r="4576" spans="12:13" x14ac:dyDescent="0.2">
      <c r="L4576" s="12"/>
      <c r="M4576" s="13"/>
    </row>
    <row r="4577" spans="12:13" x14ac:dyDescent="0.2">
      <c r="L4577" s="12"/>
      <c r="M4577" s="13"/>
    </row>
    <row r="4578" spans="12:13" x14ac:dyDescent="0.2">
      <c r="L4578" s="12"/>
      <c r="M4578" s="13"/>
    </row>
    <row r="4579" spans="12:13" x14ac:dyDescent="0.2">
      <c r="L4579" s="12"/>
      <c r="M4579" s="13"/>
    </row>
    <row r="4580" spans="12:13" x14ac:dyDescent="0.2">
      <c r="L4580" s="12"/>
      <c r="M4580" s="13"/>
    </row>
    <row r="4581" spans="12:13" x14ac:dyDescent="0.2">
      <c r="L4581" s="12"/>
      <c r="M4581" s="13"/>
    </row>
    <row r="4582" spans="12:13" x14ac:dyDescent="0.2">
      <c r="L4582" s="12"/>
      <c r="M4582" s="13"/>
    </row>
    <row r="4583" spans="12:13" x14ac:dyDescent="0.2">
      <c r="L4583" s="12"/>
      <c r="M4583" s="13"/>
    </row>
    <row r="4584" spans="12:13" x14ac:dyDescent="0.2">
      <c r="L4584" s="12"/>
      <c r="M4584" s="13"/>
    </row>
    <row r="4585" spans="12:13" x14ac:dyDescent="0.2">
      <c r="L4585" s="12"/>
      <c r="M4585" s="13"/>
    </row>
    <row r="4586" spans="12:13" x14ac:dyDescent="0.2">
      <c r="L4586" s="12"/>
      <c r="M4586" s="13"/>
    </row>
    <row r="4587" spans="12:13" x14ac:dyDescent="0.2">
      <c r="L4587" s="12"/>
      <c r="M4587" s="13"/>
    </row>
    <row r="4588" spans="12:13" x14ac:dyDescent="0.2">
      <c r="L4588" s="12"/>
      <c r="M4588" s="13"/>
    </row>
    <row r="4589" spans="12:13" x14ac:dyDescent="0.2">
      <c r="L4589" s="12"/>
      <c r="M4589" s="13"/>
    </row>
    <row r="4590" spans="12:13" x14ac:dyDescent="0.2">
      <c r="L4590" s="12"/>
      <c r="M4590" s="13"/>
    </row>
    <row r="4591" spans="12:13" x14ac:dyDescent="0.2">
      <c r="L4591" s="12"/>
      <c r="M4591" s="13"/>
    </row>
    <row r="4592" spans="12:13" x14ac:dyDescent="0.2">
      <c r="L4592" s="12"/>
      <c r="M4592" s="13"/>
    </row>
    <row r="4593" spans="12:13" x14ac:dyDescent="0.2">
      <c r="L4593" s="12"/>
      <c r="M4593" s="13"/>
    </row>
    <row r="4594" spans="12:13" x14ac:dyDescent="0.2">
      <c r="L4594" s="12"/>
      <c r="M4594" s="13"/>
    </row>
    <row r="4595" spans="12:13" x14ac:dyDescent="0.2">
      <c r="L4595" s="12"/>
      <c r="M4595" s="13"/>
    </row>
    <row r="4596" spans="12:13" x14ac:dyDescent="0.2">
      <c r="L4596" s="12"/>
      <c r="M4596" s="13"/>
    </row>
    <row r="4597" spans="12:13" x14ac:dyDescent="0.2">
      <c r="L4597" s="12"/>
      <c r="M4597" s="13"/>
    </row>
    <row r="4598" spans="12:13" x14ac:dyDescent="0.2">
      <c r="L4598" s="12"/>
      <c r="M4598" s="13"/>
    </row>
    <row r="4599" spans="12:13" x14ac:dyDescent="0.2">
      <c r="L4599" s="12"/>
      <c r="M4599" s="13"/>
    </row>
    <row r="4600" spans="12:13" x14ac:dyDescent="0.2">
      <c r="L4600" s="12"/>
      <c r="M4600" s="13"/>
    </row>
    <row r="4601" spans="12:13" x14ac:dyDescent="0.2">
      <c r="L4601" s="12"/>
      <c r="M4601" s="13"/>
    </row>
    <row r="4602" spans="12:13" x14ac:dyDescent="0.2">
      <c r="L4602" s="12"/>
      <c r="M4602" s="13"/>
    </row>
    <row r="4603" spans="12:13" x14ac:dyDescent="0.2">
      <c r="L4603" s="12"/>
      <c r="M4603" s="13"/>
    </row>
    <row r="4604" spans="12:13" x14ac:dyDescent="0.2">
      <c r="L4604" s="12"/>
      <c r="M4604" s="13"/>
    </row>
    <row r="4605" spans="12:13" x14ac:dyDescent="0.2">
      <c r="L4605" s="12"/>
      <c r="M4605" s="13"/>
    </row>
    <row r="4606" spans="12:13" x14ac:dyDescent="0.2">
      <c r="L4606" s="12"/>
      <c r="M4606" s="13"/>
    </row>
    <row r="4607" spans="12:13" x14ac:dyDescent="0.2">
      <c r="L4607" s="12"/>
      <c r="M4607" s="13"/>
    </row>
    <row r="4608" spans="12:13" x14ac:dyDescent="0.2">
      <c r="L4608" s="12"/>
      <c r="M4608" s="13"/>
    </row>
    <row r="4609" spans="12:13" x14ac:dyDescent="0.2">
      <c r="L4609" s="12"/>
      <c r="M4609" s="13"/>
    </row>
    <row r="4610" spans="12:13" x14ac:dyDescent="0.2">
      <c r="L4610" s="17"/>
      <c r="M4610" s="18"/>
    </row>
    <row r="4611" spans="12:13" x14ac:dyDescent="0.2">
      <c r="L4611" s="12"/>
      <c r="M4611" s="13"/>
    </row>
    <row r="4612" spans="12:13" x14ac:dyDescent="0.2">
      <c r="L4612" s="12"/>
      <c r="M4612" s="13"/>
    </row>
    <row r="4613" spans="12:13" x14ac:dyDescent="0.2">
      <c r="L4613" s="12"/>
      <c r="M4613" s="13"/>
    </row>
    <row r="4614" spans="12:13" x14ac:dyDescent="0.2">
      <c r="L4614" s="12"/>
      <c r="M4614" s="13"/>
    </row>
    <row r="4615" spans="12:13" x14ac:dyDescent="0.2">
      <c r="L4615" s="12"/>
      <c r="M4615" s="13"/>
    </row>
    <row r="4616" spans="12:13" x14ac:dyDescent="0.2">
      <c r="L4616" s="12"/>
      <c r="M4616" s="13"/>
    </row>
    <row r="4617" spans="12:13" x14ac:dyDescent="0.2">
      <c r="L4617" s="12"/>
      <c r="M4617" s="13"/>
    </row>
    <row r="4618" spans="12:13" x14ac:dyDescent="0.2">
      <c r="L4618" s="12"/>
      <c r="M4618" s="13"/>
    </row>
    <row r="4619" spans="12:13" x14ac:dyDescent="0.2">
      <c r="L4619" s="12"/>
      <c r="M4619" s="13"/>
    </row>
    <row r="4620" spans="12:13" x14ac:dyDescent="0.2">
      <c r="L4620" s="12"/>
      <c r="M4620" s="13"/>
    </row>
    <row r="4621" spans="12:13" x14ac:dyDescent="0.2">
      <c r="L4621" s="12"/>
      <c r="M4621" s="13"/>
    </row>
    <row r="4622" spans="12:13" x14ac:dyDescent="0.2">
      <c r="L4622" s="12"/>
      <c r="M4622" s="13"/>
    </row>
    <row r="4623" spans="12:13" x14ac:dyDescent="0.2">
      <c r="L4623" s="12"/>
      <c r="M4623" s="13"/>
    </row>
    <row r="4624" spans="12:13" x14ac:dyDescent="0.2">
      <c r="L4624" s="12"/>
      <c r="M4624" s="13"/>
    </row>
    <row r="4625" spans="12:13" x14ac:dyDescent="0.2">
      <c r="L4625" s="12"/>
      <c r="M4625" s="13"/>
    </row>
    <row r="4626" spans="12:13" x14ac:dyDescent="0.2">
      <c r="L4626" s="12"/>
      <c r="M4626" s="13"/>
    </row>
    <row r="4627" spans="12:13" x14ac:dyDescent="0.2">
      <c r="L4627" s="12"/>
      <c r="M4627" s="13"/>
    </row>
    <row r="4628" spans="12:13" x14ac:dyDescent="0.2">
      <c r="L4628" s="12"/>
      <c r="M4628" s="13"/>
    </row>
    <row r="4629" spans="12:13" x14ac:dyDescent="0.2">
      <c r="L4629" s="12"/>
      <c r="M4629" s="13"/>
    </row>
    <row r="4630" spans="12:13" x14ac:dyDescent="0.2">
      <c r="L4630" s="12"/>
      <c r="M4630" s="13"/>
    </row>
    <row r="4631" spans="12:13" x14ac:dyDescent="0.2">
      <c r="L4631" s="12"/>
      <c r="M4631" s="13"/>
    </row>
    <row r="4632" spans="12:13" x14ac:dyDescent="0.2">
      <c r="L4632" s="12"/>
      <c r="M4632" s="13"/>
    </row>
    <row r="4633" spans="12:13" x14ac:dyDescent="0.2">
      <c r="L4633" s="12"/>
      <c r="M4633" s="13"/>
    </row>
    <row r="4634" spans="12:13" x14ac:dyDescent="0.2">
      <c r="L4634" s="12"/>
      <c r="M4634" s="13"/>
    </row>
    <row r="4635" spans="12:13" x14ac:dyDescent="0.2">
      <c r="L4635" s="12"/>
      <c r="M4635" s="13"/>
    </row>
    <row r="4636" spans="12:13" x14ac:dyDescent="0.2">
      <c r="L4636" s="12"/>
      <c r="M4636" s="13"/>
    </row>
    <row r="4637" spans="12:13" x14ac:dyDescent="0.2">
      <c r="L4637" s="12"/>
      <c r="M4637" s="13"/>
    </row>
    <row r="4638" spans="12:13" x14ac:dyDescent="0.2">
      <c r="L4638" s="12"/>
      <c r="M4638" s="13"/>
    </row>
    <row r="4639" spans="12:13" x14ac:dyDescent="0.2">
      <c r="L4639" s="12"/>
      <c r="M4639" s="13"/>
    </row>
    <row r="4640" spans="12:13" x14ac:dyDescent="0.2">
      <c r="L4640" s="12"/>
      <c r="M4640" s="13"/>
    </row>
    <row r="4641" spans="12:13" x14ac:dyDescent="0.2">
      <c r="L4641" s="12"/>
      <c r="M4641" s="13"/>
    </row>
    <row r="4642" spans="12:13" x14ac:dyDescent="0.2">
      <c r="L4642" s="12"/>
      <c r="M4642" s="13"/>
    </row>
    <row r="4643" spans="12:13" x14ac:dyDescent="0.2">
      <c r="L4643" s="12"/>
      <c r="M4643" s="13"/>
    </row>
    <row r="4644" spans="12:13" x14ac:dyDescent="0.2">
      <c r="L4644" s="12"/>
      <c r="M4644" s="13"/>
    </row>
    <row r="4645" spans="12:13" x14ac:dyDescent="0.2">
      <c r="L4645" s="12"/>
      <c r="M4645" s="13"/>
    </row>
    <row r="4646" spans="12:13" x14ac:dyDescent="0.2">
      <c r="L4646" s="12"/>
      <c r="M4646" s="13"/>
    </row>
    <row r="4647" spans="12:13" x14ac:dyDescent="0.2">
      <c r="L4647" s="12"/>
      <c r="M4647" s="13"/>
    </row>
    <row r="4648" spans="12:13" x14ac:dyDescent="0.2">
      <c r="L4648" s="12"/>
      <c r="M4648" s="13"/>
    </row>
    <row r="4649" spans="12:13" x14ac:dyDescent="0.2">
      <c r="L4649" s="12"/>
      <c r="M4649" s="13"/>
    </row>
    <row r="4650" spans="12:13" x14ac:dyDescent="0.2">
      <c r="L4650" s="12"/>
      <c r="M4650" s="13"/>
    </row>
    <row r="4651" spans="12:13" x14ac:dyDescent="0.2">
      <c r="L4651" s="12"/>
      <c r="M4651" s="13"/>
    </row>
    <row r="4652" spans="12:13" x14ac:dyDescent="0.2">
      <c r="L4652" s="12"/>
      <c r="M4652" s="13"/>
    </row>
    <row r="4653" spans="12:13" x14ac:dyDescent="0.2">
      <c r="L4653" s="12"/>
      <c r="M4653" s="13"/>
    </row>
    <row r="4654" spans="12:13" x14ac:dyDescent="0.2">
      <c r="L4654" s="12"/>
      <c r="M4654" s="13"/>
    </row>
    <row r="4655" spans="12:13" x14ac:dyDescent="0.2">
      <c r="L4655" s="12"/>
      <c r="M4655" s="13"/>
    </row>
    <row r="4656" spans="12:13" x14ac:dyDescent="0.2">
      <c r="L4656" s="12"/>
      <c r="M4656" s="13"/>
    </row>
    <row r="4657" spans="12:13" x14ac:dyDescent="0.2">
      <c r="L4657" s="12"/>
      <c r="M4657" s="13"/>
    </row>
    <row r="4658" spans="12:13" x14ac:dyDescent="0.2">
      <c r="L4658" s="12"/>
      <c r="M4658" s="13"/>
    </row>
    <row r="4659" spans="12:13" x14ac:dyDescent="0.2">
      <c r="L4659" s="12"/>
      <c r="M4659" s="13"/>
    </row>
    <row r="4660" spans="12:13" x14ac:dyDescent="0.2">
      <c r="L4660" s="12"/>
      <c r="M4660" s="13"/>
    </row>
    <row r="4661" spans="12:13" x14ac:dyDescent="0.2">
      <c r="L4661" s="12"/>
      <c r="M4661" s="13"/>
    </row>
    <row r="4662" spans="12:13" x14ac:dyDescent="0.2">
      <c r="L4662" s="12"/>
      <c r="M4662" s="13"/>
    </row>
    <row r="4663" spans="12:13" x14ac:dyDescent="0.2">
      <c r="L4663" s="12"/>
      <c r="M4663" s="13"/>
    </row>
    <row r="4664" spans="12:13" x14ac:dyDescent="0.2">
      <c r="L4664" s="12"/>
      <c r="M4664" s="13"/>
    </row>
    <row r="4665" spans="12:13" x14ac:dyDescent="0.2">
      <c r="L4665" s="12"/>
      <c r="M4665" s="13"/>
    </row>
    <row r="4666" spans="12:13" x14ac:dyDescent="0.2">
      <c r="L4666" s="12"/>
      <c r="M4666" s="13"/>
    </row>
    <row r="4667" spans="12:13" x14ac:dyDescent="0.2">
      <c r="L4667" s="12"/>
      <c r="M4667" s="13"/>
    </row>
    <row r="4668" spans="12:13" x14ac:dyDescent="0.2">
      <c r="L4668" s="12"/>
      <c r="M4668" s="13"/>
    </row>
    <row r="4669" spans="12:13" x14ac:dyDescent="0.2">
      <c r="L4669" s="12"/>
      <c r="M4669" s="13"/>
    </row>
    <row r="4670" spans="12:13" x14ac:dyDescent="0.2">
      <c r="L4670" s="12"/>
      <c r="M4670" s="13"/>
    </row>
    <row r="4671" spans="12:13" x14ac:dyDescent="0.2">
      <c r="L4671" s="12"/>
      <c r="M4671" s="13"/>
    </row>
    <row r="4672" spans="12:13" x14ac:dyDescent="0.2">
      <c r="L4672" s="12"/>
      <c r="M4672" s="13"/>
    </row>
    <row r="4673" spans="12:13" x14ac:dyDescent="0.2">
      <c r="L4673" s="12"/>
      <c r="M4673" s="13"/>
    </row>
    <row r="4674" spans="12:13" x14ac:dyDescent="0.2">
      <c r="L4674" s="12"/>
      <c r="M4674" s="13"/>
    </row>
    <row r="4675" spans="12:13" x14ac:dyDescent="0.2">
      <c r="L4675" s="12"/>
      <c r="M4675" s="13"/>
    </row>
    <row r="4676" spans="12:13" x14ac:dyDescent="0.2">
      <c r="L4676" s="12"/>
      <c r="M4676" s="13"/>
    </row>
    <row r="4677" spans="12:13" x14ac:dyDescent="0.2">
      <c r="L4677" s="12"/>
      <c r="M4677" s="13"/>
    </row>
    <row r="4678" spans="12:13" x14ac:dyDescent="0.2">
      <c r="L4678" s="12"/>
      <c r="M4678" s="13"/>
    </row>
    <row r="4679" spans="12:13" x14ac:dyDescent="0.2">
      <c r="L4679" s="12"/>
      <c r="M4679" s="13"/>
    </row>
    <row r="4680" spans="12:13" x14ac:dyDescent="0.2">
      <c r="L4680" s="12"/>
      <c r="M4680" s="13"/>
    </row>
    <row r="4681" spans="12:13" x14ac:dyDescent="0.2">
      <c r="L4681" s="12"/>
      <c r="M4681" s="13"/>
    </row>
    <row r="4682" spans="12:13" x14ac:dyDescent="0.2">
      <c r="L4682" s="12"/>
      <c r="M4682" s="13"/>
    </row>
    <row r="4683" spans="12:13" x14ac:dyDescent="0.2">
      <c r="L4683" s="12"/>
      <c r="M4683" s="13"/>
    </row>
    <row r="4684" spans="12:13" x14ac:dyDescent="0.2">
      <c r="L4684" s="12"/>
      <c r="M4684" s="13"/>
    </row>
    <row r="4685" spans="12:13" x14ac:dyDescent="0.2">
      <c r="L4685" s="12"/>
      <c r="M4685" s="13"/>
    </row>
    <row r="4686" spans="12:13" x14ac:dyDescent="0.2">
      <c r="L4686" s="12"/>
      <c r="M4686" s="13"/>
    </row>
    <row r="4687" spans="12:13" x14ac:dyDescent="0.2">
      <c r="L4687" s="12"/>
      <c r="M4687" s="13"/>
    </row>
    <row r="4688" spans="12:13" x14ac:dyDescent="0.2">
      <c r="L4688" s="12"/>
      <c r="M4688" s="13"/>
    </row>
    <row r="4689" spans="12:13" x14ac:dyDescent="0.2">
      <c r="L4689" s="12"/>
      <c r="M4689" s="13"/>
    </row>
    <row r="4690" spans="12:13" x14ac:dyDescent="0.2">
      <c r="L4690" s="12"/>
      <c r="M4690" s="13"/>
    </row>
    <row r="4691" spans="12:13" x14ac:dyDescent="0.2">
      <c r="L4691" s="12"/>
      <c r="M4691" s="13"/>
    </row>
    <row r="4692" spans="12:13" x14ac:dyDescent="0.2">
      <c r="L4692" s="12"/>
      <c r="M4692" s="13"/>
    </row>
    <row r="4693" spans="12:13" x14ac:dyDescent="0.2">
      <c r="L4693" s="12"/>
      <c r="M4693" s="13"/>
    </row>
    <row r="4694" spans="12:13" x14ac:dyDescent="0.2">
      <c r="L4694" s="12"/>
      <c r="M4694" s="13"/>
    </row>
    <row r="4695" spans="12:13" x14ac:dyDescent="0.2">
      <c r="L4695" s="12"/>
      <c r="M4695" s="13"/>
    </row>
    <row r="4696" spans="12:13" x14ac:dyDescent="0.2">
      <c r="L4696" s="12"/>
      <c r="M4696" s="13"/>
    </row>
    <row r="4697" spans="12:13" x14ac:dyDescent="0.2">
      <c r="L4697" s="12"/>
      <c r="M4697" s="13"/>
    </row>
    <row r="4698" spans="12:13" x14ac:dyDescent="0.2">
      <c r="L4698" s="12"/>
      <c r="M4698" s="13"/>
    </row>
    <row r="4699" spans="12:13" x14ac:dyDescent="0.2">
      <c r="L4699" s="12"/>
      <c r="M4699" s="13"/>
    </row>
    <row r="4700" spans="12:13" x14ac:dyDescent="0.2">
      <c r="L4700" s="12"/>
      <c r="M4700" s="13"/>
    </row>
    <row r="4701" spans="12:13" x14ac:dyDescent="0.2">
      <c r="L4701" s="12"/>
      <c r="M4701" s="13"/>
    </row>
    <row r="4702" spans="12:13" x14ac:dyDescent="0.2">
      <c r="L4702" s="12"/>
      <c r="M4702" s="13"/>
    </row>
    <row r="4703" spans="12:13" x14ac:dyDescent="0.2">
      <c r="L4703" s="12"/>
      <c r="M4703" s="13"/>
    </row>
    <row r="4704" spans="12:13" x14ac:dyDescent="0.2">
      <c r="L4704" s="12"/>
      <c r="M4704" s="13"/>
    </row>
    <row r="4705" spans="12:13" x14ac:dyDescent="0.2">
      <c r="L4705" s="12"/>
      <c r="M4705" s="13"/>
    </row>
    <row r="4706" spans="12:13" x14ac:dyDescent="0.2">
      <c r="L4706" s="12"/>
      <c r="M4706" s="13"/>
    </row>
    <row r="4707" spans="12:13" x14ac:dyDescent="0.2">
      <c r="L4707" s="12"/>
      <c r="M4707" s="13"/>
    </row>
    <row r="4708" spans="12:13" x14ac:dyDescent="0.2">
      <c r="L4708" s="12"/>
      <c r="M4708" s="13"/>
    </row>
    <row r="4709" spans="12:13" x14ac:dyDescent="0.2">
      <c r="L4709" s="12"/>
      <c r="M4709" s="13"/>
    </row>
    <row r="4710" spans="12:13" x14ac:dyDescent="0.2">
      <c r="L4710" s="12"/>
      <c r="M4710" s="13"/>
    </row>
    <row r="4711" spans="12:13" x14ac:dyDescent="0.2">
      <c r="L4711" s="12"/>
      <c r="M4711" s="13"/>
    </row>
    <row r="4712" spans="12:13" x14ac:dyDescent="0.2">
      <c r="L4712" s="12"/>
      <c r="M4712" s="13"/>
    </row>
    <row r="4713" spans="12:13" x14ac:dyDescent="0.2">
      <c r="L4713" s="12"/>
      <c r="M4713" s="13"/>
    </row>
    <row r="4714" spans="12:13" x14ac:dyDescent="0.2">
      <c r="L4714" s="12"/>
      <c r="M4714" s="13"/>
    </row>
    <row r="4715" spans="12:13" x14ac:dyDescent="0.2">
      <c r="L4715" s="12"/>
      <c r="M4715" s="13"/>
    </row>
    <row r="4716" spans="12:13" x14ac:dyDescent="0.2">
      <c r="L4716" s="12"/>
      <c r="M4716" s="13"/>
    </row>
    <row r="4717" spans="12:13" x14ac:dyDescent="0.2">
      <c r="L4717" s="12"/>
      <c r="M4717" s="13"/>
    </row>
    <row r="4718" spans="12:13" x14ac:dyDescent="0.2">
      <c r="L4718" s="12"/>
      <c r="M4718" s="13"/>
    </row>
    <row r="4719" spans="12:13" x14ac:dyDescent="0.2">
      <c r="L4719" s="12"/>
      <c r="M4719" s="13"/>
    </row>
    <row r="4720" spans="12:13" x14ac:dyDescent="0.2">
      <c r="L4720" s="12"/>
      <c r="M4720" s="13"/>
    </row>
    <row r="4721" spans="12:13" x14ac:dyDescent="0.2">
      <c r="L4721" s="12"/>
      <c r="M4721" s="13"/>
    </row>
    <row r="4722" spans="12:13" x14ac:dyDescent="0.2">
      <c r="L4722" s="12"/>
      <c r="M4722" s="13"/>
    </row>
    <row r="4723" spans="12:13" x14ac:dyDescent="0.2">
      <c r="L4723" s="12"/>
      <c r="M4723" s="13"/>
    </row>
    <row r="4724" spans="12:13" x14ac:dyDescent="0.2">
      <c r="L4724" s="12"/>
      <c r="M4724" s="13"/>
    </row>
    <row r="4725" spans="12:13" x14ac:dyDescent="0.2">
      <c r="L4725" s="12"/>
      <c r="M4725" s="13"/>
    </row>
    <row r="4726" spans="12:13" x14ac:dyDescent="0.2">
      <c r="L4726" s="12"/>
      <c r="M4726" s="13"/>
    </row>
    <row r="4727" spans="12:13" x14ac:dyDescent="0.2">
      <c r="L4727" s="12"/>
      <c r="M4727" s="13"/>
    </row>
    <row r="4728" spans="12:13" x14ac:dyDescent="0.2">
      <c r="L4728" s="12"/>
      <c r="M4728" s="13"/>
    </row>
    <row r="4729" spans="12:13" x14ac:dyDescent="0.2">
      <c r="L4729" s="12"/>
      <c r="M4729" s="13"/>
    </row>
    <row r="4730" spans="12:13" x14ac:dyDescent="0.2">
      <c r="L4730" s="12"/>
      <c r="M4730" s="13"/>
    </row>
    <row r="4731" spans="12:13" x14ac:dyDescent="0.2">
      <c r="L4731" s="12"/>
      <c r="M4731" s="13"/>
    </row>
    <row r="4732" spans="12:13" x14ac:dyDescent="0.2">
      <c r="L4732" s="12"/>
      <c r="M4732" s="13"/>
    </row>
    <row r="4733" spans="12:13" x14ac:dyDescent="0.2">
      <c r="L4733" s="12"/>
      <c r="M4733" s="13"/>
    </row>
    <row r="4734" spans="12:13" x14ac:dyDescent="0.2">
      <c r="L4734" s="12"/>
      <c r="M4734" s="13"/>
    </row>
    <row r="4735" spans="12:13" x14ac:dyDescent="0.2">
      <c r="L4735" s="12"/>
      <c r="M4735" s="13"/>
    </row>
    <row r="4736" spans="12:13" x14ac:dyDescent="0.2">
      <c r="L4736" s="12"/>
      <c r="M4736" s="13"/>
    </row>
    <row r="4737" spans="12:13" x14ac:dyDescent="0.2">
      <c r="L4737" s="12"/>
      <c r="M4737" s="13"/>
    </row>
    <row r="4738" spans="12:13" x14ac:dyDescent="0.2">
      <c r="L4738" s="12"/>
      <c r="M4738" s="13"/>
    </row>
    <row r="4739" spans="12:13" x14ac:dyDescent="0.2">
      <c r="L4739" s="12"/>
      <c r="M4739" s="13"/>
    </row>
    <row r="4740" spans="12:13" x14ac:dyDescent="0.2">
      <c r="L4740" s="12"/>
      <c r="M4740" s="13"/>
    </row>
    <row r="4741" spans="12:13" x14ac:dyDescent="0.2">
      <c r="L4741" s="12"/>
      <c r="M4741" s="13"/>
    </row>
    <row r="4742" spans="12:13" x14ac:dyDescent="0.2">
      <c r="L4742" s="12"/>
      <c r="M4742" s="13"/>
    </row>
    <row r="4743" spans="12:13" x14ac:dyDescent="0.2">
      <c r="L4743" s="12"/>
      <c r="M4743" s="13"/>
    </row>
    <row r="4744" spans="12:13" x14ac:dyDescent="0.2">
      <c r="L4744" s="12"/>
      <c r="M4744" s="13"/>
    </row>
    <row r="4745" spans="12:13" x14ac:dyDescent="0.2">
      <c r="L4745" s="12"/>
      <c r="M4745" s="13"/>
    </row>
    <row r="4746" spans="12:13" x14ac:dyDescent="0.2">
      <c r="L4746" s="12"/>
      <c r="M4746" s="13"/>
    </row>
    <row r="4747" spans="12:13" x14ac:dyDescent="0.2">
      <c r="L4747" s="12"/>
      <c r="M4747" s="13"/>
    </row>
    <row r="4748" spans="12:13" x14ac:dyDescent="0.2">
      <c r="L4748" s="12"/>
      <c r="M4748" s="13"/>
    </row>
    <row r="4749" spans="12:13" x14ac:dyDescent="0.2">
      <c r="L4749" s="12"/>
      <c r="M4749" s="13"/>
    </row>
    <row r="4750" spans="12:13" x14ac:dyDescent="0.2">
      <c r="L4750" s="12"/>
      <c r="M4750" s="13"/>
    </row>
    <row r="4751" spans="12:13" x14ac:dyDescent="0.2">
      <c r="L4751" s="12"/>
      <c r="M4751" s="13"/>
    </row>
    <row r="4752" spans="12:13" x14ac:dyDescent="0.2">
      <c r="L4752" s="12"/>
      <c r="M4752" s="13"/>
    </row>
    <row r="4753" spans="12:13" x14ac:dyDescent="0.2">
      <c r="L4753" s="12"/>
      <c r="M4753" s="13"/>
    </row>
    <row r="4754" spans="12:13" x14ac:dyDescent="0.2">
      <c r="L4754" s="12"/>
      <c r="M4754" s="13"/>
    </row>
    <row r="4755" spans="12:13" x14ac:dyDescent="0.2">
      <c r="L4755" s="12"/>
      <c r="M4755" s="13"/>
    </row>
    <row r="4756" spans="12:13" x14ac:dyDescent="0.2">
      <c r="L4756" s="12"/>
      <c r="M4756" s="13"/>
    </row>
    <row r="4757" spans="12:13" x14ac:dyDescent="0.2">
      <c r="L4757" s="12"/>
      <c r="M4757" s="13"/>
    </row>
    <row r="4758" spans="12:13" x14ac:dyDescent="0.2">
      <c r="L4758" s="12"/>
      <c r="M4758" s="13"/>
    </row>
    <row r="4759" spans="12:13" x14ac:dyDescent="0.2">
      <c r="L4759" s="12"/>
      <c r="M4759" s="13"/>
    </row>
    <row r="4760" spans="12:13" x14ac:dyDescent="0.2">
      <c r="L4760" s="12"/>
      <c r="M4760" s="13"/>
    </row>
    <row r="4761" spans="12:13" x14ac:dyDescent="0.2">
      <c r="L4761" s="12"/>
      <c r="M4761" s="13"/>
    </row>
    <row r="4762" spans="12:13" x14ac:dyDescent="0.2">
      <c r="L4762" s="12"/>
      <c r="M4762" s="13"/>
    </row>
    <row r="4763" spans="12:13" x14ac:dyDescent="0.2">
      <c r="L4763" s="12"/>
      <c r="M4763" s="13"/>
    </row>
    <row r="4764" spans="12:13" x14ac:dyDescent="0.2">
      <c r="L4764" s="12"/>
      <c r="M4764" s="13"/>
    </row>
    <row r="4765" spans="12:13" x14ac:dyDescent="0.2">
      <c r="L4765" s="12"/>
      <c r="M4765" s="13"/>
    </row>
    <row r="4766" spans="12:13" x14ac:dyDescent="0.2">
      <c r="L4766" s="12"/>
      <c r="M4766" s="13"/>
    </row>
    <row r="4767" spans="12:13" x14ac:dyDescent="0.2">
      <c r="L4767" s="12"/>
      <c r="M4767" s="13"/>
    </row>
    <row r="4768" spans="12:13" x14ac:dyDescent="0.2">
      <c r="L4768" s="12"/>
      <c r="M4768" s="13"/>
    </row>
    <row r="4769" spans="12:13" x14ac:dyDescent="0.2">
      <c r="L4769" s="12"/>
      <c r="M4769" s="13"/>
    </row>
    <row r="4770" spans="12:13" x14ac:dyDescent="0.2">
      <c r="L4770" s="12"/>
      <c r="M4770" s="13"/>
    </row>
    <row r="4771" spans="12:13" x14ac:dyDescent="0.2">
      <c r="L4771" s="12"/>
      <c r="M4771" s="13"/>
    </row>
    <row r="4772" spans="12:13" x14ac:dyDescent="0.2">
      <c r="L4772" s="12"/>
      <c r="M4772" s="13"/>
    </row>
    <row r="4773" spans="12:13" x14ac:dyDescent="0.2">
      <c r="L4773" s="12"/>
      <c r="M4773" s="13"/>
    </row>
    <row r="4774" spans="12:13" x14ac:dyDescent="0.2">
      <c r="L4774" s="12"/>
      <c r="M4774" s="13"/>
    </row>
    <row r="4775" spans="12:13" x14ac:dyDescent="0.2">
      <c r="L4775" s="12"/>
      <c r="M4775" s="13"/>
    </row>
    <row r="4776" spans="12:13" x14ac:dyDescent="0.2">
      <c r="L4776" s="12"/>
      <c r="M4776" s="13"/>
    </row>
    <row r="4777" spans="12:13" x14ac:dyDescent="0.2">
      <c r="L4777" s="12"/>
      <c r="M4777" s="13"/>
    </row>
    <row r="4778" spans="12:13" x14ac:dyDescent="0.2">
      <c r="L4778" s="12"/>
      <c r="M4778" s="13"/>
    </row>
    <row r="4779" spans="12:13" x14ac:dyDescent="0.2">
      <c r="L4779" s="12"/>
      <c r="M4779" s="13"/>
    </row>
    <row r="4780" spans="12:13" x14ac:dyDescent="0.2">
      <c r="L4780" s="12"/>
      <c r="M4780" s="13"/>
    </row>
    <row r="4781" spans="12:13" x14ac:dyDescent="0.2">
      <c r="L4781" s="12"/>
      <c r="M4781" s="13"/>
    </row>
    <row r="4782" spans="12:13" x14ac:dyDescent="0.2">
      <c r="L4782" s="12"/>
      <c r="M4782" s="13"/>
    </row>
    <row r="4783" spans="12:13" x14ac:dyDescent="0.2">
      <c r="L4783" s="12"/>
      <c r="M4783" s="13"/>
    </row>
    <row r="4784" spans="12:13" x14ac:dyDescent="0.2">
      <c r="L4784" s="12"/>
      <c r="M4784" s="13"/>
    </row>
    <row r="4785" spans="12:13" x14ac:dyDescent="0.2">
      <c r="L4785" s="12"/>
      <c r="M4785" s="13"/>
    </row>
    <row r="4786" spans="12:13" x14ac:dyDescent="0.2">
      <c r="L4786" s="12"/>
      <c r="M4786" s="13"/>
    </row>
    <row r="4787" spans="12:13" x14ac:dyDescent="0.2">
      <c r="L4787" s="12"/>
      <c r="M4787" s="13"/>
    </row>
    <row r="4788" spans="12:13" x14ac:dyDescent="0.2">
      <c r="L4788" s="12"/>
      <c r="M4788" s="13"/>
    </row>
    <row r="4789" spans="12:13" x14ac:dyDescent="0.2">
      <c r="L4789" s="12"/>
      <c r="M4789" s="13"/>
    </row>
    <row r="4790" spans="12:13" x14ac:dyDescent="0.2">
      <c r="L4790" s="12"/>
      <c r="M4790" s="13"/>
    </row>
    <row r="4791" spans="12:13" x14ac:dyDescent="0.2">
      <c r="L4791" s="12"/>
      <c r="M4791" s="13"/>
    </row>
    <row r="4792" spans="12:13" x14ac:dyDescent="0.2">
      <c r="L4792" s="12"/>
      <c r="M4792" s="13"/>
    </row>
    <row r="4793" spans="12:13" x14ac:dyDescent="0.2">
      <c r="L4793" s="12"/>
      <c r="M4793" s="13"/>
    </row>
    <row r="4794" spans="12:13" x14ac:dyDescent="0.2">
      <c r="L4794" s="12"/>
      <c r="M4794" s="13"/>
    </row>
    <row r="4795" spans="12:13" x14ac:dyDescent="0.2">
      <c r="L4795" s="12"/>
      <c r="M4795" s="13"/>
    </row>
    <row r="4796" spans="12:13" x14ac:dyDescent="0.2">
      <c r="L4796" s="12"/>
      <c r="M4796" s="13"/>
    </row>
    <row r="4797" spans="12:13" x14ac:dyDescent="0.2">
      <c r="L4797" s="12"/>
      <c r="M4797" s="13"/>
    </row>
    <row r="4798" spans="12:13" x14ac:dyDescent="0.2">
      <c r="L4798" s="12"/>
      <c r="M4798" s="13"/>
    </row>
    <row r="4799" spans="12:13" x14ac:dyDescent="0.2">
      <c r="L4799" s="12"/>
      <c r="M4799" s="13"/>
    </row>
    <row r="4800" spans="12:13" x14ac:dyDescent="0.2">
      <c r="L4800" s="12"/>
      <c r="M4800" s="13"/>
    </row>
    <row r="4801" spans="12:13" x14ac:dyDescent="0.2">
      <c r="L4801" s="12"/>
      <c r="M4801" s="13"/>
    </row>
    <row r="4802" spans="12:13" x14ac:dyDescent="0.2">
      <c r="L4802" s="12"/>
      <c r="M4802" s="13"/>
    </row>
    <row r="4803" spans="12:13" x14ac:dyDescent="0.2">
      <c r="L4803" s="12"/>
      <c r="M4803" s="13"/>
    </row>
    <row r="4804" spans="12:13" x14ac:dyDescent="0.2">
      <c r="L4804" s="12"/>
      <c r="M4804" s="13"/>
    </row>
    <row r="4805" spans="12:13" x14ac:dyDescent="0.2">
      <c r="L4805" s="12"/>
      <c r="M4805" s="13"/>
    </row>
    <row r="4806" spans="12:13" x14ac:dyDescent="0.2">
      <c r="L4806" s="12"/>
      <c r="M4806" s="13"/>
    </row>
    <row r="4807" spans="12:13" x14ac:dyDescent="0.2">
      <c r="L4807" s="12"/>
      <c r="M4807" s="13"/>
    </row>
    <row r="4808" spans="12:13" x14ac:dyDescent="0.2">
      <c r="L4808" s="12"/>
      <c r="M4808" s="13"/>
    </row>
    <row r="4809" spans="12:13" x14ac:dyDescent="0.2">
      <c r="L4809" s="12"/>
      <c r="M4809" s="13"/>
    </row>
    <row r="4810" spans="12:13" x14ac:dyDescent="0.2">
      <c r="L4810" s="12"/>
      <c r="M4810" s="13"/>
    </row>
    <row r="4811" spans="12:13" x14ac:dyDescent="0.2">
      <c r="L4811" s="12"/>
      <c r="M4811" s="13"/>
    </row>
    <row r="4812" spans="12:13" x14ac:dyDescent="0.2">
      <c r="L4812" s="12"/>
      <c r="M4812" s="13"/>
    </row>
    <row r="4813" spans="12:13" x14ac:dyDescent="0.2">
      <c r="L4813" s="12"/>
      <c r="M4813" s="13"/>
    </row>
    <row r="4814" spans="12:13" x14ac:dyDescent="0.2">
      <c r="L4814" s="12"/>
      <c r="M4814" s="13"/>
    </row>
    <row r="4815" spans="12:13" x14ac:dyDescent="0.2">
      <c r="L4815" s="12"/>
      <c r="M4815" s="13"/>
    </row>
    <row r="4816" spans="12:13" x14ac:dyDescent="0.2">
      <c r="L4816" s="12"/>
      <c r="M4816" s="13"/>
    </row>
    <row r="4817" spans="12:13" x14ac:dyDescent="0.2">
      <c r="L4817" s="12"/>
      <c r="M4817" s="13"/>
    </row>
    <row r="4818" spans="12:13" x14ac:dyDescent="0.2">
      <c r="L4818" s="12"/>
      <c r="M4818" s="13"/>
    </row>
    <row r="4819" spans="12:13" x14ac:dyDescent="0.2">
      <c r="L4819" s="12"/>
      <c r="M4819" s="13"/>
    </row>
    <row r="4820" spans="12:13" x14ac:dyDescent="0.2">
      <c r="L4820" s="12"/>
      <c r="M4820" s="13"/>
    </row>
    <row r="4821" spans="12:13" x14ac:dyDescent="0.2">
      <c r="L4821" s="12"/>
      <c r="M4821" s="13"/>
    </row>
    <row r="4822" spans="12:13" x14ac:dyDescent="0.2">
      <c r="L4822" s="12"/>
      <c r="M4822" s="13"/>
    </row>
    <row r="4823" spans="12:13" x14ac:dyDescent="0.2">
      <c r="L4823" s="12"/>
      <c r="M4823" s="13"/>
    </row>
    <row r="4824" spans="12:13" x14ac:dyDescent="0.2">
      <c r="L4824" s="12"/>
      <c r="M4824" s="13"/>
    </row>
    <row r="4825" spans="12:13" x14ac:dyDescent="0.2">
      <c r="L4825" s="12"/>
      <c r="M4825" s="13"/>
    </row>
    <row r="4826" spans="12:13" x14ac:dyDescent="0.2">
      <c r="L4826" s="12"/>
      <c r="M4826" s="13"/>
    </row>
    <row r="4827" spans="12:13" x14ac:dyDescent="0.2">
      <c r="L4827" s="12"/>
      <c r="M4827" s="13"/>
    </row>
    <row r="4828" spans="12:13" x14ac:dyDescent="0.2">
      <c r="L4828" s="12"/>
      <c r="M4828" s="13"/>
    </row>
    <row r="4829" spans="12:13" x14ac:dyDescent="0.2">
      <c r="L4829" s="12"/>
      <c r="M4829" s="13"/>
    </row>
    <row r="4830" spans="12:13" x14ac:dyDescent="0.2">
      <c r="L4830" s="12"/>
      <c r="M4830" s="13"/>
    </row>
    <row r="4831" spans="12:13" x14ac:dyDescent="0.2">
      <c r="L4831" s="12"/>
      <c r="M4831" s="13"/>
    </row>
    <row r="4832" spans="12:13" x14ac:dyDescent="0.2">
      <c r="L4832" s="12"/>
      <c r="M4832" s="13"/>
    </row>
    <row r="4833" spans="12:13" x14ac:dyDescent="0.2">
      <c r="L4833" s="12"/>
      <c r="M4833" s="13"/>
    </row>
    <row r="4834" spans="12:13" x14ac:dyDescent="0.2">
      <c r="L4834" s="12"/>
      <c r="M4834" s="13"/>
    </row>
    <row r="4835" spans="12:13" x14ac:dyDescent="0.2">
      <c r="L4835" s="12"/>
      <c r="M4835" s="13"/>
    </row>
    <row r="4836" spans="12:13" x14ac:dyDescent="0.2">
      <c r="L4836" s="12"/>
      <c r="M4836" s="13"/>
    </row>
    <row r="4837" spans="12:13" x14ac:dyDescent="0.2">
      <c r="L4837" s="12"/>
      <c r="M4837" s="13"/>
    </row>
    <row r="4838" spans="12:13" x14ac:dyDescent="0.2">
      <c r="L4838" s="12"/>
      <c r="M4838" s="13"/>
    </row>
    <row r="4839" spans="12:13" x14ac:dyDescent="0.2">
      <c r="L4839" s="12"/>
      <c r="M4839" s="13"/>
    </row>
    <row r="4840" spans="12:13" x14ac:dyDescent="0.2">
      <c r="L4840" s="12"/>
      <c r="M4840" s="13"/>
    </row>
    <row r="4841" spans="12:13" x14ac:dyDescent="0.2">
      <c r="L4841" s="12"/>
      <c r="M4841" s="13"/>
    </row>
    <row r="4842" spans="12:13" x14ac:dyDescent="0.2">
      <c r="L4842" s="12"/>
      <c r="M4842" s="13"/>
    </row>
    <row r="4843" spans="12:13" x14ac:dyDescent="0.2">
      <c r="L4843" s="12"/>
      <c r="M4843" s="13"/>
    </row>
    <row r="4844" spans="12:13" x14ac:dyDescent="0.2">
      <c r="L4844" s="12"/>
      <c r="M4844" s="13"/>
    </row>
    <row r="4845" spans="12:13" x14ac:dyDescent="0.2">
      <c r="L4845" s="12"/>
      <c r="M4845" s="13"/>
    </row>
    <row r="4846" spans="12:13" x14ac:dyDescent="0.2">
      <c r="L4846" s="12"/>
      <c r="M4846" s="13"/>
    </row>
    <row r="4847" spans="12:13" x14ac:dyDescent="0.2">
      <c r="L4847" s="12"/>
      <c r="M4847" s="13"/>
    </row>
    <row r="4848" spans="12:13" x14ac:dyDescent="0.2">
      <c r="L4848" s="12"/>
      <c r="M4848" s="13"/>
    </row>
    <row r="4849" spans="12:13" x14ac:dyDescent="0.2">
      <c r="L4849" s="12"/>
      <c r="M4849" s="13"/>
    </row>
    <row r="4850" spans="12:13" x14ac:dyDescent="0.2">
      <c r="L4850" s="12"/>
      <c r="M4850" s="13"/>
    </row>
    <row r="4851" spans="12:13" x14ac:dyDescent="0.2">
      <c r="L4851" s="12"/>
      <c r="M4851" s="13"/>
    </row>
    <row r="4852" spans="12:13" x14ac:dyDescent="0.2">
      <c r="L4852" s="12"/>
      <c r="M4852" s="13"/>
    </row>
    <row r="4853" spans="12:13" x14ac:dyDescent="0.2">
      <c r="L4853" s="12"/>
      <c r="M4853" s="13"/>
    </row>
    <row r="4854" spans="12:13" x14ac:dyDescent="0.2">
      <c r="L4854" s="12"/>
      <c r="M4854" s="13"/>
    </row>
    <row r="4855" spans="12:13" x14ac:dyDescent="0.2">
      <c r="L4855" s="12"/>
      <c r="M4855" s="13"/>
    </row>
    <row r="4856" spans="12:13" x14ac:dyDescent="0.2">
      <c r="L4856" s="12"/>
      <c r="M4856" s="13"/>
    </row>
    <row r="4857" spans="12:13" x14ac:dyDescent="0.2">
      <c r="L4857" s="12"/>
      <c r="M4857" s="13"/>
    </row>
    <row r="4858" spans="12:13" x14ac:dyDescent="0.2">
      <c r="L4858" s="12"/>
      <c r="M4858" s="13"/>
    </row>
    <row r="4859" spans="12:13" x14ac:dyDescent="0.2">
      <c r="L4859" s="12"/>
      <c r="M4859" s="13"/>
    </row>
    <row r="4860" spans="12:13" x14ac:dyDescent="0.2">
      <c r="L4860" s="12"/>
      <c r="M4860" s="13"/>
    </row>
    <row r="4861" spans="12:13" x14ac:dyDescent="0.2">
      <c r="L4861" s="12"/>
      <c r="M4861" s="13"/>
    </row>
    <row r="4862" spans="12:13" x14ac:dyDescent="0.2">
      <c r="L4862" s="12"/>
      <c r="M4862" s="13"/>
    </row>
    <row r="4863" spans="12:13" x14ac:dyDescent="0.2">
      <c r="L4863" s="12"/>
      <c r="M4863" s="13"/>
    </row>
    <row r="4864" spans="12:13" x14ac:dyDescent="0.2">
      <c r="L4864" s="12"/>
      <c r="M4864" s="13"/>
    </row>
    <row r="4865" spans="12:13" x14ac:dyDescent="0.2">
      <c r="L4865" s="12"/>
      <c r="M4865" s="13"/>
    </row>
    <row r="4866" spans="12:13" x14ac:dyDescent="0.2">
      <c r="L4866" s="17"/>
      <c r="M4866" s="18"/>
    </row>
    <row r="4867" spans="12:13" x14ac:dyDescent="0.2">
      <c r="L4867" s="12"/>
      <c r="M4867" s="13"/>
    </row>
    <row r="4868" spans="12:13" x14ac:dyDescent="0.2">
      <c r="L4868" s="12"/>
      <c r="M4868" s="13"/>
    </row>
    <row r="4869" spans="12:13" x14ac:dyDescent="0.2">
      <c r="L4869" s="12"/>
      <c r="M4869" s="13"/>
    </row>
    <row r="4870" spans="12:13" x14ac:dyDescent="0.2">
      <c r="L4870" s="12"/>
      <c r="M4870" s="13"/>
    </row>
    <row r="4871" spans="12:13" x14ac:dyDescent="0.2">
      <c r="L4871" s="12"/>
      <c r="M4871" s="13"/>
    </row>
    <row r="4872" spans="12:13" x14ac:dyDescent="0.2">
      <c r="L4872" s="12"/>
      <c r="M4872" s="13"/>
    </row>
    <row r="4873" spans="12:13" x14ac:dyDescent="0.2">
      <c r="L4873" s="12"/>
      <c r="M4873" s="13"/>
    </row>
    <row r="4874" spans="12:13" x14ac:dyDescent="0.2">
      <c r="L4874" s="12"/>
      <c r="M4874" s="13"/>
    </row>
    <row r="4875" spans="12:13" x14ac:dyDescent="0.2">
      <c r="L4875" s="12"/>
      <c r="M4875" s="13"/>
    </row>
    <row r="4876" spans="12:13" x14ac:dyDescent="0.2">
      <c r="L4876" s="12"/>
      <c r="M4876" s="13"/>
    </row>
    <row r="4877" spans="12:13" x14ac:dyDescent="0.2">
      <c r="L4877" s="12"/>
      <c r="M4877" s="13"/>
    </row>
    <row r="4878" spans="12:13" x14ac:dyDescent="0.2">
      <c r="L4878" s="12"/>
      <c r="M4878" s="13"/>
    </row>
    <row r="4879" spans="12:13" x14ac:dyDescent="0.2">
      <c r="L4879" s="12"/>
      <c r="M4879" s="13"/>
    </row>
    <row r="4880" spans="12:13" x14ac:dyDescent="0.2">
      <c r="L4880" s="12"/>
      <c r="M4880" s="13"/>
    </row>
    <row r="4881" spans="12:13" x14ac:dyDescent="0.2">
      <c r="L4881" s="12"/>
      <c r="M4881" s="13"/>
    </row>
    <row r="4882" spans="12:13" x14ac:dyDescent="0.2">
      <c r="L4882" s="12"/>
      <c r="M4882" s="13"/>
    </row>
    <row r="4883" spans="12:13" x14ac:dyDescent="0.2">
      <c r="L4883" s="12"/>
      <c r="M4883" s="13"/>
    </row>
    <row r="4884" spans="12:13" x14ac:dyDescent="0.2">
      <c r="L4884" s="12"/>
      <c r="M4884" s="13"/>
    </row>
    <row r="4885" spans="12:13" x14ac:dyDescent="0.2">
      <c r="L4885" s="12"/>
      <c r="M4885" s="13"/>
    </row>
    <row r="4886" spans="12:13" x14ac:dyDescent="0.2">
      <c r="L4886" s="12"/>
      <c r="M4886" s="13"/>
    </row>
    <row r="4887" spans="12:13" x14ac:dyDescent="0.2">
      <c r="L4887" s="12"/>
      <c r="M4887" s="13"/>
    </row>
    <row r="4888" spans="12:13" x14ac:dyDescent="0.2">
      <c r="L4888" s="12"/>
      <c r="M4888" s="13"/>
    </row>
    <row r="4889" spans="12:13" x14ac:dyDescent="0.2">
      <c r="L4889" s="12"/>
      <c r="M4889" s="13"/>
    </row>
    <row r="4890" spans="12:13" x14ac:dyDescent="0.2">
      <c r="L4890" s="12"/>
      <c r="M4890" s="13"/>
    </row>
    <row r="4891" spans="12:13" x14ac:dyDescent="0.2">
      <c r="L4891" s="12"/>
      <c r="M4891" s="13"/>
    </row>
    <row r="4892" spans="12:13" x14ac:dyDescent="0.2">
      <c r="L4892" s="12"/>
      <c r="M4892" s="13"/>
    </row>
    <row r="4893" spans="12:13" x14ac:dyDescent="0.2">
      <c r="L4893" s="12"/>
      <c r="M4893" s="13"/>
    </row>
    <row r="4894" spans="12:13" x14ac:dyDescent="0.2">
      <c r="L4894" s="12"/>
      <c r="M4894" s="13"/>
    </row>
    <row r="4895" spans="12:13" x14ac:dyDescent="0.2">
      <c r="L4895" s="12"/>
      <c r="M4895" s="13"/>
    </row>
    <row r="4896" spans="12:13" x14ac:dyDescent="0.2">
      <c r="L4896" s="12"/>
      <c r="M4896" s="13"/>
    </row>
    <row r="4897" spans="12:13" x14ac:dyDescent="0.2">
      <c r="L4897" s="12"/>
      <c r="M4897" s="13"/>
    </row>
    <row r="4898" spans="12:13" x14ac:dyDescent="0.2">
      <c r="L4898" s="12"/>
      <c r="M4898" s="13"/>
    </row>
    <row r="4899" spans="12:13" x14ac:dyDescent="0.2">
      <c r="L4899" s="12"/>
      <c r="M4899" s="13"/>
    </row>
    <row r="4900" spans="12:13" x14ac:dyDescent="0.2">
      <c r="L4900" s="12"/>
      <c r="M4900" s="13"/>
    </row>
    <row r="4901" spans="12:13" x14ac:dyDescent="0.2">
      <c r="L4901" s="12"/>
      <c r="M4901" s="13"/>
    </row>
    <row r="4902" spans="12:13" x14ac:dyDescent="0.2">
      <c r="L4902" s="12"/>
      <c r="M4902" s="13"/>
    </row>
    <row r="4903" spans="12:13" x14ac:dyDescent="0.2">
      <c r="L4903" s="12"/>
      <c r="M4903" s="13"/>
    </row>
    <row r="4904" spans="12:13" x14ac:dyDescent="0.2">
      <c r="L4904" s="12"/>
      <c r="M4904" s="13"/>
    </row>
    <row r="4905" spans="12:13" x14ac:dyDescent="0.2">
      <c r="L4905" s="12"/>
      <c r="M4905" s="13"/>
    </row>
    <row r="4906" spans="12:13" x14ac:dyDescent="0.2">
      <c r="L4906" s="12"/>
      <c r="M4906" s="13"/>
    </row>
    <row r="4907" spans="12:13" x14ac:dyDescent="0.2">
      <c r="L4907" s="12"/>
      <c r="M4907" s="13"/>
    </row>
    <row r="4908" spans="12:13" x14ac:dyDescent="0.2">
      <c r="L4908" s="12"/>
      <c r="M4908" s="13"/>
    </row>
    <row r="4909" spans="12:13" x14ac:dyDescent="0.2">
      <c r="L4909" s="12"/>
      <c r="M4909" s="13"/>
    </row>
    <row r="4910" spans="12:13" x14ac:dyDescent="0.2">
      <c r="L4910" s="12"/>
      <c r="M4910" s="13"/>
    </row>
    <row r="4911" spans="12:13" x14ac:dyDescent="0.2">
      <c r="L4911" s="12"/>
      <c r="M4911" s="13"/>
    </row>
    <row r="4912" spans="12:13" x14ac:dyDescent="0.2">
      <c r="L4912" s="12"/>
      <c r="M4912" s="13"/>
    </row>
    <row r="4913" spans="12:13" x14ac:dyDescent="0.2">
      <c r="L4913" s="12"/>
      <c r="M4913" s="13"/>
    </row>
    <row r="4914" spans="12:13" x14ac:dyDescent="0.2">
      <c r="L4914" s="12"/>
      <c r="M4914" s="13"/>
    </row>
    <row r="4915" spans="12:13" x14ac:dyDescent="0.2">
      <c r="L4915" s="12"/>
      <c r="M4915" s="13"/>
    </row>
    <row r="4916" spans="12:13" x14ac:dyDescent="0.2">
      <c r="L4916" s="12"/>
      <c r="M4916" s="13"/>
    </row>
    <row r="4917" spans="12:13" x14ac:dyDescent="0.2">
      <c r="L4917" s="12"/>
      <c r="M4917" s="13"/>
    </row>
    <row r="4918" spans="12:13" x14ac:dyDescent="0.2">
      <c r="L4918" s="12"/>
      <c r="M4918" s="13"/>
    </row>
    <row r="4919" spans="12:13" x14ac:dyDescent="0.2">
      <c r="L4919" s="12"/>
      <c r="M4919" s="13"/>
    </row>
    <row r="4920" spans="12:13" x14ac:dyDescent="0.2">
      <c r="L4920" s="12"/>
      <c r="M4920" s="13"/>
    </row>
    <row r="4921" spans="12:13" x14ac:dyDescent="0.2">
      <c r="L4921" s="12"/>
      <c r="M4921" s="13"/>
    </row>
    <row r="4922" spans="12:13" x14ac:dyDescent="0.2">
      <c r="L4922" s="12"/>
      <c r="M4922" s="13"/>
    </row>
    <row r="4923" spans="12:13" x14ac:dyDescent="0.2">
      <c r="L4923" s="12"/>
      <c r="M4923" s="13"/>
    </row>
    <row r="4924" spans="12:13" x14ac:dyDescent="0.2">
      <c r="L4924" s="12"/>
      <c r="M4924" s="13"/>
    </row>
    <row r="4925" spans="12:13" x14ac:dyDescent="0.2">
      <c r="L4925" s="12"/>
      <c r="M4925" s="13"/>
    </row>
    <row r="4926" spans="12:13" x14ac:dyDescent="0.2">
      <c r="L4926" s="12"/>
      <c r="M4926" s="13"/>
    </row>
    <row r="4927" spans="12:13" x14ac:dyDescent="0.2">
      <c r="L4927" s="12"/>
      <c r="M4927" s="13"/>
    </row>
    <row r="4928" spans="12:13" x14ac:dyDescent="0.2">
      <c r="L4928" s="12"/>
      <c r="M4928" s="13"/>
    </row>
    <row r="4929" spans="12:13" x14ac:dyDescent="0.2">
      <c r="L4929" s="12"/>
      <c r="M4929" s="13"/>
    </row>
    <row r="4930" spans="12:13" x14ac:dyDescent="0.2">
      <c r="L4930" s="12"/>
      <c r="M4930" s="13"/>
    </row>
    <row r="4931" spans="12:13" x14ac:dyDescent="0.2">
      <c r="L4931" s="12"/>
      <c r="M4931" s="13"/>
    </row>
    <row r="4932" spans="12:13" x14ac:dyDescent="0.2">
      <c r="L4932" s="12"/>
      <c r="M4932" s="13"/>
    </row>
    <row r="4933" spans="12:13" x14ac:dyDescent="0.2">
      <c r="L4933" s="12"/>
      <c r="M4933" s="13"/>
    </row>
    <row r="4934" spans="12:13" x14ac:dyDescent="0.2">
      <c r="L4934" s="12"/>
      <c r="M4934" s="13"/>
    </row>
    <row r="4935" spans="12:13" x14ac:dyDescent="0.2">
      <c r="L4935" s="12"/>
      <c r="M4935" s="13"/>
    </row>
    <row r="4936" spans="12:13" x14ac:dyDescent="0.2">
      <c r="L4936" s="12"/>
      <c r="M4936" s="13"/>
    </row>
    <row r="4937" spans="12:13" x14ac:dyDescent="0.2">
      <c r="L4937" s="12"/>
      <c r="M4937" s="13"/>
    </row>
    <row r="4938" spans="12:13" x14ac:dyDescent="0.2">
      <c r="L4938" s="12"/>
      <c r="M4938" s="13"/>
    </row>
    <row r="4939" spans="12:13" x14ac:dyDescent="0.2">
      <c r="L4939" s="12"/>
      <c r="M4939" s="13"/>
    </row>
    <row r="4940" spans="12:13" x14ac:dyDescent="0.2">
      <c r="L4940" s="12"/>
      <c r="M4940" s="13"/>
    </row>
    <row r="4941" spans="12:13" x14ac:dyDescent="0.2">
      <c r="L4941" s="12"/>
      <c r="M4941" s="13"/>
    </row>
    <row r="4942" spans="12:13" x14ac:dyDescent="0.2">
      <c r="L4942" s="12"/>
      <c r="M4942" s="13"/>
    </row>
    <row r="4943" spans="12:13" x14ac:dyDescent="0.2">
      <c r="L4943" s="12"/>
      <c r="M4943" s="13"/>
    </row>
    <row r="4944" spans="12:13" x14ac:dyDescent="0.2">
      <c r="L4944" s="12"/>
      <c r="M4944" s="13"/>
    </row>
    <row r="4945" spans="12:13" x14ac:dyDescent="0.2">
      <c r="L4945" s="12"/>
      <c r="M4945" s="13"/>
    </row>
    <row r="4946" spans="12:13" x14ac:dyDescent="0.2">
      <c r="L4946" s="12"/>
      <c r="M4946" s="13"/>
    </row>
    <row r="4947" spans="12:13" x14ac:dyDescent="0.2">
      <c r="L4947" s="12"/>
      <c r="M4947" s="13"/>
    </row>
    <row r="4948" spans="12:13" x14ac:dyDescent="0.2">
      <c r="L4948" s="12"/>
      <c r="M4948" s="13"/>
    </row>
    <row r="4949" spans="12:13" x14ac:dyDescent="0.2">
      <c r="L4949" s="12"/>
      <c r="M4949" s="13"/>
    </row>
    <row r="4950" spans="12:13" x14ac:dyDescent="0.2">
      <c r="L4950" s="12"/>
      <c r="M4950" s="13"/>
    </row>
    <row r="4951" spans="12:13" x14ac:dyDescent="0.2">
      <c r="L4951" s="12"/>
      <c r="M4951" s="13"/>
    </row>
    <row r="4952" spans="12:13" x14ac:dyDescent="0.2">
      <c r="L4952" s="12"/>
      <c r="M4952" s="13"/>
    </row>
    <row r="4953" spans="12:13" x14ac:dyDescent="0.2">
      <c r="L4953" s="12"/>
      <c r="M4953" s="13"/>
    </row>
    <row r="4954" spans="12:13" x14ac:dyDescent="0.2">
      <c r="L4954" s="12"/>
      <c r="M4954" s="13"/>
    </row>
    <row r="4955" spans="12:13" x14ac:dyDescent="0.2">
      <c r="L4955" s="12"/>
      <c r="M4955" s="13"/>
    </row>
    <row r="4956" spans="12:13" x14ac:dyDescent="0.2">
      <c r="L4956" s="12"/>
      <c r="M4956" s="13"/>
    </row>
    <row r="4957" spans="12:13" x14ac:dyDescent="0.2">
      <c r="L4957" s="12"/>
      <c r="M4957" s="13"/>
    </row>
    <row r="4958" spans="12:13" x14ac:dyDescent="0.2">
      <c r="L4958" s="12"/>
      <c r="M4958" s="13"/>
    </row>
    <row r="4959" spans="12:13" x14ac:dyDescent="0.2">
      <c r="L4959" s="12"/>
      <c r="M4959" s="13"/>
    </row>
    <row r="4960" spans="12:13" x14ac:dyDescent="0.2">
      <c r="L4960" s="12"/>
      <c r="M4960" s="13"/>
    </row>
    <row r="4961" spans="12:13" x14ac:dyDescent="0.2">
      <c r="L4961" s="12"/>
      <c r="M4961" s="13"/>
    </row>
    <row r="4962" spans="12:13" x14ac:dyDescent="0.2">
      <c r="L4962" s="12"/>
      <c r="M4962" s="13"/>
    </row>
    <row r="4963" spans="12:13" x14ac:dyDescent="0.2">
      <c r="L4963" s="12"/>
      <c r="M4963" s="13"/>
    </row>
    <row r="4964" spans="12:13" x14ac:dyDescent="0.2">
      <c r="L4964" s="12"/>
      <c r="M4964" s="13"/>
    </row>
    <row r="4965" spans="12:13" x14ac:dyDescent="0.2">
      <c r="L4965" s="12"/>
      <c r="M4965" s="13"/>
    </row>
    <row r="4966" spans="12:13" x14ac:dyDescent="0.2">
      <c r="L4966" s="12"/>
      <c r="M4966" s="13"/>
    </row>
    <row r="4967" spans="12:13" x14ac:dyDescent="0.2">
      <c r="L4967" s="12"/>
      <c r="M4967" s="13"/>
    </row>
    <row r="4968" spans="12:13" x14ac:dyDescent="0.2">
      <c r="L4968" s="12"/>
      <c r="M4968" s="13"/>
    </row>
    <row r="4969" spans="12:13" x14ac:dyDescent="0.2">
      <c r="L4969" s="12"/>
      <c r="M4969" s="13"/>
    </row>
    <row r="4970" spans="12:13" x14ac:dyDescent="0.2">
      <c r="L4970" s="12"/>
      <c r="M4970" s="13"/>
    </row>
    <row r="4971" spans="12:13" x14ac:dyDescent="0.2">
      <c r="L4971" s="12"/>
      <c r="M4971" s="13"/>
    </row>
    <row r="4972" spans="12:13" x14ac:dyDescent="0.2">
      <c r="L4972" s="12"/>
      <c r="M4972" s="13"/>
    </row>
    <row r="4973" spans="12:13" x14ac:dyDescent="0.2">
      <c r="L4973" s="12"/>
      <c r="M4973" s="13"/>
    </row>
    <row r="4974" spans="12:13" x14ac:dyDescent="0.2">
      <c r="L4974" s="12"/>
      <c r="M4974" s="13"/>
    </row>
    <row r="4975" spans="12:13" x14ac:dyDescent="0.2">
      <c r="L4975" s="12"/>
      <c r="M4975" s="13"/>
    </row>
    <row r="4976" spans="12:13" x14ac:dyDescent="0.2">
      <c r="L4976" s="12"/>
      <c r="M4976" s="13"/>
    </row>
    <row r="4977" spans="12:13" x14ac:dyDescent="0.2">
      <c r="L4977" s="12"/>
      <c r="M4977" s="13"/>
    </row>
    <row r="4978" spans="12:13" x14ac:dyDescent="0.2">
      <c r="L4978" s="12"/>
      <c r="M4978" s="13"/>
    </row>
    <row r="4979" spans="12:13" x14ac:dyDescent="0.2">
      <c r="L4979" s="12"/>
      <c r="M4979" s="13"/>
    </row>
    <row r="4980" spans="12:13" x14ac:dyDescent="0.2">
      <c r="L4980" s="12"/>
      <c r="M4980" s="13"/>
    </row>
    <row r="4981" spans="12:13" x14ac:dyDescent="0.2">
      <c r="L4981" s="12"/>
      <c r="M4981" s="13"/>
    </row>
    <row r="4982" spans="12:13" x14ac:dyDescent="0.2">
      <c r="L4982" s="12"/>
      <c r="M4982" s="13"/>
    </row>
    <row r="4983" spans="12:13" x14ac:dyDescent="0.2">
      <c r="L4983" s="12"/>
      <c r="M4983" s="13"/>
    </row>
    <row r="4984" spans="12:13" x14ac:dyDescent="0.2">
      <c r="L4984" s="12"/>
      <c r="M4984" s="13"/>
    </row>
    <row r="4985" spans="12:13" x14ac:dyDescent="0.2">
      <c r="L4985" s="12"/>
      <c r="M4985" s="13"/>
    </row>
    <row r="4986" spans="12:13" x14ac:dyDescent="0.2">
      <c r="L4986" s="12"/>
      <c r="M4986" s="13"/>
    </row>
    <row r="4987" spans="12:13" x14ac:dyDescent="0.2">
      <c r="L4987" s="12"/>
      <c r="M4987" s="13"/>
    </row>
    <row r="4988" spans="12:13" x14ac:dyDescent="0.2">
      <c r="L4988" s="12"/>
      <c r="M4988" s="13"/>
    </row>
    <row r="4989" spans="12:13" x14ac:dyDescent="0.2">
      <c r="L4989" s="12"/>
      <c r="M4989" s="13"/>
    </row>
    <row r="4990" spans="12:13" x14ac:dyDescent="0.2">
      <c r="L4990" s="12"/>
      <c r="M4990" s="13"/>
    </row>
    <row r="4991" spans="12:13" x14ac:dyDescent="0.2">
      <c r="L4991" s="12"/>
      <c r="M4991" s="13"/>
    </row>
    <row r="4992" spans="12:13" x14ac:dyDescent="0.2">
      <c r="L4992" s="12"/>
      <c r="M4992" s="13"/>
    </row>
    <row r="4993" spans="12:13" x14ac:dyDescent="0.2">
      <c r="L4993" s="12"/>
      <c r="M4993" s="13"/>
    </row>
    <row r="4994" spans="12:13" x14ac:dyDescent="0.2">
      <c r="L4994" s="12"/>
      <c r="M4994" s="13"/>
    </row>
    <row r="4995" spans="12:13" x14ac:dyDescent="0.2">
      <c r="L4995" s="12"/>
      <c r="M4995" s="13"/>
    </row>
    <row r="4996" spans="12:13" x14ac:dyDescent="0.2">
      <c r="L4996" s="12"/>
      <c r="M4996" s="13"/>
    </row>
    <row r="4997" spans="12:13" x14ac:dyDescent="0.2">
      <c r="L4997" s="12"/>
      <c r="M4997" s="13"/>
    </row>
    <row r="4998" spans="12:13" x14ac:dyDescent="0.2">
      <c r="L4998" s="12"/>
      <c r="M4998" s="13"/>
    </row>
    <row r="4999" spans="12:13" x14ac:dyDescent="0.2">
      <c r="L4999" s="12"/>
      <c r="M4999" s="13"/>
    </row>
    <row r="5000" spans="12:13" x14ac:dyDescent="0.2">
      <c r="L5000" s="12"/>
      <c r="M5000" s="13"/>
    </row>
    <row r="5001" spans="12:13" x14ac:dyDescent="0.2">
      <c r="L5001" s="12"/>
      <c r="M5001" s="13"/>
    </row>
    <row r="5002" spans="12:13" x14ac:dyDescent="0.2">
      <c r="L5002" s="12"/>
      <c r="M5002" s="13"/>
    </row>
    <row r="5003" spans="12:13" x14ac:dyDescent="0.2">
      <c r="L5003" s="12"/>
      <c r="M5003" s="13"/>
    </row>
    <row r="5004" spans="12:13" x14ac:dyDescent="0.2">
      <c r="L5004" s="12"/>
      <c r="M5004" s="13"/>
    </row>
    <row r="5005" spans="12:13" x14ac:dyDescent="0.2">
      <c r="L5005" s="12"/>
      <c r="M5005" s="13"/>
    </row>
    <row r="5006" spans="12:13" x14ac:dyDescent="0.2">
      <c r="L5006" s="12"/>
      <c r="M5006" s="13"/>
    </row>
    <row r="5007" spans="12:13" x14ac:dyDescent="0.2">
      <c r="L5007" s="12"/>
      <c r="M5007" s="13"/>
    </row>
    <row r="5008" spans="12:13" x14ac:dyDescent="0.2">
      <c r="L5008" s="12"/>
      <c r="M5008" s="13"/>
    </row>
    <row r="5009" spans="12:13" x14ac:dyDescent="0.2">
      <c r="L5009" s="12"/>
      <c r="M5009" s="13"/>
    </row>
    <row r="5010" spans="12:13" x14ac:dyDescent="0.2">
      <c r="L5010" s="12"/>
      <c r="M5010" s="13"/>
    </row>
    <row r="5011" spans="12:13" x14ac:dyDescent="0.2">
      <c r="L5011" s="12"/>
      <c r="M5011" s="13"/>
    </row>
    <row r="5012" spans="12:13" x14ac:dyDescent="0.2">
      <c r="L5012" s="12"/>
      <c r="M5012" s="13"/>
    </row>
    <row r="5013" spans="12:13" x14ac:dyDescent="0.2">
      <c r="L5013" s="12"/>
      <c r="M5013" s="13"/>
    </row>
    <row r="5014" spans="12:13" x14ac:dyDescent="0.2">
      <c r="L5014" s="12"/>
      <c r="M5014" s="13"/>
    </row>
    <row r="5015" spans="12:13" x14ac:dyDescent="0.2">
      <c r="L5015" s="12"/>
      <c r="M5015" s="13"/>
    </row>
    <row r="5016" spans="12:13" x14ac:dyDescent="0.2">
      <c r="L5016" s="12"/>
      <c r="M5016" s="13"/>
    </row>
    <row r="5017" spans="12:13" x14ac:dyDescent="0.2">
      <c r="L5017" s="12"/>
      <c r="M5017" s="13"/>
    </row>
    <row r="5018" spans="12:13" x14ac:dyDescent="0.2">
      <c r="L5018" s="12"/>
      <c r="M5018" s="13"/>
    </row>
    <row r="5019" spans="12:13" x14ac:dyDescent="0.2">
      <c r="L5019" s="12"/>
      <c r="M5019" s="13"/>
    </row>
    <row r="5020" spans="12:13" x14ac:dyDescent="0.2">
      <c r="L5020" s="12"/>
      <c r="M5020" s="13"/>
    </row>
    <row r="5021" spans="12:13" x14ac:dyDescent="0.2">
      <c r="L5021" s="12"/>
      <c r="M5021" s="13"/>
    </row>
    <row r="5022" spans="12:13" x14ac:dyDescent="0.2">
      <c r="L5022" s="12"/>
      <c r="M5022" s="13"/>
    </row>
    <row r="5023" spans="12:13" x14ac:dyDescent="0.2">
      <c r="L5023" s="12"/>
      <c r="M5023" s="13"/>
    </row>
    <row r="5024" spans="12:13" x14ac:dyDescent="0.2">
      <c r="L5024" s="12"/>
      <c r="M5024" s="13"/>
    </row>
    <row r="5025" spans="12:13" x14ac:dyDescent="0.2">
      <c r="L5025" s="12"/>
      <c r="M5025" s="13"/>
    </row>
    <row r="5026" spans="12:13" x14ac:dyDescent="0.2">
      <c r="L5026" s="12"/>
      <c r="M5026" s="13"/>
    </row>
    <row r="5027" spans="12:13" x14ac:dyDescent="0.2">
      <c r="L5027" s="12"/>
      <c r="M5027" s="13"/>
    </row>
    <row r="5028" spans="12:13" x14ac:dyDescent="0.2">
      <c r="L5028" s="12"/>
      <c r="M5028" s="13"/>
    </row>
    <row r="5029" spans="12:13" x14ac:dyDescent="0.2">
      <c r="L5029" s="12"/>
      <c r="M5029" s="13"/>
    </row>
    <row r="5030" spans="12:13" x14ac:dyDescent="0.2">
      <c r="L5030" s="12"/>
      <c r="M5030" s="13"/>
    </row>
    <row r="5031" spans="12:13" x14ac:dyDescent="0.2">
      <c r="L5031" s="12"/>
      <c r="M5031" s="13"/>
    </row>
    <row r="5032" spans="12:13" x14ac:dyDescent="0.2">
      <c r="L5032" s="12"/>
      <c r="M5032" s="13"/>
    </row>
    <row r="5033" spans="12:13" x14ac:dyDescent="0.2">
      <c r="L5033" s="12"/>
      <c r="M5033" s="13"/>
    </row>
    <row r="5034" spans="12:13" x14ac:dyDescent="0.2">
      <c r="L5034" s="12"/>
      <c r="M5034" s="13"/>
    </row>
    <row r="5035" spans="12:13" x14ac:dyDescent="0.2">
      <c r="L5035" s="12"/>
      <c r="M5035" s="13"/>
    </row>
    <row r="5036" spans="12:13" x14ac:dyDescent="0.2">
      <c r="L5036" s="12"/>
      <c r="M5036" s="13"/>
    </row>
    <row r="5037" spans="12:13" x14ac:dyDescent="0.2">
      <c r="L5037" s="12"/>
      <c r="M5037" s="13"/>
    </row>
    <row r="5038" spans="12:13" x14ac:dyDescent="0.2">
      <c r="L5038" s="12"/>
      <c r="M5038" s="13"/>
    </row>
    <row r="5039" spans="12:13" x14ac:dyDescent="0.2">
      <c r="L5039" s="12"/>
      <c r="M5039" s="13"/>
    </row>
    <row r="5040" spans="12:13" x14ac:dyDescent="0.2">
      <c r="L5040" s="12"/>
      <c r="M5040" s="13"/>
    </row>
    <row r="5041" spans="12:13" x14ac:dyDescent="0.2">
      <c r="L5041" s="12"/>
      <c r="M5041" s="13"/>
    </row>
    <row r="5042" spans="12:13" x14ac:dyDescent="0.2">
      <c r="L5042" s="12"/>
      <c r="M5042" s="13"/>
    </row>
    <row r="5043" spans="12:13" x14ac:dyDescent="0.2">
      <c r="L5043" s="12"/>
      <c r="M5043" s="13"/>
    </row>
    <row r="5044" spans="12:13" x14ac:dyDescent="0.2">
      <c r="L5044" s="12"/>
      <c r="M5044" s="13"/>
    </row>
    <row r="5045" spans="12:13" x14ac:dyDescent="0.2">
      <c r="L5045" s="12"/>
      <c r="M5045" s="13"/>
    </row>
    <row r="5046" spans="12:13" x14ac:dyDescent="0.2">
      <c r="L5046" s="12"/>
      <c r="M5046" s="13"/>
    </row>
    <row r="5047" spans="12:13" x14ac:dyDescent="0.2">
      <c r="L5047" s="12"/>
      <c r="M5047" s="13"/>
    </row>
    <row r="5048" spans="12:13" x14ac:dyDescent="0.2">
      <c r="L5048" s="12"/>
      <c r="M5048" s="13"/>
    </row>
    <row r="5049" spans="12:13" x14ac:dyDescent="0.2">
      <c r="L5049" s="12"/>
      <c r="M5049" s="13"/>
    </row>
    <row r="5050" spans="12:13" x14ac:dyDescent="0.2">
      <c r="L5050" s="12"/>
      <c r="M5050" s="13"/>
    </row>
    <row r="5051" spans="12:13" x14ac:dyDescent="0.2">
      <c r="L5051" s="12"/>
      <c r="M5051" s="13"/>
    </row>
    <row r="5052" spans="12:13" x14ac:dyDescent="0.2">
      <c r="L5052" s="12"/>
      <c r="M5052" s="13"/>
    </row>
    <row r="5053" spans="12:13" x14ac:dyDescent="0.2">
      <c r="L5053" s="12"/>
      <c r="M5053" s="13"/>
    </row>
    <row r="5054" spans="12:13" x14ac:dyDescent="0.2">
      <c r="L5054" s="12"/>
      <c r="M5054" s="13"/>
    </row>
    <row r="5055" spans="12:13" x14ac:dyDescent="0.2">
      <c r="L5055" s="12"/>
      <c r="M5055" s="13"/>
    </row>
    <row r="5056" spans="12:13" x14ac:dyDescent="0.2">
      <c r="L5056" s="12"/>
      <c r="M5056" s="13"/>
    </row>
    <row r="5057" spans="12:13" x14ac:dyDescent="0.2">
      <c r="L5057" s="12"/>
      <c r="M5057" s="13"/>
    </row>
    <row r="5058" spans="12:13" x14ac:dyDescent="0.2">
      <c r="L5058" s="12"/>
      <c r="M5058" s="13"/>
    </row>
    <row r="5059" spans="12:13" x14ac:dyDescent="0.2">
      <c r="L5059" s="12"/>
      <c r="M5059" s="13"/>
    </row>
    <row r="5060" spans="12:13" x14ac:dyDescent="0.2">
      <c r="L5060" s="12"/>
      <c r="M5060" s="13"/>
    </row>
    <row r="5061" spans="12:13" x14ac:dyDescent="0.2">
      <c r="L5061" s="12"/>
      <c r="M5061" s="13"/>
    </row>
    <row r="5062" spans="12:13" x14ac:dyDescent="0.2">
      <c r="L5062" s="12"/>
      <c r="M5062" s="13"/>
    </row>
    <row r="5063" spans="12:13" x14ac:dyDescent="0.2">
      <c r="L5063" s="12"/>
      <c r="M5063" s="13"/>
    </row>
    <row r="5064" spans="12:13" x14ac:dyDescent="0.2">
      <c r="L5064" s="12"/>
      <c r="M5064" s="13"/>
    </row>
    <row r="5065" spans="12:13" x14ac:dyDescent="0.2">
      <c r="L5065" s="12"/>
      <c r="M5065" s="13"/>
    </row>
    <row r="5066" spans="12:13" x14ac:dyDescent="0.2">
      <c r="L5066" s="12"/>
      <c r="M5066" s="13"/>
    </row>
    <row r="5067" spans="12:13" x14ac:dyDescent="0.2">
      <c r="L5067" s="12"/>
      <c r="M5067" s="13"/>
    </row>
    <row r="5068" spans="12:13" x14ac:dyDescent="0.2">
      <c r="L5068" s="12"/>
      <c r="M5068" s="13"/>
    </row>
    <row r="5069" spans="12:13" x14ac:dyDescent="0.2">
      <c r="L5069" s="12"/>
      <c r="M5069" s="13"/>
    </row>
    <row r="5070" spans="12:13" x14ac:dyDescent="0.2">
      <c r="L5070" s="12"/>
      <c r="M5070" s="13"/>
    </row>
    <row r="5071" spans="12:13" x14ac:dyDescent="0.2">
      <c r="L5071" s="12"/>
      <c r="M5071" s="13"/>
    </row>
    <row r="5072" spans="12:13" x14ac:dyDescent="0.2">
      <c r="L5072" s="12"/>
      <c r="M5072" s="13"/>
    </row>
    <row r="5073" spans="12:13" x14ac:dyDescent="0.2">
      <c r="L5073" s="12"/>
      <c r="M5073" s="13"/>
    </row>
    <row r="5074" spans="12:13" x14ac:dyDescent="0.2">
      <c r="L5074" s="12"/>
      <c r="M5074" s="13"/>
    </row>
    <row r="5075" spans="12:13" x14ac:dyDescent="0.2">
      <c r="L5075" s="12"/>
      <c r="M5075" s="13"/>
    </row>
    <row r="5076" spans="12:13" x14ac:dyDescent="0.2">
      <c r="L5076" s="12"/>
      <c r="M5076" s="13"/>
    </row>
    <row r="5077" spans="12:13" x14ac:dyDescent="0.2">
      <c r="L5077" s="12"/>
      <c r="M5077" s="13"/>
    </row>
    <row r="5078" spans="12:13" x14ac:dyDescent="0.2">
      <c r="L5078" s="12"/>
      <c r="M5078" s="13"/>
    </row>
    <row r="5079" spans="12:13" x14ac:dyDescent="0.2">
      <c r="L5079" s="12"/>
      <c r="M5079" s="13"/>
    </row>
    <row r="5080" spans="12:13" x14ac:dyDescent="0.2">
      <c r="L5080" s="12"/>
      <c r="M5080" s="13"/>
    </row>
    <row r="5081" spans="12:13" x14ac:dyDescent="0.2">
      <c r="L5081" s="12"/>
      <c r="M5081" s="13"/>
    </row>
    <row r="5082" spans="12:13" x14ac:dyDescent="0.2">
      <c r="L5082" s="12"/>
      <c r="M5082" s="13"/>
    </row>
    <row r="5083" spans="12:13" x14ac:dyDescent="0.2">
      <c r="L5083" s="12"/>
      <c r="M5083" s="13"/>
    </row>
    <row r="5084" spans="12:13" x14ac:dyDescent="0.2">
      <c r="L5084" s="12"/>
      <c r="M5084" s="13"/>
    </row>
    <row r="5085" spans="12:13" x14ac:dyDescent="0.2">
      <c r="L5085" s="12"/>
      <c r="M5085" s="13"/>
    </row>
    <row r="5086" spans="12:13" x14ac:dyDescent="0.2">
      <c r="L5086" s="12"/>
      <c r="M5086" s="13"/>
    </row>
    <row r="5087" spans="12:13" x14ac:dyDescent="0.2">
      <c r="L5087" s="12"/>
      <c r="M5087" s="13"/>
    </row>
    <row r="5088" spans="12:13" x14ac:dyDescent="0.2">
      <c r="L5088" s="12"/>
      <c r="M5088" s="13"/>
    </row>
    <row r="5089" spans="12:13" x14ac:dyDescent="0.2">
      <c r="L5089" s="12"/>
      <c r="M5089" s="13"/>
    </row>
    <row r="5090" spans="12:13" x14ac:dyDescent="0.2">
      <c r="L5090" s="12"/>
      <c r="M5090" s="13"/>
    </row>
    <row r="5091" spans="12:13" x14ac:dyDescent="0.2">
      <c r="L5091" s="12"/>
      <c r="M5091" s="13"/>
    </row>
    <row r="5092" spans="12:13" x14ac:dyDescent="0.2">
      <c r="L5092" s="12"/>
      <c r="M5092" s="13"/>
    </row>
    <row r="5093" spans="12:13" x14ac:dyDescent="0.2">
      <c r="L5093" s="12"/>
      <c r="M5093" s="13"/>
    </row>
    <row r="5094" spans="12:13" x14ac:dyDescent="0.2">
      <c r="L5094" s="12"/>
      <c r="M5094" s="13"/>
    </row>
    <row r="5095" spans="12:13" x14ac:dyDescent="0.2">
      <c r="L5095" s="12"/>
      <c r="M5095" s="13"/>
    </row>
    <row r="5096" spans="12:13" x14ac:dyDescent="0.2">
      <c r="L5096" s="12"/>
      <c r="M5096" s="13"/>
    </row>
    <row r="5097" spans="12:13" x14ac:dyDescent="0.2">
      <c r="L5097" s="12"/>
      <c r="M5097" s="13"/>
    </row>
    <row r="5098" spans="12:13" x14ac:dyDescent="0.2">
      <c r="L5098" s="12"/>
      <c r="M5098" s="13"/>
    </row>
    <row r="5099" spans="12:13" x14ac:dyDescent="0.2">
      <c r="L5099" s="12"/>
      <c r="M5099" s="13"/>
    </row>
    <row r="5100" spans="12:13" x14ac:dyDescent="0.2">
      <c r="L5100" s="12"/>
      <c r="M5100" s="13"/>
    </row>
    <row r="5101" spans="12:13" x14ac:dyDescent="0.2">
      <c r="L5101" s="12"/>
      <c r="M5101" s="13"/>
    </row>
    <row r="5102" spans="12:13" x14ac:dyDescent="0.2">
      <c r="L5102" s="12"/>
      <c r="M5102" s="13"/>
    </row>
    <row r="5103" spans="12:13" x14ac:dyDescent="0.2">
      <c r="L5103" s="12"/>
      <c r="M5103" s="13"/>
    </row>
    <row r="5104" spans="12:13" x14ac:dyDescent="0.2">
      <c r="L5104" s="12"/>
      <c r="M5104" s="13"/>
    </row>
    <row r="5105" spans="12:13" x14ac:dyDescent="0.2">
      <c r="L5105" s="12"/>
      <c r="M5105" s="13"/>
    </row>
    <row r="5106" spans="12:13" x14ac:dyDescent="0.2">
      <c r="L5106" s="12"/>
      <c r="M5106" s="13"/>
    </row>
    <row r="5107" spans="12:13" x14ac:dyDescent="0.2">
      <c r="L5107" s="12"/>
      <c r="M5107" s="13"/>
    </row>
    <row r="5108" spans="12:13" x14ac:dyDescent="0.2">
      <c r="L5108" s="12"/>
      <c r="M5108" s="13"/>
    </row>
    <row r="5109" spans="12:13" x14ac:dyDescent="0.2">
      <c r="L5109" s="12"/>
      <c r="M5109" s="13"/>
    </row>
    <row r="5110" spans="12:13" x14ac:dyDescent="0.2">
      <c r="L5110" s="12"/>
      <c r="M5110" s="13"/>
    </row>
    <row r="5111" spans="12:13" x14ac:dyDescent="0.2">
      <c r="L5111" s="12"/>
      <c r="M5111" s="13"/>
    </row>
    <row r="5112" spans="12:13" x14ac:dyDescent="0.2">
      <c r="L5112" s="12"/>
      <c r="M5112" s="13"/>
    </row>
    <row r="5113" spans="12:13" x14ac:dyDescent="0.2">
      <c r="L5113" s="12"/>
      <c r="M5113" s="13"/>
    </row>
    <row r="5114" spans="12:13" x14ac:dyDescent="0.2">
      <c r="L5114" s="12"/>
      <c r="M5114" s="13"/>
    </row>
    <row r="5115" spans="12:13" x14ac:dyDescent="0.2">
      <c r="L5115" s="12"/>
      <c r="M5115" s="13"/>
    </row>
    <row r="5116" spans="12:13" x14ac:dyDescent="0.2">
      <c r="L5116" s="12"/>
      <c r="M5116" s="13"/>
    </row>
    <row r="5117" spans="12:13" x14ac:dyDescent="0.2">
      <c r="L5117" s="12"/>
      <c r="M5117" s="13"/>
    </row>
    <row r="5118" spans="12:13" x14ac:dyDescent="0.2">
      <c r="L5118" s="12"/>
      <c r="M5118" s="13"/>
    </row>
    <row r="5119" spans="12:13" x14ac:dyDescent="0.2">
      <c r="L5119" s="12"/>
      <c r="M5119" s="13"/>
    </row>
    <row r="5120" spans="12:13" x14ac:dyDescent="0.2">
      <c r="L5120" s="12"/>
      <c r="M5120" s="13"/>
    </row>
    <row r="5121" spans="12:13" x14ac:dyDescent="0.2">
      <c r="L5121" s="12"/>
      <c r="M5121" s="13"/>
    </row>
    <row r="5122" spans="12:13" x14ac:dyDescent="0.2">
      <c r="L5122" s="17"/>
      <c r="M5122" s="18"/>
    </row>
    <row r="5123" spans="12:13" x14ac:dyDescent="0.2">
      <c r="L5123" s="12"/>
      <c r="M5123" s="13"/>
    </row>
    <row r="5124" spans="12:13" x14ac:dyDescent="0.2">
      <c r="L5124" s="12"/>
      <c r="M5124" s="13"/>
    </row>
    <row r="5125" spans="12:13" x14ac:dyDescent="0.2">
      <c r="L5125" s="12"/>
      <c r="M5125" s="13"/>
    </row>
    <row r="5126" spans="12:13" x14ac:dyDescent="0.2">
      <c r="L5126" s="12"/>
      <c r="M5126" s="13"/>
    </row>
    <row r="5127" spans="12:13" x14ac:dyDescent="0.2">
      <c r="L5127" s="12"/>
      <c r="M5127" s="13"/>
    </row>
    <row r="5128" spans="12:13" x14ac:dyDescent="0.2">
      <c r="L5128" s="12"/>
      <c r="M5128" s="13"/>
    </row>
    <row r="5129" spans="12:13" x14ac:dyDescent="0.2">
      <c r="L5129" s="12"/>
      <c r="M5129" s="13"/>
    </row>
    <row r="5130" spans="12:13" x14ac:dyDescent="0.2">
      <c r="L5130" s="12"/>
      <c r="M5130" s="13"/>
    </row>
    <row r="5131" spans="12:13" x14ac:dyDescent="0.2">
      <c r="L5131" s="12"/>
      <c r="M5131" s="13"/>
    </row>
    <row r="5132" spans="12:13" x14ac:dyDescent="0.2">
      <c r="L5132" s="12"/>
      <c r="M5132" s="13"/>
    </row>
    <row r="5133" spans="12:13" x14ac:dyDescent="0.2">
      <c r="L5133" s="12"/>
      <c r="M5133" s="13"/>
    </row>
    <row r="5134" spans="12:13" x14ac:dyDescent="0.2">
      <c r="L5134" s="12"/>
      <c r="M5134" s="13"/>
    </row>
    <row r="5135" spans="12:13" x14ac:dyDescent="0.2">
      <c r="L5135" s="12"/>
      <c r="M5135" s="13"/>
    </row>
    <row r="5136" spans="12:13" x14ac:dyDescent="0.2">
      <c r="L5136" s="12"/>
      <c r="M5136" s="13"/>
    </row>
    <row r="5137" spans="12:13" x14ac:dyDescent="0.2">
      <c r="L5137" s="12"/>
      <c r="M5137" s="13"/>
    </row>
    <row r="5138" spans="12:13" x14ac:dyDescent="0.2">
      <c r="L5138" s="12"/>
      <c r="M5138" s="13"/>
    </row>
    <row r="5139" spans="12:13" x14ac:dyDescent="0.2">
      <c r="L5139" s="12"/>
      <c r="M5139" s="13"/>
    </row>
    <row r="5140" spans="12:13" x14ac:dyDescent="0.2">
      <c r="L5140" s="12"/>
      <c r="M5140" s="13"/>
    </row>
    <row r="5141" spans="12:13" x14ac:dyDescent="0.2">
      <c r="L5141" s="12"/>
      <c r="M5141" s="13"/>
    </row>
    <row r="5142" spans="12:13" x14ac:dyDescent="0.2">
      <c r="L5142" s="12"/>
      <c r="M5142" s="13"/>
    </row>
    <row r="5143" spans="12:13" x14ac:dyDescent="0.2">
      <c r="L5143" s="12"/>
      <c r="M5143" s="13"/>
    </row>
    <row r="5144" spans="12:13" x14ac:dyDescent="0.2">
      <c r="L5144" s="12"/>
      <c r="M5144" s="13"/>
    </row>
    <row r="5145" spans="12:13" x14ac:dyDescent="0.2">
      <c r="L5145" s="12"/>
      <c r="M5145" s="13"/>
    </row>
    <row r="5146" spans="12:13" x14ac:dyDescent="0.2">
      <c r="L5146" s="12"/>
      <c r="M5146" s="13"/>
    </row>
    <row r="5147" spans="12:13" x14ac:dyDescent="0.2">
      <c r="L5147" s="12"/>
      <c r="M5147" s="13"/>
    </row>
    <row r="5148" spans="12:13" x14ac:dyDescent="0.2">
      <c r="L5148" s="12"/>
      <c r="M5148" s="13"/>
    </row>
    <row r="5149" spans="12:13" x14ac:dyDescent="0.2">
      <c r="L5149" s="12"/>
      <c r="M5149" s="13"/>
    </row>
    <row r="5150" spans="12:13" x14ac:dyDescent="0.2">
      <c r="L5150" s="12"/>
      <c r="M5150" s="13"/>
    </row>
    <row r="5151" spans="12:13" x14ac:dyDescent="0.2">
      <c r="L5151" s="12"/>
      <c r="M5151" s="13"/>
    </row>
    <row r="5152" spans="12:13" x14ac:dyDescent="0.2">
      <c r="L5152" s="12"/>
      <c r="M5152" s="13"/>
    </row>
    <row r="5153" spans="12:13" x14ac:dyDescent="0.2">
      <c r="L5153" s="12"/>
      <c r="M5153" s="13"/>
    </row>
    <row r="5154" spans="12:13" x14ac:dyDescent="0.2">
      <c r="L5154" s="12"/>
      <c r="M5154" s="13"/>
    </row>
    <row r="5155" spans="12:13" x14ac:dyDescent="0.2">
      <c r="L5155" s="12"/>
      <c r="M5155" s="13"/>
    </row>
    <row r="5156" spans="12:13" x14ac:dyDescent="0.2">
      <c r="L5156" s="12"/>
      <c r="M5156" s="13"/>
    </row>
    <row r="5157" spans="12:13" x14ac:dyDescent="0.2">
      <c r="L5157" s="12"/>
      <c r="M5157" s="13"/>
    </row>
    <row r="5158" spans="12:13" x14ac:dyDescent="0.2">
      <c r="L5158" s="12"/>
      <c r="M5158" s="13"/>
    </row>
    <row r="5159" spans="12:13" x14ac:dyDescent="0.2">
      <c r="L5159" s="12"/>
      <c r="M5159" s="13"/>
    </row>
    <row r="5160" spans="12:13" x14ac:dyDescent="0.2">
      <c r="L5160" s="12"/>
      <c r="M5160" s="13"/>
    </row>
    <row r="5161" spans="12:13" x14ac:dyDescent="0.2">
      <c r="L5161" s="12"/>
      <c r="M5161" s="13"/>
    </row>
    <row r="5162" spans="12:13" x14ac:dyDescent="0.2">
      <c r="L5162" s="12"/>
      <c r="M5162" s="13"/>
    </row>
    <row r="5163" spans="12:13" x14ac:dyDescent="0.2">
      <c r="L5163" s="12"/>
      <c r="M5163" s="13"/>
    </row>
    <row r="5164" spans="12:13" x14ac:dyDescent="0.2">
      <c r="L5164" s="12"/>
      <c r="M5164" s="13"/>
    </row>
    <row r="5165" spans="12:13" x14ac:dyDescent="0.2">
      <c r="L5165" s="12"/>
      <c r="M5165" s="13"/>
    </row>
    <row r="5166" spans="12:13" x14ac:dyDescent="0.2">
      <c r="L5166" s="12"/>
      <c r="M5166" s="13"/>
    </row>
    <row r="5167" spans="12:13" x14ac:dyDescent="0.2">
      <c r="L5167" s="12"/>
      <c r="M5167" s="13"/>
    </row>
    <row r="5168" spans="12:13" x14ac:dyDescent="0.2">
      <c r="L5168" s="12"/>
      <c r="M5168" s="13"/>
    </row>
    <row r="5169" spans="12:13" x14ac:dyDescent="0.2">
      <c r="L5169" s="12"/>
      <c r="M5169" s="13"/>
    </row>
    <row r="5170" spans="12:13" x14ac:dyDescent="0.2">
      <c r="L5170" s="12"/>
      <c r="M5170" s="13"/>
    </row>
    <row r="5171" spans="12:13" x14ac:dyDescent="0.2">
      <c r="L5171" s="12"/>
      <c r="M5171" s="13"/>
    </row>
    <row r="5172" spans="12:13" x14ac:dyDescent="0.2">
      <c r="L5172" s="12"/>
      <c r="M5172" s="13"/>
    </row>
    <row r="5173" spans="12:13" x14ac:dyDescent="0.2">
      <c r="L5173" s="12"/>
      <c r="M5173" s="13"/>
    </row>
    <row r="5174" spans="12:13" x14ac:dyDescent="0.2">
      <c r="L5174" s="12"/>
      <c r="M5174" s="13"/>
    </row>
    <row r="5175" spans="12:13" x14ac:dyDescent="0.2">
      <c r="L5175" s="12"/>
      <c r="M5175" s="13"/>
    </row>
    <row r="5176" spans="12:13" x14ac:dyDescent="0.2">
      <c r="L5176" s="12"/>
      <c r="M5176" s="13"/>
    </row>
    <row r="5177" spans="12:13" x14ac:dyDescent="0.2">
      <c r="L5177" s="12"/>
      <c r="M5177" s="13"/>
    </row>
    <row r="5178" spans="12:13" x14ac:dyDescent="0.2">
      <c r="L5178" s="12"/>
      <c r="M5178" s="13"/>
    </row>
    <row r="5179" spans="12:13" x14ac:dyDescent="0.2">
      <c r="L5179" s="12"/>
      <c r="M5179" s="13"/>
    </row>
    <row r="5180" spans="12:13" x14ac:dyDescent="0.2">
      <c r="L5180" s="12"/>
      <c r="M5180" s="13"/>
    </row>
    <row r="5181" spans="12:13" x14ac:dyDescent="0.2">
      <c r="L5181" s="12"/>
      <c r="M5181" s="13"/>
    </row>
    <row r="5182" spans="12:13" x14ac:dyDescent="0.2">
      <c r="L5182" s="12"/>
      <c r="M5182" s="13"/>
    </row>
    <row r="5183" spans="12:13" x14ac:dyDescent="0.2">
      <c r="L5183" s="12"/>
      <c r="M5183" s="13"/>
    </row>
    <row r="5184" spans="12:13" x14ac:dyDescent="0.2">
      <c r="L5184" s="12"/>
      <c r="M5184" s="13"/>
    </row>
    <row r="5185" spans="12:13" x14ac:dyDescent="0.2">
      <c r="L5185" s="12"/>
      <c r="M5185" s="13"/>
    </row>
    <row r="5186" spans="12:13" x14ac:dyDescent="0.2">
      <c r="L5186" s="12"/>
      <c r="M5186" s="13"/>
    </row>
    <row r="5187" spans="12:13" x14ac:dyDescent="0.2">
      <c r="L5187" s="12"/>
      <c r="M5187" s="13"/>
    </row>
    <row r="5188" spans="12:13" x14ac:dyDescent="0.2">
      <c r="L5188" s="12"/>
      <c r="M5188" s="13"/>
    </row>
    <row r="5189" spans="12:13" x14ac:dyDescent="0.2">
      <c r="L5189" s="12"/>
      <c r="M5189" s="13"/>
    </row>
    <row r="5190" spans="12:13" x14ac:dyDescent="0.2">
      <c r="L5190" s="12"/>
      <c r="M5190" s="13"/>
    </row>
    <row r="5191" spans="12:13" x14ac:dyDescent="0.2">
      <c r="L5191" s="12"/>
      <c r="M5191" s="13"/>
    </row>
    <row r="5192" spans="12:13" x14ac:dyDescent="0.2">
      <c r="L5192" s="12"/>
      <c r="M5192" s="13"/>
    </row>
    <row r="5193" spans="12:13" x14ac:dyDescent="0.2">
      <c r="L5193" s="12"/>
      <c r="M5193" s="13"/>
    </row>
    <row r="5194" spans="12:13" x14ac:dyDescent="0.2">
      <c r="L5194" s="12"/>
      <c r="M5194" s="13"/>
    </row>
    <row r="5195" spans="12:13" x14ac:dyDescent="0.2">
      <c r="L5195" s="12"/>
      <c r="M5195" s="13"/>
    </row>
    <row r="5196" spans="12:13" x14ac:dyDescent="0.2">
      <c r="L5196" s="12"/>
      <c r="M5196" s="13"/>
    </row>
    <row r="5197" spans="12:13" x14ac:dyDescent="0.2">
      <c r="L5197" s="12"/>
      <c r="M5197" s="13"/>
    </row>
    <row r="5198" spans="12:13" x14ac:dyDescent="0.2">
      <c r="L5198" s="12"/>
      <c r="M5198" s="13"/>
    </row>
    <row r="5199" spans="12:13" x14ac:dyDescent="0.2">
      <c r="L5199" s="12"/>
      <c r="M5199" s="13"/>
    </row>
    <row r="5200" spans="12:13" x14ac:dyDescent="0.2">
      <c r="L5200" s="12"/>
      <c r="M5200" s="13"/>
    </row>
    <row r="5201" spans="12:13" x14ac:dyDescent="0.2">
      <c r="L5201" s="12"/>
      <c r="M5201" s="13"/>
    </row>
    <row r="5202" spans="12:13" x14ac:dyDescent="0.2">
      <c r="L5202" s="12"/>
      <c r="M5202" s="13"/>
    </row>
    <row r="5203" spans="12:13" x14ac:dyDescent="0.2">
      <c r="L5203" s="12"/>
      <c r="M5203" s="13"/>
    </row>
    <row r="5204" spans="12:13" x14ac:dyDescent="0.2">
      <c r="L5204" s="12"/>
      <c r="M5204" s="13"/>
    </row>
    <row r="5205" spans="12:13" x14ac:dyDescent="0.2">
      <c r="L5205" s="12"/>
      <c r="M5205" s="13"/>
    </row>
    <row r="5206" spans="12:13" x14ac:dyDescent="0.2">
      <c r="L5206" s="12"/>
      <c r="M5206" s="13"/>
    </row>
    <row r="5207" spans="12:13" x14ac:dyDescent="0.2">
      <c r="L5207" s="12"/>
      <c r="M5207" s="13"/>
    </row>
    <row r="5208" spans="12:13" x14ac:dyDescent="0.2">
      <c r="L5208" s="12"/>
      <c r="M5208" s="13"/>
    </row>
    <row r="5209" spans="12:13" x14ac:dyDescent="0.2">
      <c r="L5209" s="12"/>
      <c r="M5209" s="13"/>
    </row>
    <row r="5210" spans="12:13" x14ac:dyDescent="0.2">
      <c r="L5210" s="12"/>
      <c r="M5210" s="13"/>
    </row>
    <row r="5211" spans="12:13" x14ac:dyDescent="0.2">
      <c r="L5211" s="12"/>
      <c r="M5211" s="13"/>
    </row>
    <row r="5212" spans="12:13" x14ac:dyDescent="0.2">
      <c r="L5212" s="12"/>
      <c r="M5212" s="13"/>
    </row>
    <row r="5213" spans="12:13" x14ac:dyDescent="0.2">
      <c r="L5213" s="12"/>
      <c r="M5213" s="13"/>
    </row>
    <row r="5214" spans="12:13" x14ac:dyDescent="0.2">
      <c r="L5214" s="12"/>
      <c r="M5214" s="13"/>
    </row>
    <row r="5215" spans="12:13" x14ac:dyDescent="0.2">
      <c r="L5215" s="12"/>
      <c r="M5215" s="13"/>
    </row>
    <row r="5216" spans="12:13" x14ac:dyDescent="0.2">
      <c r="L5216" s="12"/>
      <c r="M5216" s="13"/>
    </row>
    <row r="5217" spans="12:13" x14ac:dyDescent="0.2">
      <c r="L5217" s="12"/>
      <c r="M5217" s="13"/>
    </row>
    <row r="5218" spans="12:13" x14ac:dyDescent="0.2">
      <c r="L5218" s="12"/>
      <c r="M5218" s="13"/>
    </row>
    <row r="5219" spans="12:13" x14ac:dyDescent="0.2">
      <c r="L5219" s="12"/>
      <c r="M5219" s="13"/>
    </row>
    <row r="5220" spans="12:13" x14ac:dyDescent="0.2">
      <c r="L5220" s="12"/>
      <c r="M5220" s="13"/>
    </row>
    <row r="5221" spans="12:13" x14ac:dyDescent="0.2">
      <c r="L5221" s="12"/>
      <c r="M5221" s="13"/>
    </row>
    <row r="5222" spans="12:13" x14ac:dyDescent="0.2">
      <c r="L5222" s="12"/>
      <c r="M5222" s="13"/>
    </row>
    <row r="5223" spans="12:13" x14ac:dyDescent="0.2">
      <c r="L5223" s="12"/>
      <c r="M5223" s="13"/>
    </row>
    <row r="5224" spans="12:13" x14ac:dyDescent="0.2">
      <c r="L5224" s="12"/>
      <c r="M5224" s="13"/>
    </row>
    <row r="5225" spans="12:13" x14ac:dyDescent="0.2">
      <c r="L5225" s="12"/>
      <c r="M5225" s="13"/>
    </row>
    <row r="5226" spans="12:13" x14ac:dyDescent="0.2">
      <c r="L5226" s="12"/>
      <c r="M5226" s="13"/>
    </row>
    <row r="5227" spans="12:13" x14ac:dyDescent="0.2">
      <c r="L5227" s="12"/>
      <c r="M5227" s="13"/>
    </row>
    <row r="5228" spans="12:13" x14ac:dyDescent="0.2">
      <c r="L5228" s="12"/>
      <c r="M5228" s="13"/>
    </row>
    <row r="5229" spans="12:13" x14ac:dyDescent="0.2">
      <c r="L5229" s="12"/>
      <c r="M5229" s="13"/>
    </row>
    <row r="5230" spans="12:13" x14ac:dyDescent="0.2">
      <c r="L5230" s="12"/>
      <c r="M5230" s="13"/>
    </row>
    <row r="5231" spans="12:13" x14ac:dyDescent="0.2">
      <c r="L5231" s="12"/>
      <c r="M5231" s="13"/>
    </row>
    <row r="5232" spans="12:13" x14ac:dyDescent="0.2">
      <c r="L5232" s="12"/>
      <c r="M5232" s="13"/>
    </row>
    <row r="5233" spans="12:13" x14ac:dyDescent="0.2">
      <c r="L5233" s="12"/>
      <c r="M5233" s="13"/>
    </row>
    <row r="5234" spans="12:13" x14ac:dyDescent="0.2">
      <c r="L5234" s="12"/>
      <c r="M5234" s="13"/>
    </row>
    <row r="5235" spans="12:13" x14ac:dyDescent="0.2">
      <c r="L5235" s="12"/>
      <c r="M5235" s="13"/>
    </row>
    <row r="5236" spans="12:13" x14ac:dyDescent="0.2">
      <c r="L5236" s="12"/>
      <c r="M5236" s="13"/>
    </row>
    <row r="5237" spans="12:13" x14ac:dyDescent="0.2">
      <c r="L5237" s="12"/>
      <c r="M5237" s="13"/>
    </row>
    <row r="5238" spans="12:13" x14ac:dyDescent="0.2">
      <c r="L5238" s="12"/>
      <c r="M5238" s="13"/>
    </row>
    <row r="5239" spans="12:13" x14ac:dyDescent="0.2">
      <c r="L5239" s="12"/>
      <c r="M5239" s="13"/>
    </row>
    <row r="5240" spans="12:13" x14ac:dyDescent="0.2">
      <c r="L5240" s="12"/>
      <c r="M5240" s="13"/>
    </row>
    <row r="5241" spans="12:13" x14ac:dyDescent="0.2">
      <c r="L5241" s="12"/>
      <c r="M5241" s="13"/>
    </row>
    <row r="5242" spans="12:13" x14ac:dyDescent="0.2">
      <c r="L5242" s="12"/>
      <c r="M5242" s="13"/>
    </row>
    <row r="5243" spans="12:13" x14ac:dyDescent="0.2">
      <c r="L5243" s="12"/>
      <c r="M5243" s="13"/>
    </row>
    <row r="5244" spans="12:13" x14ac:dyDescent="0.2">
      <c r="L5244" s="12"/>
      <c r="M5244" s="13"/>
    </row>
    <row r="5245" spans="12:13" x14ac:dyDescent="0.2">
      <c r="L5245" s="12"/>
      <c r="M5245" s="13"/>
    </row>
    <row r="5246" spans="12:13" x14ac:dyDescent="0.2">
      <c r="L5246" s="12"/>
      <c r="M5246" s="13"/>
    </row>
    <row r="5247" spans="12:13" x14ac:dyDescent="0.2">
      <c r="L5247" s="12"/>
      <c r="M5247" s="13"/>
    </row>
    <row r="5248" spans="12:13" x14ac:dyDescent="0.2">
      <c r="L5248" s="12"/>
      <c r="M5248" s="13"/>
    </row>
    <row r="5249" spans="12:13" x14ac:dyDescent="0.2">
      <c r="L5249" s="12"/>
      <c r="M5249" s="13"/>
    </row>
    <row r="5250" spans="12:13" x14ac:dyDescent="0.2">
      <c r="L5250" s="12"/>
      <c r="M5250" s="13"/>
    </row>
    <row r="5251" spans="12:13" x14ac:dyDescent="0.2">
      <c r="L5251" s="12"/>
      <c r="M5251" s="13"/>
    </row>
    <row r="5252" spans="12:13" x14ac:dyDescent="0.2">
      <c r="L5252" s="12"/>
      <c r="M5252" s="13"/>
    </row>
    <row r="5253" spans="12:13" x14ac:dyDescent="0.2">
      <c r="L5253" s="12"/>
      <c r="M5253" s="13"/>
    </row>
    <row r="5254" spans="12:13" x14ac:dyDescent="0.2">
      <c r="L5254" s="12"/>
      <c r="M5254" s="13"/>
    </row>
    <row r="5255" spans="12:13" x14ac:dyDescent="0.2">
      <c r="L5255" s="12"/>
      <c r="M5255" s="13"/>
    </row>
    <row r="5256" spans="12:13" x14ac:dyDescent="0.2">
      <c r="L5256" s="12"/>
      <c r="M5256" s="13"/>
    </row>
    <row r="5257" spans="12:13" x14ac:dyDescent="0.2">
      <c r="L5257" s="12"/>
      <c r="M5257" s="13"/>
    </row>
    <row r="5258" spans="12:13" x14ac:dyDescent="0.2">
      <c r="L5258" s="12"/>
      <c r="M5258" s="13"/>
    </row>
    <row r="5259" spans="12:13" x14ac:dyDescent="0.2">
      <c r="L5259" s="12"/>
      <c r="M5259" s="13"/>
    </row>
    <row r="5260" spans="12:13" x14ac:dyDescent="0.2">
      <c r="L5260" s="12"/>
      <c r="M5260" s="13"/>
    </row>
    <row r="5261" spans="12:13" x14ac:dyDescent="0.2">
      <c r="L5261" s="12"/>
      <c r="M5261" s="13"/>
    </row>
    <row r="5262" spans="12:13" x14ac:dyDescent="0.2">
      <c r="L5262" s="12"/>
      <c r="M5262" s="13"/>
    </row>
    <row r="5263" spans="12:13" x14ac:dyDescent="0.2">
      <c r="L5263" s="12"/>
      <c r="M5263" s="13"/>
    </row>
    <row r="5264" spans="12:13" x14ac:dyDescent="0.2">
      <c r="L5264" s="12"/>
      <c r="M5264" s="13"/>
    </row>
    <row r="5265" spans="12:13" x14ac:dyDescent="0.2">
      <c r="L5265" s="12"/>
      <c r="M5265" s="13"/>
    </row>
    <row r="5266" spans="12:13" x14ac:dyDescent="0.2">
      <c r="L5266" s="12"/>
      <c r="M5266" s="13"/>
    </row>
    <row r="5267" spans="12:13" x14ac:dyDescent="0.2">
      <c r="L5267" s="12"/>
      <c r="M5267" s="13"/>
    </row>
    <row r="5268" spans="12:13" x14ac:dyDescent="0.2">
      <c r="L5268" s="12"/>
      <c r="M5268" s="13"/>
    </row>
    <row r="5269" spans="12:13" x14ac:dyDescent="0.2">
      <c r="L5269" s="12"/>
      <c r="M5269" s="13"/>
    </row>
    <row r="5270" spans="12:13" x14ac:dyDescent="0.2">
      <c r="L5270" s="12"/>
      <c r="M5270" s="13"/>
    </row>
    <row r="5271" spans="12:13" x14ac:dyDescent="0.2">
      <c r="L5271" s="12"/>
      <c r="M5271" s="13"/>
    </row>
    <row r="5272" spans="12:13" x14ac:dyDescent="0.2">
      <c r="L5272" s="12"/>
      <c r="M5272" s="13"/>
    </row>
    <row r="5273" spans="12:13" x14ac:dyDescent="0.2">
      <c r="L5273" s="12"/>
      <c r="M5273" s="13"/>
    </row>
    <row r="5274" spans="12:13" x14ac:dyDescent="0.2">
      <c r="L5274" s="12"/>
      <c r="M5274" s="13"/>
    </row>
    <row r="5275" spans="12:13" x14ac:dyDescent="0.2">
      <c r="L5275" s="12"/>
      <c r="M5275" s="13"/>
    </row>
    <row r="5276" spans="12:13" x14ac:dyDescent="0.2">
      <c r="L5276" s="12"/>
      <c r="M5276" s="13"/>
    </row>
    <row r="5277" spans="12:13" x14ac:dyDescent="0.2">
      <c r="L5277" s="12"/>
      <c r="M5277" s="13"/>
    </row>
    <row r="5278" spans="12:13" x14ac:dyDescent="0.2">
      <c r="L5278" s="12"/>
      <c r="M5278" s="13"/>
    </row>
    <row r="5279" spans="12:13" x14ac:dyDescent="0.2">
      <c r="L5279" s="12"/>
      <c r="M5279" s="13"/>
    </row>
    <row r="5280" spans="12:13" x14ac:dyDescent="0.2">
      <c r="L5280" s="12"/>
      <c r="M5280" s="13"/>
    </row>
    <row r="5281" spans="12:13" x14ac:dyDescent="0.2">
      <c r="L5281" s="12"/>
      <c r="M5281" s="13"/>
    </row>
    <row r="5282" spans="12:13" x14ac:dyDescent="0.2">
      <c r="L5282" s="12"/>
      <c r="M5282" s="13"/>
    </row>
    <row r="5283" spans="12:13" x14ac:dyDescent="0.2">
      <c r="L5283" s="12"/>
      <c r="M5283" s="13"/>
    </row>
    <row r="5284" spans="12:13" x14ac:dyDescent="0.2">
      <c r="L5284" s="12"/>
      <c r="M5284" s="13"/>
    </row>
    <row r="5285" spans="12:13" x14ac:dyDescent="0.2">
      <c r="L5285" s="12"/>
      <c r="M5285" s="13"/>
    </row>
    <row r="5286" spans="12:13" x14ac:dyDescent="0.2">
      <c r="L5286" s="12"/>
      <c r="M5286" s="13"/>
    </row>
    <row r="5287" spans="12:13" x14ac:dyDescent="0.2">
      <c r="L5287" s="12"/>
      <c r="M5287" s="13"/>
    </row>
    <row r="5288" spans="12:13" x14ac:dyDescent="0.2">
      <c r="L5288" s="12"/>
      <c r="M5288" s="13"/>
    </row>
    <row r="5289" spans="12:13" x14ac:dyDescent="0.2">
      <c r="L5289" s="12"/>
      <c r="M5289" s="13"/>
    </row>
    <row r="5290" spans="12:13" x14ac:dyDescent="0.2">
      <c r="L5290" s="12"/>
      <c r="M5290" s="13"/>
    </row>
    <row r="5291" spans="12:13" x14ac:dyDescent="0.2">
      <c r="L5291" s="12"/>
      <c r="M5291" s="13"/>
    </row>
    <row r="5292" spans="12:13" x14ac:dyDescent="0.2">
      <c r="L5292" s="12"/>
      <c r="M5292" s="13"/>
    </row>
    <row r="5293" spans="12:13" x14ac:dyDescent="0.2">
      <c r="L5293" s="12"/>
      <c r="M5293" s="13"/>
    </row>
    <row r="5294" spans="12:13" x14ac:dyDescent="0.2">
      <c r="L5294" s="12"/>
      <c r="M5294" s="13"/>
    </row>
    <row r="5295" spans="12:13" x14ac:dyDescent="0.2">
      <c r="L5295" s="12"/>
      <c r="M5295" s="13"/>
    </row>
    <row r="5296" spans="12:13" x14ac:dyDescent="0.2">
      <c r="L5296" s="12"/>
      <c r="M5296" s="13"/>
    </row>
    <row r="5297" spans="12:13" x14ac:dyDescent="0.2">
      <c r="L5297" s="12"/>
      <c r="M5297" s="13"/>
    </row>
    <row r="5298" spans="12:13" x14ac:dyDescent="0.2">
      <c r="L5298" s="12"/>
      <c r="M5298" s="13"/>
    </row>
    <row r="5299" spans="12:13" x14ac:dyDescent="0.2">
      <c r="L5299" s="12"/>
      <c r="M5299" s="13"/>
    </row>
    <row r="5300" spans="12:13" x14ac:dyDescent="0.2">
      <c r="L5300" s="12"/>
      <c r="M5300" s="13"/>
    </row>
    <row r="5301" spans="12:13" x14ac:dyDescent="0.2">
      <c r="L5301" s="12"/>
      <c r="M5301" s="13"/>
    </row>
    <row r="5302" spans="12:13" x14ac:dyDescent="0.2">
      <c r="L5302" s="12"/>
      <c r="M5302" s="13"/>
    </row>
    <row r="5303" spans="12:13" x14ac:dyDescent="0.2">
      <c r="L5303" s="12"/>
      <c r="M5303" s="13"/>
    </row>
    <row r="5304" spans="12:13" x14ac:dyDescent="0.2">
      <c r="L5304" s="12"/>
      <c r="M5304" s="13"/>
    </row>
    <row r="5305" spans="12:13" x14ac:dyDescent="0.2">
      <c r="L5305" s="12"/>
      <c r="M5305" s="13"/>
    </row>
    <row r="5306" spans="12:13" x14ac:dyDescent="0.2">
      <c r="L5306" s="12"/>
      <c r="M5306" s="13"/>
    </row>
    <row r="5307" spans="12:13" x14ac:dyDescent="0.2">
      <c r="L5307" s="12"/>
      <c r="M5307" s="13"/>
    </row>
    <row r="5308" spans="12:13" x14ac:dyDescent="0.2">
      <c r="L5308" s="12"/>
      <c r="M5308" s="13"/>
    </row>
    <row r="5309" spans="12:13" x14ac:dyDescent="0.2">
      <c r="L5309" s="12"/>
      <c r="M5309" s="13"/>
    </row>
    <row r="5310" spans="12:13" x14ac:dyDescent="0.2">
      <c r="L5310" s="12"/>
      <c r="M5310" s="13"/>
    </row>
    <row r="5311" spans="12:13" x14ac:dyDescent="0.2">
      <c r="L5311" s="12"/>
      <c r="M5311" s="13"/>
    </row>
    <row r="5312" spans="12:13" x14ac:dyDescent="0.2">
      <c r="L5312" s="12"/>
      <c r="M5312" s="13"/>
    </row>
    <row r="5313" spans="12:13" x14ac:dyDescent="0.2">
      <c r="L5313" s="12"/>
      <c r="M5313" s="13"/>
    </row>
    <row r="5314" spans="12:13" x14ac:dyDescent="0.2">
      <c r="L5314" s="12"/>
      <c r="M5314" s="13"/>
    </row>
    <row r="5315" spans="12:13" x14ac:dyDescent="0.2">
      <c r="L5315" s="12"/>
      <c r="M5315" s="13"/>
    </row>
    <row r="5316" spans="12:13" x14ac:dyDescent="0.2">
      <c r="L5316" s="12"/>
      <c r="M5316" s="13"/>
    </row>
    <row r="5317" spans="12:13" x14ac:dyDescent="0.2">
      <c r="L5317" s="12"/>
      <c r="M5317" s="13"/>
    </row>
    <row r="5318" spans="12:13" x14ac:dyDescent="0.2">
      <c r="L5318" s="12"/>
      <c r="M5318" s="13"/>
    </row>
    <row r="5319" spans="12:13" x14ac:dyDescent="0.2">
      <c r="L5319" s="12"/>
      <c r="M5319" s="13"/>
    </row>
    <row r="5320" spans="12:13" x14ac:dyDescent="0.2">
      <c r="L5320" s="12"/>
      <c r="M5320" s="13"/>
    </row>
    <row r="5321" spans="12:13" x14ac:dyDescent="0.2">
      <c r="L5321" s="12"/>
      <c r="M5321" s="13"/>
    </row>
    <row r="5322" spans="12:13" x14ac:dyDescent="0.2">
      <c r="L5322" s="12"/>
      <c r="M5322" s="13"/>
    </row>
    <row r="5323" spans="12:13" x14ac:dyDescent="0.2">
      <c r="L5323" s="12"/>
      <c r="M5323" s="13"/>
    </row>
    <row r="5324" spans="12:13" x14ac:dyDescent="0.2">
      <c r="L5324" s="12"/>
      <c r="M5324" s="13"/>
    </row>
    <row r="5325" spans="12:13" x14ac:dyDescent="0.2">
      <c r="L5325" s="12"/>
      <c r="M5325" s="13"/>
    </row>
    <row r="5326" spans="12:13" x14ac:dyDescent="0.2">
      <c r="L5326" s="12"/>
      <c r="M5326" s="13"/>
    </row>
    <row r="5327" spans="12:13" x14ac:dyDescent="0.2">
      <c r="L5327" s="12"/>
      <c r="M5327" s="13"/>
    </row>
    <row r="5328" spans="12:13" x14ac:dyDescent="0.2">
      <c r="L5328" s="12"/>
      <c r="M5328" s="13"/>
    </row>
    <row r="5329" spans="12:13" x14ac:dyDescent="0.2">
      <c r="L5329" s="12"/>
      <c r="M5329" s="13"/>
    </row>
    <row r="5330" spans="12:13" x14ac:dyDescent="0.2">
      <c r="L5330" s="12"/>
      <c r="M5330" s="13"/>
    </row>
    <row r="5331" spans="12:13" x14ac:dyDescent="0.2">
      <c r="L5331" s="12"/>
      <c r="M5331" s="13"/>
    </row>
    <row r="5332" spans="12:13" x14ac:dyDescent="0.2">
      <c r="L5332" s="12"/>
      <c r="M5332" s="13"/>
    </row>
    <row r="5333" spans="12:13" x14ac:dyDescent="0.2">
      <c r="L5333" s="12"/>
      <c r="M5333" s="13"/>
    </row>
    <row r="5334" spans="12:13" x14ac:dyDescent="0.2">
      <c r="L5334" s="12"/>
      <c r="M5334" s="13"/>
    </row>
    <row r="5335" spans="12:13" x14ac:dyDescent="0.2">
      <c r="L5335" s="12"/>
      <c r="M5335" s="13"/>
    </row>
    <row r="5336" spans="12:13" x14ac:dyDescent="0.2">
      <c r="L5336" s="12"/>
      <c r="M5336" s="13"/>
    </row>
    <row r="5337" spans="12:13" x14ac:dyDescent="0.2">
      <c r="L5337" s="12"/>
      <c r="M5337" s="13"/>
    </row>
    <row r="5338" spans="12:13" x14ac:dyDescent="0.2">
      <c r="L5338" s="12"/>
      <c r="M5338" s="13"/>
    </row>
    <row r="5339" spans="12:13" x14ac:dyDescent="0.2">
      <c r="L5339" s="12"/>
      <c r="M5339" s="13"/>
    </row>
    <row r="5340" spans="12:13" x14ac:dyDescent="0.2">
      <c r="L5340" s="12"/>
      <c r="M5340" s="13"/>
    </row>
    <row r="5341" spans="12:13" x14ac:dyDescent="0.2">
      <c r="L5341" s="12"/>
      <c r="M5341" s="13"/>
    </row>
    <row r="5342" spans="12:13" x14ac:dyDescent="0.2">
      <c r="L5342" s="12"/>
      <c r="M5342" s="13"/>
    </row>
    <row r="5343" spans="12:13" x14ac:dyDescent="0.2">
      <c r="L5343" s="12"/>
      <c r="M5343" s="13"/>
    </row>
    <row r="5344" spans="12:13" x14ac:dyDescent="0.2">
      <c r="L5344" s="12"/>
      <c r="M5344" s="13"/>
    </row>
    <row r="5345" spans="12:13" x14ac:dyDescent="0.2">
      <c r="L5345" s="12"/>
      <c r="M5345" s="13"/>
    </row>
    <row r="5346" spans="12:13" x14ac:dyDescent="0.2">
      <c r="L5346" s="12"/>
      <c r="M5346" s="13"/>
    </row>
    <row r="5347" spans="12:13" x14ac:dyDescent="0.2">
      <c r="L5347" s="12"/>
      <c r="M5347" s="13"/>
    </row>
    <row r="5348" spans="12:13" x14ac:dyDescent="0.2">
      <c r="L5348" s="12"/>
      <c r="M5348" s="13"/>
    </row>
    <row r="5349" spans="12:13" x14ac:dyDescent="0.2">
      <c r="L5349" s="12"/>
      <c r="M5349" s="13"/>
    </row>
    <row r="5350" spans="12:13" x14ac:dyDescent="0.2">
      <c r="L5350" s="12"/>
      <c r="M5350" s="13"/>
    </row>
    <row r="5351" spans="12:13" x14ac:dyDescent="0.2">
      <c r="L5351" s="12"/>
      <c r="M5351" s="13"/>
    </row>
    <row r="5352" spans="12:13" x14ac:dyDescent="0.2">
      <c r="L5352" s="12"/>
      <c r="M5352" s="13"/>
    </row>
    <row r="5353" spans="12:13" x14ac:dyDescent="0.2">
      <c r="L5353" s="12"/>
      <c r="M5353" s="13"/>
    </row>
    <row r="5354" spans="12:13" x14ac:dyDescent="0.2">
      <c r="L5354" s="12"/>
      <c r="M5354" s="13"/>
    </row>
    <row r="5355" spans="12:13" x14ac:dyDescent="0.2">
      <c r="L5355" s="12"/>
      <c r="M5355" s="13"/>
    </row>
    <row r="5356" spans="12:13" x14ac:dyDescent="0.2">
      <c r="L5356" s="12"/>
      <c r="M5356" s="13"/>
    </row>
    <row r="5357" spans="12:13" x14ac:dyDescent="0.2">
      <c r="L5357" s="12"/>
      <c r="M5357" s="13"/>
    </row>
    <row r="5358" spans="12:13" x14ac:dyDescent="0.2">
      <c r="L5358" s="12"/>
      <c r="M5358" s="13"/>
    </row>
    <row r="5359" spans="12:13" x14ac:dyDescent="0.2">
      <c r="L5359" s="12"/>
      <c r="M5359" s="13"/>
    </row>
    <row r="5360" spans="12:13" x14ac:dyDescent="0.2">
      <c r="L5360" s="12"/>
      <c r="M5360" s="13"/>
    </row>
    <row r="5361" spans="12:13" x14ac:dyDescent="0.2">
      <c r="L5361" s="12"/>
      <c r="M5361" s="13"/>
    </row>
    <row r="5362" spans="12:13" x14ac:dyDescent="0.2">
      <c r="L5362" s="12"/>
      <c r="M5362" s="13"/>
    </row>
    <row r="5363" spans="12:13" x14ac:dyDescent="0.2">
      <c r="L5363" s="12"/>
      <c r="M5363" s="13"/>
    </row>
    <row r="5364" spans="12:13" x14ac:dyDescent="0.2">
      <c r="L5364" s="12"/>
      <c r="M5364" s="13"/>
    </row>
    <row r="5365" spans="12:13" x14ac:dyDescent="0.2">
      <c r="L5365" s="12"/>
      <c r="M5365" s="13"/>
    </row>
    <row r="5366" spans="12:13" x14ac:dyDescent="0.2">
      <c r="L5366" s="12"/>
      <c r="M5366" s="13"/>
    </row>
    <row r="5367" spans="12:13" x14ac:dyDescent="0.2">
      <c r="L5367" s="12"/>
      <c r="M5367" s="13"/>
    </row>
    <row r="5368" spans="12:13" x14ac:dyDescent="0.2">
      <c r="L5368" s="12"/>
      <c r="M5368" s="13"/>
    </row>
    <row r="5369" spans="12:13" x14ac:dyDescent="0.2">
      <c r="L5369" s="12"/>
      <c r="M5369" s="13"/>
    </row>
    <row r="5370" spans="12:13" x14ac:dyDescent="0.2">
      <c r="L5370" s="12"/>
      <c r="M5370" s="13"/>
    </row>
    <row r="5371" spans="12:13" x14ac:dyDescent="0.2">
      <c r="L5371" s="12"/>
      <c r="M5371" s="13"/>
    </row>
    <row r="5372" spans="12:13" x14ac:dyDescent="0.2">
      <c r="L5372" s="12"/>
      <c r="M5372" s="13"/>
    </row>
    <row r="5373" spans="12:13" x14ac:dyDescent="0.2">
      <c r="L5373" s="12"/>
      <c r="M5373" s="13"/>
    </row>
    <row r="5374" spans="12:13" x14ac:dyDescent="0.2">
      <c r="L5374" s="12"/>
      <c r="M5374" s="13"/>
    </row>
    <row r="5375" spans="12:13" x14ac:dyDescent="0.2">
      <c r="L5375" s="12"/>
      <c r="M5375" s="13"/>
    </row>
    <row r="5376" spans="12:13" x14ac:dyDescent="0.2">
      <c r="L5376" s="12"/>
      <c r="M5376" s="13"/>
    </row>
    <row r="5377" spans="12:13" x14ac:dyDescent="0.2">
      <c r="L5377" s="12"/>
      <c r="M5377" s="13"/>
    </row>
    <row r="5378" spans="12:13" x14ac:dyDescent="0.2">
      <c r="L5378" s="17"/>
      <c r="M5378" s="18"/>
    </row>
    <row r="5379" spans="12:13" x14ac:dyDescent="0.2">
      <c r="L5379" s="12"/>
      <c r="M5379" s="13"/>
    </row>
    <row r="5380" spans="12:13" x14ac:dyDescent="0.2">
      <c r="L5380" s="12"/>
      <c r="M5380" s="13"/>
    </row>
    <row r="5381" spans="12:13" x14ac:dyDescent="0.2">
      <c r="L5381" s="12"/>
      <c r="M5381" s="13"/>
    </row>
    <row r="5382" spans="12:13" x14ac:dyDescent="0.2">
      <c r="L5382" s="12"/>
      <c r="M5382" s="13"/>
    </row>
    <row r="5383" spans="12:13" x14ac:dyDescent="0.2">
      <c r="L5383" s="12"/>
      <c r="M5383" s="13"/>
    </row>
    <row r="5384" spans="12:13" x14ac:dyDescent="0.2">
      <c r="L5384" s="12"/>
      <c r="M5384" s="13"/>
    </row>
    <row r="5385" spans="12:13" x14ac:dyDescent="0.2">
      <c r="L5385" s="12"/>
      <c r="M5385" s="13"/>
    </row>
    <row r="5386" spans="12:13" x14ac:dyDescent="0.2">
      <c r="L5386" s="12"/>
      <c r="M5386" s="13"/>
    </row>
    <row r="5387" spans="12:13" x14ac:dyDescent="0.2">
      <c r="L5387" s="12"/>
      <c r="M5387" s="13"/>
    </row>
    <row r="5388" spans="12:13" x14ac:dyDescent="0.2">
      <c r="L5388" s="12"/>
      <c r="M5388" s="13"/>
    </row>
    <row r="5389" spans="12:13" x14ac:dyDescent="0.2">
      <c r="L5389" s="12"/>
      <c r="M5389" s="13"/>
    </row>
    <row r="5390" spans="12:13" x14ac:dyDescent="0.2">
      <c r="L5390" s="12"/>
      <c r="M5390" s="13"/>
    </row>
    <row r="5391" spans="12:13" x14ac:dyDescent="0.2">
      <c r="L5391" s="12"/>
      <c r="M5391" s="13"/>
    </row>
    <row r="5392" spans="12:13" x14ac:dyDescent="0.2">
      <c r="L5392" s="12"/>
      <c r="M5392" s="13"/>
    </row>
    <row r="5393" spans="12:13" x14ac:dyDescent="0.2">
      <c r="L5393" s="12"/>
      <c r="M5393" s="13"/>
    </row>
    <row r="5394" spans="12:13" x14ac:dyDescent="0.2">
      <c r="L5394" s="12"/>
      <c r="M5394" s="13"/>
    </row>
    <row r="5395" spans="12:13" x14ac:dyDescent="0.2">
      <c r="L5395" s="12"/>
      <c r="M5395" s="13"/>
    </row>
    <row r="5396" spans="12:13" x14ac:dyDescent="0.2">
      <c r="L5396" s="12"/>
      <c r="M5396" s="13"/>
    </row>
    <row r="5397" spans="12:13" x14ac:dyDescent="0.2">
      <c r="L5397" s="12"/>
      <c r="M5397" s="13"/>
    </row>
    <row r="5398" spans="12:13" x14ac:dyDescent="0.2">
      <c r="L5398" s="12"/>
      <c r="M5398" s="13"/>
    </row>
    <row r="5399" spans="12:13" x14ac:dyDescent="0.2">
      <c r="L5399" s="12"/>
      <c r="M5399" s="13"/>
    </row>
    <row r="5400" spans="12:13" x14ac:dyDescent="0.2">
      <c r="L5400" s="12"/>
      <c r="M5400" s="13"/>
    </row>
    <row r="5401" spans="12:13" x14ac:dyDescent="0.2">
      <c r="L5401" s="12"/>
      <c r="M5401" s="13"/>
    </row>
    <row r="5402" spans="12:13" x14ac:dyDescent="0.2">
      <c r="L5402" s="12"/>
      <c r="M5402" s="13"/>
    </row>
    <row r="5403" spans="12:13" x14ac:dyDescent="0.2">
      <c r="L5403" s="12"/>
      <c r="M5403" s="13"/>
    </row>
    <row r="5404" spans="12:13" x14ac:dyDescent="0.2">
      <c r="L5404" s="12"/>
      <c r="M5404" s="13"/>
    </row>
    <row r="5405" spans="12:13" x14ac:dyDescent="0.2">
      <c r="L5405" s="12"/>
      <c r="M5405" s="13"/>
    </row>
    <row r="5406" spans="12:13" x14ac:dyDescent="0.2">
      <c r="L5406" s="12"/>
      <c r="M5406" s="13"/>
    </row>
    <row r="5407" spans="12:13" x14ac:dyDescent="0.2">
      <c r="L5407" s="12"/>
      <c r="M5407" s="13"/>
    </row>
    <row r="5408" spans="12:13" x14ac:dyDescent="0.2">
      <c r="L5408" s="12"/>
      <c r="M5408" s="13"/>
    </row>
    <row r="5409" spans="12:13" x14ac:dyDescent="0.2">
      <c r="L5409" s="12"/>
      <c r="M5409" s="13"/>
    </row>
    <row r="5410" spans="12:13" x14ac:dyDescent="0.2">
      <c r="L5410" s="12"/>
      <c r="M5410" s="13"/>
    </row>
    <row r="5411" spans="12:13" x14ac:dyDescent="0.2">
      <c r="L5411" s="12"/>
      <c r="M5411" s="13"/>
    </row>
    <row r="5412" spans="12:13" x14ac:dyDescent="0.2">
      <c r="L5412" s="12"/>
      <c r="M5412" s="13"/>
    </row>
    <row r="5413" spans="12:13" x14ac:dyDescent="0.2">
      <c r="L5413" s="12"/>
      <c r="M5413" s="13"/>
    </row>
    <row r="5414" spans="12:13" x14ac:dyDescent="0.2">
      <c r="L5414" s="12"/>
      <c r="M5414" s="13"/>
    </row>
    <row r="5415" spans="12:13" x14ac:dyDescent="0.2">
      <c r="L5415" s="12"/>
      <c r="M5415" s="13"/>
    </row>
    <row r="5416" spans="12:13" x14ac:dyDescent="0.2">
      <c r="L5416" s="12"/>
      <c r="M5416" s="13"/>
    </row>
    <row r="5417" spans="12:13" x14ac:dyDescent="0.2">
      <c r="L5417" s="12"/>
      <c r="M5417" s="13"/>
    </row>
    <row r="5418" spans="12:13" x14ac:dyDescent="0.2">
      <c r="L5418" s="12"/>
      <c r="M5418" s="13"/>
    </row>
    <row r="5419" spans="12:13" x14ac:dyDescent="0.2">
      <c r="L5419" s="12"/>
      <c r="M5419" s="13"/>
    </row>
    <row r="5420" spans="12:13" x14ac:dyDescent="0.2">
      <c r="L5420" s="12"/>
      <c r="M5420" s="13"/>
    </row>
    <row r="5421" spans="12:13" x14ac:dyDescent="0.2">
      <c r="L5421" s="12"/>
      <c r="M5421" s="13"/>
    </row>
    <row r="5422" spans="12:13" x14ac:dyDescent="0.2">
      <c r="L5422" s="12"/>
      <c r="M5422" s="13"/>
    </row>
    <row r="5423" spans="12:13" x14ac:dyDescent="0.2">
      <c r="L5423" s="12"/>
      <c r="M5423" s="13"/>
    </row>
    <row r="5424" spans="12:13" x14ac:dyDescent="0.2">
      <c r="L5424" s="12"/>
      <c r="M5424" s="13"/>
    </row>
    <row r="5425" spans="12:13" x14ac:dyDescent="0.2">
      <c r="L5425" s="12"/>
      <c r="M5425" s="13"/>
    </row>
    <row r="5426" spans="12:13" x14ac:dyDescent="0.2">
      <c r="L5426" s="12"/>
      <c r="M5426" s="13"/>
    </row>
    <row r="5427" spans="12:13" x14ac:dyDescent="0.2">
      <c r="L5427" s="12"/>
      <c r="M5427" s="13"/>
    </row>
    <row r="5428" spans="12:13" x14ac:dyDescent="0.2">
      <c r="L5428" s="12"/>
      <c r="M5428" s="13"/>
    </row>
    <row r="5429" spans="12:13" x14ac:dyDescent="0.2">
      <c r="L5429" s="12"/>
      <c r="M5429" s="13"/>
    </row>
    <row r="5430" spans="12:13" x14ac:dyDescent="0.2">
      <c r="L5430" s="12"/>
      <c r="M5430" s="13"/>
    </row>
    <row r="5431" spans="12:13" x14ac:dyDescent="0.2">
      <c r="L5431" s="12"/>
      <c r="M5431" s="13"/>
    </row>
    <row r="5432" spans="12:13" x14ac:dyDescent="0.2">
      <c r="L5432" s="12"/>
      <c r="M5432" s="13"/>
    </row>
    <row r="5433" spans="12:13" x14ac:dyDescent="0.2">
      <c r="L5433" s="12"/>
      <c r="M5433" s="13"/>
    </row>
    <row r="5434" spans="12:13" x14ac:dyDescent="0.2">
      <c r="L5434" s="12"/>
      <c r="M5434" s="13"/>
    </row>
    <row r="5435" spans="12:13" x14ac:dyDescent="0.2">
      <c r="L5435" s="12"/>
      <c r="M5435" s="13"/>
    </row>
    <row r="5436" spans="12:13" x14ac:dyDescent="0.2">
      <c r="L5436" s="12"/>
      <c r="M5436" s="13"/>
    </row>
    <row r="5437" spans="12:13" x14ac:dyDescent="0.2">
      <c r="L5437" s="12"/>
      <c r="M5437" s="13"/>
    </row>
    <row r="5438" spans="12:13" x14ac:dyDescent="0.2">
      <c r="L5438" s="12"/>
      <c r="M5438" s="13"/>
    </row>
    <row r="5439" spans="12:13" x14ac:dyDescent="0.2">
      <c r="L5439" s="12"/>
      <c r="M5439" s="13"/>
    </row>
    <row r="5440" spans="12:13" x14ac:dyDescent="0.2">
      <c r="L5440" s="12"/>
      <c r="M5440" s="13"/>
    </row>
    <row r="5441" spans="12:13" x14ac:dyDescent="0.2">
      <c r="L5441" s="12"/>
      <c r="M5441" s="13"/>
    </row>
    <row r="5442" spans="12:13" x14ac:dyDescent="0.2">
      <c r="L5442" s="12"/>
      <c r="M5442" s="13"/>
    </row>
    <row r="5443" spans="12:13" x14ac:dyDescent="0.2">
      <c r="L5443" s="12"/>
      <c r="M5443" s="13"/>
    </row>
    <row r="5444" spans="12:13" x14ac:dyDescent="0.2">
      <c r="L5444" s="12"/>
      <c r="M5444" s="13"/>
    </row>
    <row r="5445" spans="12:13" x14ac:dyDescent="0.2">
      <c r="L5445" s="12"/>
      <c r="M5445" s="13"/>
    </row>
    <row r="5446" spans="12:13" x14ac:dyDescent="0.2">
      <c r="L5446" s="12"/>
      <c r="M5446" s="13"/>
    </row>
    <row r="5447" spans="12:13" x14ac:dyDescent="0.2">
      <c r="L5447" s="12"/>
      <c r="M5447" s="13"/>
    </row>
    <row r="5448" spans="12:13" x14ac:dyDescent="0.2">
      <c r="L5448" s="12"/>
      <c r="M5448" s="13"/>
    </row>
    <row r="5449" spans="12:13" x14ac:dyDescent="0.2">
      <c r="L5449" s="12"/>
      <c r="M5449" s="13"/>
    </row>
    <row r="5450" spans="12:13" x14ac:dyDescent="0.2">
      <c r="L5450" s="12"/>
      <c r="M5450" s="13"/>
    </row>
    <row r="5451" spans="12:13" x14ac:dyDescent="0.2">
      <c r="L5451" s="12"/>
      <c r="M5451" s="13"/>
    </row>
    <row r="5452" spans="12:13" x14ac:dyDescent="0.2">
      <c r="L5452" s="12"/>
      <c r="M5452" s="13"/>
    </row>
    <row r="5453" spans="12:13" x14ac:dyDescent="0.2">
      <c r="L5453" s="12"/>
      <c r="M5453" s="13"/>
    </row>
    <row r="5454" spans="12:13" x14ac:dyDescent="0.2">
      <c r="L5454" s="12"/>
      <c r="M5454" s="13"/>
    </row>
    <row r="5455" spans="12:13" x14ac:dyDescent="0.2">
      <c r="L5455" s="12"/>
      <c r="M5455" s="13"/>
    </row>
    <row r="5456" spans="12:13" x14ac:dyDescent="0.2">
      <c r="L5456" s="12"/>
      <c r="M5456" s="13"/>
    </row>
    <row r="5457" spans="12:13" x14ac:dyDescent="0.2">
      <c r="L5457" s="12"/>
      <c r="M5457" s="13"/>
    </row>
    <row r="5458" spans="12:13" x14ac:dyDescent="0.2">
      <c r="L5458" s="12"/>
      <c r="M5458" s="13"/>
    </row>
    <row r="5459" spans="12:13" x14ac:dyDescent="0.2">
      <c r="L5459" s="12"/>
      <c r="M5459" s="13"/>
    </row>
    <row r="5460" spans="12:13" x14ac:dyDescent="0.2">
      <c r="L5460" s="12"/>
      <c r="M5460" s="13"/>
    </row>
    <row r="5461" spans="12:13" x14ac:dyDescent="0.2">
      <c r="L5461" s="12"/>
      <c r="M5461" s="13"/>
    </row>
    <row r="5462" spans="12:13" x14ac:dyDescent="0.2">
      <c r="L5462" s="12"/>
      <c r="M5462" s="13"/>
    </row>
    <row r="5463" spans="12:13" x14ac:dyDescent="0.2">
      <c r="L5463" s="12"/>
      <c r="M5463" s="13"/>
    </row>
    <row r="5464" spans="12:13" x14ac:dyDescent="0.2">
      <c r="L5464" s="12"/>
      <c r="M5464" s="13"/>
    </row>
    <row r="5465" spans="12:13" x14ac:dyDescent="0.2">
      <c r="L5465" s="12"/>
      <c r="M5465" s="13"/>
    </row>
    <row r="5466" spans="12:13" x14ac:dyDescent="0.2">
      <c r="L5466" s="12"/>
      <c r="M5466" s="13"/>
    </row>
    <row r="5467" spans="12:13" x14ac:dyDescent="0.2">
      <c r="L5467" s="12"/>
      <c r="M5467" s="13"/>
    </row>
    <row r="5468" spans="12:13" x14ac:dyDescent="0.2">
      <c r="L5468" s="12"/>
      <c r="M5468" s="13"/>
    </row>
    <row r="5469" spans="12:13" x14ac:dyDescent="0.2">
      <c r="L5469" s="12"/>
      <c r="M5469" s="13"/>
    </row>
    <row r="5470" spans="12:13" x14ac:dyDescent="0.2">
      <c r="L5470" s="12"/>
      <c r="M5470" s="13"/>
    </row>
    <row r="5471" spans="12:13" x14ac:dyDescent="0.2">
      <c r="L5471" s="12"/>
      <c r="M5471" s="13"/>
    </row>
    <row r="5472" spans="12:13" x14ac:dyDescent="0.2">
      <c r="L5472" s="12"/>
      <c r="M5472" s="13"/>
    </row>
    <row r="5473" spans="12:13" x14ac:dyDescent="0.2">
      <c r="L5473" s="12"/>
      <c r="M5473" s="13"/>
    </row>
    <row r="5474" spans="12:13" x14ac:dyDescent="0.2">
      <c r="L5474" s="12"/>
      <c r="M5474" s="13"/>
    </row>
    <row r="5475" spans="12:13" x14ac:dyDescent="0.2">
      <c r="L5475" s="12"/>
      <c r="M5475" s="13"/>
    </row>
    <row r="5476" spans="12:13" x14ac:dyDescent="0.2">
      <c r="L5476" s="12"/>
      <c r="M5476" s="13"/>
    </row>
    <row r="5477" spans="12:13" x14ac:dyDescent="0.2">
      <c r="L5477" s="12"/>
      <c r="M5477" s="13"/>
    </row>
    <row r="5478" spans="12:13" x14ac:dyDescent="0.2">
      <c r="L5478" s="12"/>
      <c r="M5478" s="13"/>
    </row>
    <row r="5479" spans="12:13" x14ac:dyDescent="0.2">
      <c r="L5479" s="12"/>
      <c r="M5479" s="13"/>
    </row>
    <row r="5480" spans="12:13" x14ac:dyDescent="0.2">
      <c r="L5480" s="12"/>
      <c r="M5480" s="13"/>
    </row>
    <row r="5481" spans="12:13" x14ac:dyDescent="0.2">
      <c r="L5481" s="12"/>
      <c r="M5481" s="13"/>
    </row>
    <row r="5482" spans="12:13" x14ac:dyDescent="0.2">
      <c r="L5482" s="12"/>
      <c r="M5482" s="13"/>
    </row>
    <row r="5483" spans="12:13" x14ac:dyDescent="0.2">
      <c r="L5483" s="12"/>
      <c r="M5483" s="13"/>
    </row>
    <row r="5484" spans="12:13" x14ac:dyDescent="0.2">
      <c r="L5484" s="12"/>
      <c r="M5484" s="13"/>
    </row>
    <row r="5485" spans="12:13" x14ac:dyDescent="0.2">
      <c r="L5485" s="12"/>
      <c r="M5485" s="13"/>
    </row>
    <row r="5486" spans="12:13" x14ac:dyDescent="0.2">
      <c r="L5486" s="12"/>
      <c r="M5486" s="13"/>
    </row>
    <row r="5487" spans="12:13" x14ac:dyDescent="0.2">
      <c r="L5487" s="12"/>
      <c r="M5487" s="13"/>
    </row>
    <row r="5488" spans="12:13" x14ac:dyDescent="0.2">
      <c r="L5488" s="12"/>
      <c r="M5488" s="13"/>
    </row>
    <row r="5489" spans="12:13" x14ac:dyDescent="0.2">
      <c r="L5489" s="12"/>
      <c r="M5489" s="13"/>
    </row>
    <row r="5490" spans="12:13" x14ac:dyDescent="0.2">
      <c r="L5490" s="12"/>
      <c r="M5490" s="13"/>
    </row>
    <row r="5491" spans="12:13" x14ac:dyDescent="0.2">
      <c r="L5491" s="12"/>
      <c r="M5491" s="13"/>
    </row>
    <row r="5492" spans="12:13" x14ac:dyDescent="0.2">
      <c r="L5492" s="12"/>
      <c r="M5492" s="13"/>
    </row>
    <row r="5493" spans="12:13" x14ac:dyDescent="0.2">
      <c r="L5493" s="12"/>
      <c r="M5493" s="13"/>
    </row>
    <row r="5494" spans="12:13" x14ac:dyDescent="0.2">
      <c r="L5494" s="12"/>
      <c r="M5494" s="13"/>
    </row>
    <row r="5495" spans="12:13" x14ac:dyDescent="0.2">
      <c r="L5495" s="12"/>
      <c r="M5495" s="13"/>
    </row>
    <row r="5496" spans="12:13" x14ac:dyDescent="0.2">
      <c r="L5496" s="12"/>
      <c r="M5496" s="13"/>
    </row>
    <row r="5497" spans="12:13" x14ac:dyDescent="0.2">
      <c r="L5497" s="12"/>
      <c r="M5497" s="13"/>
    </row>
    <row r="5498" spans="12:13" x14ac:dyDescent="0.2">
      <c r="L5498" s="12"/>
      <c r="M5498" s="13"/>
    </row>
    <row r="5499" spans="12:13" x14ac:dyDescent="0.2">
      <c r="L5499" s="12"/>
      <c r="M5499" s="13"/>
    </row>
    <row r="5500" spans="12:13" x14ac:dyDescent="0.2">
      <c r="L5500" s="12"/>
      <c r="M5500" s="13"/>
    </row>
    <row r="5501" spans="12:13" x14ac:dyDescent="0.2">
      <c r="L5501" s="12"/>
      <c r="M5501" s="13"/>
    </row>
    <row r="5502" spans="12:13" x14ac:dyDescent="0.2">
      <c r="L5502" s="12"/>
      <c r="M5502" s="13"/>
    </row>
    <row r="5503" spans="12:13" x14ac:dyDescent="0.2">
      <c r="L5503" s="12"/>
      <c r="M5503" s="13"/>
    </row>
    <row r="5504" spans="12:13" x14ac:dyDescent="0.2">
      <c r="L5504" s="12"/>
      <c r="M5504" s="13"/>
    </row>
    <row r="5505" spans="12:13" x14ac:dyDescent="0.2">
      <c r="L5505" s="12"/>
      <c r="M5505" s="13"/>
    </row>
    <row r="5506" spans="12:13" x14ac:dyDescent="0.2">
      <c r="L5506" s="12"/>
      <c r="M5506" s="13"/>
    </row>
    <row r="5507" spans="12:13" x14ac:dyDescent="0.2">
      <c r="L5507" s="12"/>
      <c r="M5507" s="13"/>
    </row>
    <row r="5508" spans="12:13" x14ac:dyDescent="0.2">
      <c r="L5508" s="12"/>
      <c r="M5508" s="13"/>
    </row>
    <row r="5509" spans="12:13" x14ac:dyDescent="0.2">
      <c r="L5509" s="12"/>
      <c r="M5509" s="13"/>
    </row>
    <row r="5510" spans="12:13" x14ac:dyDescent="0.2">
      <c r="L5510" s="12"/>
      <c r="M5510" s="13"/>
    </row>
    <row r="5511" spans="12:13" x14ac:dyDescent="0.2">
      <c r="L5511" s="12"/>
      <c r="M5511" s="13"/>
    </row>
    <row r="5512" spans="12:13" x14ac:dyDescent="0.2">
      <c r="L5512" s="12"/>
      <c r="M5512" s="13"/>
    </row>
    <row r="5513" spans="12:13" x14ac:dyDescent="0.2">
      <c r="L5513" s="12"/>
      <c r="M5513" s="13"/>
    </row>
    <row r="5514" spans="12:13" x14ac:dyDescent="0.2">
      <c r="L5514" s="12"/>
      <c r="M5514" s="13"/>
    </row>
    <row r="5515" spans="12:13" x14ac:dyDescent="0.2">
      <c r="L5515" s="12"/>
      <c r="M5515" s="13"/>
    </row>
    <row r="5516" spans="12:13" x14ac:dyDescent="0.2">
      <c r="L5516" s="12"/>
      <c r="M5516" s="13"/>
    </row>
    <row r="5517" spans="12:13" x14ac:dyDescent="0.2">
      <c r="L5517" s="12"/>
      <c r="M5517" s="13"/>
    </row>
    <row r="5518" spans="12:13" x14ac:dyDescent="0.2">
      <c r="L5518" s="12"/>
      <c r="M5518" s="13"/>
    </row>
    <row r="5519" spans="12:13" x14ac:dyDescent="0.2">
      <c r="L5519" s="12"/>
      <c r="M5519" s="13"/>
    </row>
    <row r="5520" spans="12:13" x14ac:dyDescent="0.2">
      <c r="L5520" s="12"/>
      <c r="M5520" s="13"/>
    </row>
    <row r="5521" spans="12:13" x14ac:dyDescent="0.2">
      <c r="L5521" s="12"/>
      <c r="M5521" s="13"/>
    </row>
    <row r="5522" spans="12:13" x14ac:dyDescent="0.2">
      <c r="L5522" s="12"/>
      <c r="M5522" s="13"/>
    </row>
    <row r="5523" spans="12:13" x14ac:dyDescent="0.2">
      <c r="L5523" s="12"/>
      <c r="M5523" s="13"/>
    </row>
    <row r="5524" spans="12:13" x14ac:dyDescent="0.2">
      <c r="L5524" s="12"/>
      <c r="M5524" s="13"/>
    </row>
    <row r="5525" spans="12:13" x14ac:dyDescent="0.2">
      <c r="L5525" s="12"/>
      <c r="M5525" s="13"/>
    </row>
    <row r="5526" spans="12:13" x14ac:dyDescent="0.2">
      <c r="L5526" s="12"/>
      <c r="M5526" s="13"/>
    </row>
    <row r="5527" spans="12:13" x14ac:dyDescent="0.2">
      <c r="L5527" s="12"/>
      <c r="M5527" s="13"/>
    </row>
    <row r="5528" spans="12:13" x14ac:dyDescent="0.2">
      <c r="L5528" s="12"/>
      <c r="M5528" s="13"/>
    </row>
    <row r="5529" spans="12:13" x14ac:dyDescent="0.2">
      <c r="L5529" s="12"/>
      <c r="M5529" s="13"/>
    </row>
    <row r="5530" spans="12:13" x14ac:dyDescent="0.2">
      <c r="L5530" s="12"/>
      <c r="M5530" s="13"/>
    </row>
    <row r="5531" spans="12:13" x14ac:dyDescent="0.2">
      <c r="L5531" s="12"/>
      <c r="M5531" s="13"/>
    </row>
    <row r="5532" spans="12:13" x14ac:dyDescent="0.2">
      <c r="L5532" s="12"/>
      <c r="M5532" s="13"/>
    </row>
    <row r="5533" spans="12:13" x14ac:dyDescent="0.2">
      <c r="L5533" s="12"/>
      <c r="M5533" s="13"/>
    </row>
    <row r="5534" spans="12:13" x14ac:dyDescent="0.2">
      <c r="L5534" s="12"/>
      <c r="M5534" s="13"/>
    </row>
    <row r="5535" spans="12:13" x14ac:dyDescent="0.2">
      <c r="L5535" s="12"/>
      <c r="M5535" s="13"/>
    </row>
    <row r="5536" spans="12:13" x14ac:dyDescent="0.2">
      <c r="L5536" s="12"/>
      <c r="M5536" s="13"/>
    </row>
    <row r="5537" spans="12:13" x14ac:dyDescent="0.2">
      <c r="L5537" s="12"/>
      <c r="M5537" s="13"/>
    </row>
    <row r="5538" spans="12:13" x14ac:dyDescent="0.2">
      <c r="L5538" s="12"/>
      <c r="M5538" s="13"/>
    </row>
    <row r="5539" spans="12:13" x14ac:dyDescent="0.2">
      <c r="L5539" s="12"/>
      <c r="M5539" s="13"/>
    </row>
    <row r="5540" spans="12:13" x14ac:dyDescent="0.2">
      <c r="L5540" s="12"/>
      <c r="M5540" s="13"/>
    </row>
    <row r="5541" spans="12:13" x14ac:dyDescent="0.2">
      <c r="L5541" s="12"/>
      <c r="M5541" s="13"/>
    </row>
    <row r="5542" spans="12:13" x14ac:dyDescent="0.2">
      <c r="L5542" s="12"/>
      <c r="M5542" s="13"/>
    </row>
    <row r="5543" spans="12:13" x14ac:dyDescent="0.2">
      <c r="L5543" s="12"/>
      <c r="M5543" s="13"/>
    </row>
    <row r="5544" spans="12:13" x14ac:dyDescent="0.2">
      <c r="L5544" s="12"/>
      <c r="M5544" s="13"/>
    </row>
    <row r="5545" spans="12:13" x14ac:dyDescent="0.2">
      <c r="L5545" s="12"/>
      <c r="M5545" s="13"/>
    </row>
    <row r="5546" spans="12:13" x14ac:dyDescent="0.2">
      <c r="L5546" s="12"/>
      <c r="M5546" s="13"/>
    </row>
    <row r="5547" spans="12:13" x14ac:dyDescent="0.2">
      <c r="L5547" s="12"/>
      <c r="M5547" s="13"/>
    </row>
    <row r="5548" spans="12:13" x14ac:dyDescent="0.2">
      <c r="L5548" s="12"/>
      <c r="M5548" s="13"/>
    </row>
    <row r="5549" spans="12:13" x14ac:dyDescent="0.2">
      <c r="L5549" s="12"/>
      <c r="M5549" s="13"/>
    </row>
    <row r="5550" spans="12:13" x14ac:dyDescent="0.2">
      <c r="L5550" s="12"/>
      <c r="M5550" s="13"/>
    </row>
    <row r="5551" spans="12:13" x14ac:dyDescent="0.2">
      <c r="L5551" s="12"/>
      <c r="M5551" s="13"/>
    </row>
    <row r="5552" spans="12:13" x14ac:dyDescent="0.2">
      <c r="L5552" s="12"/>
      <c r="M5552" s="13"/>
    </row>
    <row r="5553" spans="12:13" x14ac:dyDescent="0.2">
      <c r="L5553" s="12"/>
      <c r="M5553" s="13"/>
    </row>
    <row r="5554" spans="12:13" x14ac:dyDescent="0.2">
      <c r="L5554" s="12"/>
      <c r="M5554" s="13"/>
    </row>
    <row r="5555" spans="12:13" x14ac:dyDescent="0.2">
      <c r="L5555" s="12"/>
      <c r="M5555" s="13"/>
    </row>
    <row r="5556" spans="12:13" x14ac:dyDescent="0.2">
      <c r="L5556" s="12"/>
      <c r="M5556" s="13"/>
    </row>
    <row r="5557" spans="12:13" x14ac:dyDescent="0.2">
      <c r="L5557" s="12"/>
      <c r="M5557" s="13"/>
    </row>
    <row r="5558" spans="12:13" x14ac:dyDescent="0.2">
      <c r="L5558" s="12"/>
      <c r="M5558" s="13"/>
    </row>
    <row r="5559" spans="12:13" x14ac:dyDescent="0.2">
      <c r="L5559" s="12"/>
      <c r="M5559" s="13"/>
    </row>
    <row r="5560" spans="12:13" x14ac:dyDescent="0.2">
      <c r="L5560" s="12"/>
      <c r="M5560" s="13"/>
    </row>
    <row r="5561" spans="12:13" x14ac:dyDescent="0.2">
      <c r="L5561" s="12"/>
      <c r="M5561" s="13"/>
    </row>
    <row r="5562" spans="12:13" x14ac:dyDescent="0.2">
      <c r="L5562" s="12"/>
      <c r="M5562" s="13"/>
    </row>
    <row r="5563" spans="12:13" x14ac:dyDescent="0.2">
      <c r="L5563" s="12"/>
      <c r="M5563" s="13"/>
    </row>
    <row r="5564" spans="12:13" x14ac:dyDescent="0.2">
      <c r="L5564" s="12"/>
      <c r="M5564" s="13"/>
    </row>
    <row r="5565" spans="12:13" x14ac:dyDescent="0.2">
      <c r="L5565" s="12"/>
      <c r="M5565" s="13"/>
    </row>
    <row r="5566" spans="12:13" x14ac:dyDescent="0.2">
      <c r="L5566" s="12"/>
      <c r="M5566" s="13"/>
    </row>
    <row r="5567" spans="12:13" x14ac:dyDescent="0.2">
      <c r="L5567" s="12"/>
      <c r="M5567" s="13"/>
    </row>
    <row r="5568" spans="12:13" x14ac:dyDescent="0.2">
      <c r="L5568" s="12"/>
      <c r="M5568" s="13"/>
    </row>
    <row r="5569" spans="12:13" x14ac:dyDescent="0.2">
      <c r="L5569" s="12"/>
      <c r="M5569" s="13"/>
    </row>
    <row r="5570" spans="12:13" x14ac:dyDescent="0.2">
      <c r="L5570" s="12"/>
      <c r="M5570" s="13"/>
    </row>
    <row r="5571" spans="12:13" x14ac:dyDescent="0.2">
      <c r="L5571" s="12"/>
      <c r="M5571" s="13"/>
    </row>
    <row r="5572" spans="12:13" x14ac:dyDescent="0.2">
      <c r="L5572" s="12"/>
      <c r="M5572" s="13"/>
    </row>
    <row r="5573" spans="12:13" x14ac:dyDescent="0.2">
      <c r="L5573" s="12"/>
      <c r="M5573" s="13"/>
    </row>
    <row r="5574" spans="12:13" x14ac:dyDescent="0.2">
      <c r="L5574" s="12"/>
      <c r="M5574" s="13"/>
    </row>
    <row r="5575" spans="12:13" x14ac:dyDescent="0.2">
      <c r="L5575" s="12"/>
      <c r="M5575" s="13"/>
    </row>
    <row r="5576" spans="12:13" x14ac:dyDescent="0.2">
      <c r="L5576" s="12"/>
      <c r="M5576" s="13"/>
    </row>
    <row r="5577" spans="12:13" x14ac:dyDescent="0.2">
      <c r="L5577" s="12"/>
      <c r="M5577" s="13"/>
    </row>
    <row r="5578" spans="12:13" x14ac:dyDescent="0.2">
      <c r="L5578" s="12"/>
      <c r="M5578" s="13"/>
    </row>
    <row r="5579" spans="12:13" x14ac:dyDescent="0.2">
      <c r="L5579" s="12"/>
      <c r="M5579" s="13"/>
    </row>
    <row r="5580" spans="12:13" x14ac:dyDescent="0.2">
      <c r="L5580" s="12"/>
      <c r="M5580" s="13"/>
    </row>
    <row r="5581" spans="12:13" x14ac:dyDescent="0.2">
      <c r="L5581" s="12"/>
      <c r="M5581" s="13"/>
    </row>
    <row r="5582" spans="12:13" x14ac:dyDescent="0.2">
      <c r="L5582" s="12"/>
      <c r="M5582" s="13"/>
    </row>
    <row r="5583" spans="12:13" x14ac:dyDescent="0.2">
      <c r="L5583" s="12"/>
      <c r="M5583" s="13"/>
    </row>
    <row r="5584" spans="12:13" x14ac:dyDescent="0.2">
      <c r="L5584" s="12"/>
      <c r="M5584" s="13"/>
    </row>
    <row r="5585" spans="12:13" x14ac:dyDescent="0.2">
      <c r="L5585" s="12"/>
      <c r="M5585" s="13"/>
    </row>
    <row r="5586" spans="12:13" x14ac:dyDescent="0.2">
      <c r="L5586" s="12"/>
      <c r="M5586" s="13"/>
    </row>
    <row r="5587" spans="12:13" x14ac:dyDescent="0.2">
      <c r="L5587" s="12"/>
      <c r="M5587" s="13"/>
    </row>
    <row r="5588" spans="12:13" x14ac:dyDescent="0.2">
      <c r="L5588" s="12"/>
      <c r="M5588" s="13"/>
    </row>
    <row r="5589" spans="12:13" x14ac:dyDescent="0.2">
      <c r="L5589" s="12"/>
      <c r="M5589" s="13"/>
    </row>
    <row r="5590" spans="12:13" x14ac:dyDescent="0.2">
      <c r="L5590" s="12"/>
      <c r="M5590" s="13"/>
    </row>
    <row r="5591" spans="12:13" x14ac:dyDescent="0.2">
      <c r="L5591" s="12"/>
      <c r="M5591" s="13"/>
    </row>
    <row r="5592" spans="12:13" x14ac:dyDescent="0.2">
      <c r="L5592" s="12"/>
      <c r="M5592" s="13"/>
    </row>
    <row r="5593" spans="12:13" x14ac:dyDescent="0.2">
      <c r="L5593" s="12"/>
      <c r="M5593" s="13"/>
    </row>
    <row r="5594" spans="12:13" x14ac:dyDescent="0.2">
      <c r="L5594" s="12"/>
      <c r="M5594" s="13"/>
    </row>
    <row r="5595" spans="12:13" x14ac:dyDescent="0.2">
      <c r="L5595" s="12"/>
      <c r="M5595" s="13"/>
    </row>
    <row r="5596" spans="12:13" x14ac:dyDescent="0.2">
      <c r="L5596" s="12"/>
      <c r="M5596" s="13"/>
    </row>
    <row r="5597" spans="12:13" x14ac:dyDescent="0.2">
      <c r="L5597" s="12"/>
      <c r="M5597" s="13"/>
    </row>
    <row r="5598" spans="12:13" x14ac:dyDescent="0.2">
      <c r="L5598" s="12"/>
      <c r="M5598" s="13"/>
    </row>
    <row r="5599" spans="12:13" x14ac:dyDescent="0.2">
      <c r="L5599" s="12"/>
      <c r="M5599" s="13"/>
    </row>
    <row r="5600" spans="12:13" x14ac:dyDescent="0.2">
      <c r="L5600" s="12"/>
      <c r="M5600" s="13"/>
    </row>
    <row r="5601" spans="12:13" x14ac:dyDescent="0.2">
      <c r="L5601" s="12"/>
      <c r="M5601" s="13"/>
    </row>
    <row r="5602" spans="12:13" x14ac:dyDescent="0.2">
      <c r="L5602" s="12"/>
      <c r="M5602" s="13"/>
    </row>
    <row r="5603" spans="12:13" x14ac:dyDescent="0.2">
      <c r="L5603" s="12"/>
      <c r="M5603" s="13"/>
    </row>
    <row r="5604" spans="12:13" x14ac:dyDescent="0.2">
      <c r="L5604" s="12"/>
      <c r="M5604" s="13"/>
    </row>
    <row r="5605" spans="12:13" x14ac:dyDescent="0.2">
      <c r="L5605" s="12"/>
      <c r="M5605" s="13"/>
    </row>
    <row r="5606" spans="12:13" x14ac:dyDescent="0.2">
      <c r="L5606" s="12"/>
      <c r="M5606" s="13"/>
    </row>
    <row r="5607" spans="12:13" x14ac:dyDescent="0.2">
      <c r="L5607" s="12"/>
      <c r="M5607" s="13"/>
    </row>
    <row r="5608" spans="12:13" x14ac:dyDescent="0.2">
      <c r="L5608" s="12"/>
      <c r="M5608" s="13"/>
    </row>
    <row r="5609" spans="12:13" x14ac:dyDescent="0.2">
      <c r="L5609" s="12"/>
      <c r="M5609" s="13"/>
    </row>
    <row r="5610" spans="12:13" x14ac:dyDescent="0.2">
      <c r="L5610" s="12"/>
      <c r="M5610" s="13"/>
    </row>
    <row r="5611" spans="12:13" x14ac:dyDescent="0.2">
      <c r="L5611" s="12"/>
      <c r="M5611" s="13"/>
    </row>
    <row r="5612" spans="12:13" x14ac:dyDescent="0.2">
      <c r="L5612" s="12"/>
      <c r="M5612" s="13"/>
    </row>
    <row r="5613" spans="12:13" x14ac:dyDescent="0.2">
      <c r="L5613" s="12"/>
      <c r="M5613" s="13"/>
    </row>
    <row r="5614" spans="12:13" x14ac:dyDescent="0.2">
      <c r="L5614" s="12"/>
      <c r="M5614" s="13"/>
    </row>
    <row r="5615" spans="12:13" x14ac:dyDescent="0.2">
      <c r="L5615" s="12"/>
      <c r="M5615" s="13"/>
    </row>
    <row r="5616" spans="12:13" x14ac:dyDescent="0.2">
      <c r="L5616" s="12"/>
      <c r="M5616" s="13"/>
    </row>
    <row r="5617" spans="12:13" x14ac:dyDescent="0.2">
      <c r="L5617" s="12"/>
      <c r="M5617" s="13"/>
    </row>
    <row r="5618" spans="12:13" x14ac:dyDescent="0.2">
      <c r="L5618" s="12"/>
      <c r="M5618" s="13"/>
    </row>
    <row r="5619" spans="12:13" x14ac:dyDescent="0.2">
      <c r="L5619" s="12"/>
      <c r="M5619" s="13"/>
    </row>
    <row r="5620" spans="12:13" x14ac:dyDescent="0.2">
      <c r="L5620" s="12"/>
      <c r="M5620" s="13"/>
    </row>
    <row r="5621" spans="12:13" x14ac:dyDescent="0.2">
      <c r="L5621" s="12"/>
      <c r="M5621" s="13"/>
    </row>
    <row r="5622" spans="12:13" x14ac:dyDescent="0.2">
      <c r="L5622" s="12"/>
      <c r="M5622" s="13"/>
    </row>
    <row r="5623" spans="12:13" x14ac:dyDescent="0.2">
      <c r="L5623" s="12"/>
      <c r="M5623" s="13"/>
    </row>
    <row r="5624" spans="12:13" x14ac:dyDescent="0.2">
      <c r="L5624" s="12"/>
      <c r="M5624" s="13"/>
    </row>
    <row r="5625" spans="12:13" x14ac:dyDescent="0.2">
      <c r="L5625" s="12"/>
      <c r="M5625" s="13"/>
    </row>
    <row r="5626" spans="12:13" x14ac:dyDescent="0.2">
      <c r="L5626" s="12"/>
      <c r="M5626" s="13"/>
    </row>
    <row r="5627" spans="12:13" x14ac:dyDescent="0.2">
      <c r="L5627" s="12"/>
      <c r="M5627" s="13"/>
    </row>
    <row r="5628" spans="12:13" x14ac:dyDescent="0.2">
      <c r="L5628" s="12"/>
      <c r="M5628" s="13"/>
    </row>
    <row r="5629" spans="12:13" x14ac:dyDescent="0.2">
      <c r="L5629" s="12"/>
      <c r="M5629" s="13"/>
    </row>
    <row r="5630" spans="12:13" x14ac:dyDescent="0.2">
      <c r="L5630" s="12"/>
      <c r="M5630" s="13"/>
    </row>
    <row r="5631" spans="12:13" x14ac:dyDescent="0.2">
      <c r="L5631" s="12"/>
      <c r="M5631" s="13"/>
    </row>
    <row r="5632" spans="12:13" x14ac:dyDescent="0.2">
      <c r="L5632" s="12"/>
      <c r="M5632" s="13"/>
    </row>
    <row r="5633" spans="12:13" x14ac:dyDescent="0.2">
      <c r="L5633" s="12"/>
      <c r="M5633" s="13"/>
    </row>
    <row r="5634" spans="12:13" x14ac:dyDescent="0.2">
      <c r="L5634" s="17"/>
      <c r="M5634" s="18"/>
    </row>
    <row r="5635" spans="12:13" x14ac:dyDescent="0.2">
      <c r="L5635" s="12"/>
      <c r="M5635" s="13"/>
    </row>
    <row r="5636" spans="12:13" x14ac:dyDescent="0.2">
      <c r="L5636" s="12"/>
      <c r="M5636" s="13"/>
    </row>
    <row r="5637" spans="12:13" x14ac:dyDescent="0.2">
      <c r="L5637" s="12"/>
      <c r="M5637" s="13"/>
    </row>
    <row r="5638" spans="12:13" x14ac:dyDescent="0.2">
      <c r="L5638" s="12"/>
      <c r="M5638" s="13"/>
    </row>
    <row r="5639" spans="12:13" x14ac:dyDescent="0.2">
      <c r="L5639" s="12"/>
      <c r="M5639" s="13"/>
    </row>
    <row r="5640" spans="12:13" x14ac:dyDescent="0.2">
      <c r="L5640" s="12"/>
      <c r="M5640" s="13"/>
    </row>
    <row r="5641" spans="12:13" x14ac:dyDescent="0.2">
      <c r="L5641" s="12"/>
      <c r="M5641" s="13"/>
    </row>
    <row r="5642" spans="12:13" x14ac:dyDescent="0.2">
      <c r="L5642" s="12"/>
      <c r="M5642" s="13"/>
    </row>
    <row r="5643" spans="12:13" x14ac:dyDescent="0.2">
      <c r="L5643" s="12"/>
      <c r="M5643" s="13"/>
    </row>
    <row r="5644" spans="12:13" x14ac:dyDescent="0.2">
      <c r="L5644" s="12"/>
      <c r="M5644" s="13"/>
    </row>
    <row r="5645" spans="12:13" x14ac:dyDescent="0.2">
      <c r="L5645" s="12"/>
      <c r="M5645" s="13"/>
    </row>
    <row r="5646" spans="12:13" x14ac:dyDescent="0.2">
      <c r="L5646" s="12"/>
      <c r="M5646" s="13"/>
    </row>
    <row r="5647" spans="12:13" x14ac:dyDescent="0.2">
      <c r="L5647" s="12"/>
      <c r="M5647" s="13"/>
    </row>
    <row r="5648" spans="12:13" x14ac:dyDescent="0.2">
      <c r="L5648" s="12"/>
      <c r="M5648" s="13"/>
    </row>
    <row r="5649" spans="12:13" x14ac:dyDescent="0.2">
      <c r="L5649" s="12"/>
      <c r="M5649" s="13"/>
    </row>
    <row r="5650" spans="12:13" x14ac:dyDescent="0.2">
      <c r="L5650" s="12"/>
      <c r="M5650" s="13"/>
    </row>
    <row r="5651" spans="12:13" x14ac:dyDescent="0.2">
      <c r="L5651" s="12"/>
      <c r="M5651" s="13"/>
    </row>
    <row r="5652" spans="12:13" x14ac:dyDescent="0.2">
      <c r="L5652" s="12"/>
      <c r="M5652" s="13"/>
    </row>
    <row r="5653" spans="12:13" x14ac:dyDescent="0.2">
      <c r="L5653" s="12"/>
      <c r="M5653" s="13"/>
    </row>
    <row r="5654" spans="12:13" x14ac:dyDescent="0.2">
      <c r="L5654" s="12"/>
      <c r="M5654" s="13"/>
    </row>
    <row r="5655" spans="12:13" x14ac:dyDescent="0.2">
      <c r="L5655" s="12"/>
      <c r="M5655" s="13"/>
    </row>
    <row r="5656" spans="12:13" x14ac:dyDescent="0.2">
      <c r="L5656" s="12"/>
      <c r="M5656" s="13"/>
    </row>
    <row r="5657" spans="12:13" x14ac:dyDescent="0.2">
      <c r="L5657" s="12"/>
      <c r="M5657" s="13"/>
    </row>
    <row r="5658" spans="12:13" x14ac:dyDescent="0.2">
      <c r="L5658" s="12"/>
      <c r="M5658" s="13"/>
    </row>
    <row r="5659" spans="12:13" x14ac:dyDescent="0.2">
      <c r="L5659" s="12"/>
      <c r="M5659" s="13"/>
    </row>
    <row r="5660" spans="12:13" x14ac:dyDescent="0.2">
      <c r="L5660" s="12"/>
      <c r="M5660" s="13"/>
    </row>
    <row r="5661" spans="12:13" x14ac:dyDescent="0.2">
      <c r="L5661" s="12"/>
      <c r="M5661" s="13"/>
    </row>
    <row r="5662" spans="12:13" x14ac:dyDescent="0.2">
      <c r="L5662" s="12"/>
      <c r="M5662" s="13"/>
    </row>
    <row r="5663" spans="12:13" x14ac:dyDescent="0.2">
      <c r="L5663" s="12"/>
      <c r="M5663" s="13"/>
    </row>
    <row r="5664" spans="12:13" x14ac:dyDescent="0.2">
      <c r="L5664" s="12"/>
      <c r="M5664" s="13"/>
    </row>
    <row r="5665" spans="12:13" x14ac:dyDescent="0.2">
      <c r="L5665" s="12"/>
      <c r="M5665" s="13"/>
    </row>
    <row r="5666" spans="12:13" x14ac:dyDescent="0.2">
      <c r="L5666" s="12"/>
      <c r="M5666" s="13"/>
    </row>
    <row r="5667" spans="12:13" x14ac:dyDescent="0.2">
      <c r="L5667" s="12"/>
      <c r="M5667" s="13"/>
    </row>
    <row r="5668" spans="12:13" x14ac:dyDescent="0.2">
      <c r="L5668" s="12"/>
      <c r="M5668" s="13"/>
    </row>
    <row r="5669" spans="12:13" x14ac:dyDescent="0.2">
      <c r="L5669" s="12"/>
      <c r="M5669" s="13"/>
    </row>
    <row r="5670" spans="12:13" x14ac:dyDescent="0.2">
      <c r="L5670" s="12"/>
      <c r="M5670" s="13"/>
    </row>
    <row r="5671" spans="12:13" x14ac:dyDescent="0.2">
      <c r="L5671" s="12"/>
      <c r="M5671" s="13"/>
    </row>
    <row r="5672" spans="12:13" x14ac:dyDescent="0.2">
      <c r="L5672" s="12"/>
      <c r="M5672" s="13"/>
    </row>
    <row r="5673" spans="12:13" x14ac:dyDescent="0.2">
      <c r="L5673" s="12"/>
      <c r="M5673" s="13"/>
    </row>
    <row r="5674" spans="12:13" x14ac:dyDescent="0.2">
      <c r="L5674" s="12"/>
      <c r="M5674" s="13"/>
    </row>
    <row r="5675" spans="12:13" x14ac:dyDescent="0.2">
      <c r="L5675" s="12"/>
      <c r="M5675" s="13"/>
    </row>
    <row r="5676" spans="12:13" x14ac:dyDescent="0.2">
      <c r="L5676" s="12"/>
      <c r="M5676" s="13"/>
    </row>
    <row r="5677" spans="12:13" x14ac:dyDescent="0.2">
      <c r="L5677" s="12"/>
      <c r="M5677" s="13"/>
    </row>
    <row r="5678" spans="12:13" x14ac:dyDescent="0.2">
      <c r="L5678" s="12"/>
      <c r="M5678" s="13"/>
    </row>
    <row r="5679" spans="12:13" x14ac:dyDescent="0.2">
      <c r="L5679" s="12"/>
      <c r="M5679" s="13"/>
    </row>
    <row r="5680" spans="12:13" x14ac:dyDescent="0.2">
      <c r="L5680" s="12"/>
      <c r="M5680" s="13"/>
    </row>
    <row r="5681" spans="12:13" x14ac:dyDescent="0.2">
      <c r="L5681" s="12"/>
      <c r="M5681" s="13"/>
    </row>
    <row r="5682" spans="12:13" x14ac:dyDescent="0.2">
      <c r="L5682" s="12"/>
      <c r="M5682" s="13"/>
    </row>
    <row r="5683" spans="12:13" x14ac:dyDescent="0.2">
      <c r="L5683" s="12"/>
      <c r="M5683" s="13"/>
    </row>
    <row r="5684" spans="12:13" x14ac:dyDescent="0.2">
      <c r="L5684" s="12"/>
      <c r="M5684" s="13"/>
    </row>
    <row r="5685" spans="12:13" x14ac:dyDescent="0.2">
      <c r="L5685" s="12"/>
      <c r="M5685" s="13"/>
    </row>
    <row r="5686" spans="12:13" x14ac:dyDescent="0.2">
      <c r="L5686" s="12"/>
      <c r="M5686" s="13"/>
    </row>
    <row r="5687" spans="12:13" x14ac:dyDescent="0.2">
      <c r="L5687" s="12"/>
      <c r="M5687" s="13"/>
    </row>
    <row r="5688" spans="12:13" x14ac:dyDescent="0.2">
      <c r="L5688" s="12"/>
      <c r="M5688" s="13"/>
    </row>
    <row r="5689" spans="12:13" x14ac:dyDescent="0.2">
      <c r="L5689" s="12"/>
      <c r="M5689" s="13"/>
    </row>
    <row r="5690" spans="12:13" x14ac:dyDescent="0.2">
      <c r="L5690" s="12"/>
      <c r="M5690" s="13"/>
    </row>
    <row r="5691" spans="12:13" x14ac:dyDescent="0.2">
      <c r="L5691" s="12"/>
      <c r="M5691" s="13"/>
    </row>
    <row r="5692" spans="12:13" x14ac:dyDescent="0.2">
      <c r="L5692" s="12"/>
      <c r="M5692" s="13"/>
    </row>
    <row r="5693" spans="12:13" x14ac:dyDescent="0.2">
      <c r="L5693" s="12"/>
      <c r="M5693" s="13"/>
    </row>
    <row r="5694" spans="12:13" x14ac:dyDescent="0.2">
      <c r="L5694" s="12"/>
      <c r="M5694" s="13"/>
    </row>
    <row r="5695" spans="12:13" x14ac:dyDescent="0.2">
      <c r="L5695" s="12"/>
      <c r="M5695" s="13"/>
    </row>
    <row r="5696" spans="12:13" x14ac:dyDescent="0.2">
      <c r="L5696" s="12"/>
      <c r="M5696" s="13"/>
    </row>
    <row r="5697" spans="12:13" x14ac:dyDescent="0.2">
      <c r="L5697" s="12"/>
      <c r="M5697" s="13"/>
    </row>
    <row r="5698" spans="12:13" x14ac:dyDescent="0.2">
      <c r="L5698" s="12"/>
      <c r="M5698" s="13"/>
    </row>
    <row r="5699" spans="12:13" x14ac:dyDescent="0.2">
      <c r="L5699" s="12"/>
      <c r="M5699" s="13"/>
    </row>
    <row r="5700" spans="12:13" x14ac:dyDescent="0.2">
      <c r="L5700" s="12"/>
      <c r="M5700" s="13"/>
    </row>
    <row r="5701" spans="12:13" x14ac:dyDescent="0.2">
      <c r="L5701" s="12"/>
      <c r="M5701" s="13"/>
    </row>
    <row r="5702" spans="12:13" x14ac:dyDescent="0.2">
      <c r="L5702" s="12"/>
      <c r="M5702" s="13"/>
    </row>
    <row r="5703" spans="12:13" x14ac:dyDescent="0.2">
      <c r="L5703" s="12"/>
      <c r="M5703" s="13"/>
    </row>
    <row r="5704" spans="12:13" x14ac:dyDescent="0.2">
      <c r="L5704" s="12"/>
      <c r="M5704" s="13"/>
    </row>
    <row r="5705" spans="12:13" x14ac:dyDescent="0.2">
      <c r="L5705" s="12"/>
      <c r="M5705" s="13"/>
    </row>
    <row r="5706" spans="12:13" x14ac:dyDescent="0.2">
      <c r="L5706" s="12"/>
      <c r="M5706" s="13"/>
    </row>
    <row r="5707" spans="12:13" x14ac:dyDescent="0.2">
      <c r="L5707" s="12"/>
      <c r="M5707" s="13"/>
    </row>
    <row r="5708" spans="12:13" x14ac:dyDescent="0.2">
      <c r="L5708" s="12"/>
      <c r="M5708" s="13"/>
    </row>
    <row r="5709" spans="12:13" x14ac:dyDescent="0.2">
      <c r="L5709" s="12"/>
      <c r="M5709" s="13"/>
    </row>
    <row r="5710" spans="12:13" x14ac:dyDescent="0.2">
      <c r="L5710" s="12"/>
      <c r="M5710" s="13"/>
    </row>
    <row r="5711" spans="12:13" x14ac:dyDescent="0.2">
      <c r="L5711" s="12"/>
      <c r="M5711" s="13"/>
    </row>
    <row r="5712" spans="12:13" x14ac:dyDescent="0.2">
      <c r="L5712" s="12"/>
      <c r="M5712" s="13"/>
    </row>
    <row r="5713" spans="12:13" x14ac:dyDescent="0.2">
      <c r="L5713" s="12"/>
      <c r="M5713" s="13"/>
    </row>
    <row r="5714" spans="12:13" x14ac:dyDescent="0.2">
      <c r="L5714" s="12"/>
      <c r="M5714" s="13"/>
    </row>
    <row r="5715" spans="12:13" x14ac:dyDescent="0.2">
      <c r="L5715" s="12"/>
      <c r="M5715" s="13"/>
    </row>
    <row r="5716" spans="12:13" x14ac:dyDescent="0.2">
      <c r="L5716" s="12"/>
      <c r="M5716" s="13"/>
    </row>
    <row r="5717" spans="12:13" x14ac:dyDescent="0.2">
      <c r="L5717" s="12"/>
      <c r="M5717" s="13"/>
    </row>
    <row r="5718" spans="12:13" x14ac:dyDescent="0.2">
      <c r="L5718" s="12"/>
      <c r="M5718" s="13"/>
    </row>
    <row r="5719" spans="12:13" x14ac:dyDescent="0.2">
      <c r="L5719" s="12"/>
      <c r="M5719" s="13"/>
    </row>
    <row r="5720" spans="12:13" x14ac:dyDescent="0.2">
      <c r="L5720" s="12"/>
      <c r="M5720" s="13"/>
    </row>
    <row r="5721" spans="12:13" x14ac:dyDescent="0.2">
      <c r="L5721" s="12"/>
      <c r="M5721" s="13"/>
    </row>
    <row r="5722" spans="12:13" x14ac:dyDescent="0.2">
      <c r="L5722" s="12"/>
      <c r="M5722" s="13"/>
    </row>
    <row r="5723" spans="12:13" x14ac:dyDescent="0.2">
      <c r="L5723" s="12"/>
      <c r="M5723" s="13"/>
    </row>
    <row r="5724" spans="12:13" x14ac:dyDescent="0.2">
      <c r="L5724" s="12"/>
      <c r="M5724" s="13"/>
    </row>
    <row r="5725" spans="12:13" x14ac:dyDescent="0.2">
      <c r="L5725" s="12"/>
      <c r="M5725" s="13"/>
    </row>
    <row r="5726" spans="12:13" x14ac:dyDescent="0.2">
      <c r="L5726" s="12"/>
      <c r="M5726" s="13"/>
    </row>
    <row r="5727" spans="12:13" x14ac:dyDescent="0.2">
      <c r="L5727" s="12"/>
      <c r="M5727" s="13"/>
    </row>
    <row r="5728" spans="12:13" x14ac:dyDescent="0.2">
      <c r="L5728" s="12"/>
      <c r="M5728" s="13"/>
    </row>
    <row r="5729" spans="12:13" x14ac:dyDescent="0.2">
      <c r="L5729" s="12"/>
      <c r="M5729" s="13"/>
    </row>
    <row r="5730" spans="12:13" x14ac:dyDescent="0.2">
      <c r="L5730" s="12"/>
      <c r="M5730" s="13"/>
    </row>
    <row r="5731" spans="12:13" x14ac:dyDescent="0.2">
      <c r="L5731" s="12"/>
      <c r="M5731" s="13"/>
    </row>
    <row r="5732" spans="12:13" x14ac:dyDescent="0.2">
      <c r="L5732" s="12"/>
      <c r="M5732" s="13"/>
    </row>
    <row r="5733" spans="12:13" x14ac:dyDescent="0.2">
      <c r="L5733" s="12"/>
      <c r="M5733" s="13"/>
    </row>
    <row r="5734" spans="12:13" x14ac:dyDescent="0.2">
      <c r="L5734" s="12"/>
      <c r="M5734" s="13"/>
    </row>
    <row r="5735" spans="12:13" x14ac:dyDescent="0.2">
      <c r="L5735" s="12"/>
      <c r="M5735" s="13"/>
    </row>
    <row r="5736" spans="12:13" x14ac:dyDescent="0.2">
      <c r="L5736" s="12"/>
      <c r="M5736" s="13"/>
    </row>
    <row r="5737" spans="12:13" x14ac:dyDescent="0.2">
      <c r="L5737" s="12"/>
      <c r="M5737" s="13"/>
    </row>
    <row r="5738" spans="12:13" x14ac:dyDescent="0.2">
      <c r="L5738" s="12"/>
      <c r="M5738" s="13"/>
    </row>
    <row r="5739" spans="12:13" x14ac:dyDescent="0.2">
      <c r="L5739" s="12"/>
      <c r="M5739" s="13"/>
    </row>
    <row r="5740" spans="12:13" x14ac:dyDescent="0.2">
      <c r="L5740" s="12"/>
      <c r="M5740" s="13"/>
    </row>
    <row r="5741" spans="12:13" x14ac:dyDescent="0.2">
      <c r="L5741" s="12"/>
      <c r="M5741" s="13"/>
    </row>
    <row r="5742" spans="12:13" x14ac:dyDescent="0.2">
      <c r="L5742" s="12"/>
      <c r="M5742" s="13"/>
    </row>
    <row r="5743" spans="12:13" x14ac:dyDescent="0.2">
      <c r="L5743" s="12"/>
      <c r="M5743" s="13"/>
    </row>
    <row r="5744" spans="12:13" x14ac:dyDescent="0.2">
      <c r="L5744" s="12"/>
      <c r="M5744" s="13"/>
    </row>
    <row r="5745" spans="12:13" x14ac:dyDescent="0.2">
      <c r="L5745" s="12"/>
      <c r="M5745" s="13"/>
    </row>
    <row r="5746" spans="12:13" x14ac:dyDescent="0.2">
      <c r="L5746" s="12"/>
      <c r="M5746" s="13"/>
    </row>
    <row r="5747" spans="12:13" x14ac:dyDescent="0.2">
      <c r="L5747" s="12"/>
      <c r="M5747" s="13"/>
    </row>
    <row r="5748" spans="12:13" x14ac:dyDescent="0.2">
      <c r="L5748" s="12"/>
      <c r="M5748" s="13"/>
    </row>
    <row r="5749" spans="12:13" x14ac:dyDescent="0.2">
      <c r="L5749" s="12"/>
      <c r="M5749" s="13"/>
    </row>
    <row r="5750" spans="12:13" x14ac:dyDescent="0.2">
      <c r="L5750" s="12"/>
      <c r="M5750" s="13"/>
    </row>
    <row r="5751" spans="12:13" x14ac:dyDescent="0.2">
      <c r="L5751" s="12"/>
      <c r="M5751" s="13"/>
    </row>
    <row r="5752" spans="12:13" x14ac:dyDescent="0.2">
      <c r="L5752" s="12"/>
      <c r="M5752" s="13"/>
    </row>
    <row r="5753" spans="12:13" x14ac:dyDescent="0.2">
      <c r="L5753" s="12"/>
      <c r="M5753" s="13"/>
    </row>
    <row r="5754" spans="12:13" x14ac:dyDescent="0.2">
      <c r="L5754" s="12"/>
      <c r="M5754" s="13"/>
    </row>
    <row r="5755" spans="12:13" x14ac:dyDescent="0.2">
      <c r="L5755" s="12"/>
      <c r="M5755" s="13"/>
    </row>
    <row r="5756" spans="12:13" x14ac:dyDescent="0.2">
      <c r="L5756" s="12"/>
      <c r="M5756" s="13"/>
    </row>
    <row r="5757" spans="12:13" x14ac:dyDescent="0.2">
      <c r="L5757" s="12"/>
      <c r="M5757" s="13"/>
    </row>
    <row r="5758" spans="12:13" x14ac:dyDescent="0.2">
      <c r="L5758" s="12"/>
      <c r="M5758" s="13"/>
    </row>
    <row r="5759" spans="12:13" x14ac:dyDescent="0.2">
      <c r="L5759" s="12"/>
      <c r="M5759" s="13"/>
    </row>
    <row r="5760" spans="12:13" x14ac:dyDescent="0.2">
      <c r="L5760" s="12"/>
      <c r="M5760" s="13"/>
    </row>
    <row r="5761" spans="12:13" x14ac:dyDescent="0.2">
      <c r="L5761" s="12"/>
      <c r="M5761" s="13"/>
    </row>
    <row r="5762" spans="12:13" x14ac:dyDescent="0.2">
      <c r="L5762" s="12"/>
      <c r="M5762" s="13"/>
    </row>
    <row r="5763" spans="12:13" x14ac:dyDescent="0.2">
      <c r="L5763" s="12"/>
      <c r="M5763" s="13"/>
    </row>
    <row r="5764" spans="12:13" x14ac:dyDescent="0.2">
      <c r="L5764" s="12"/>
      <c r="M5764" s="13"/>
    </row>
    <row r="5765" spans="12:13" x14ac:dyDescent="0.2">
      <c r="L5765" s="12"/>
      <c r="M5765" s="13"/>
    </row>
    <row r="5766" spans="12:13" x14ac:dyDescent="0.2">
      <c r="L5766" s="12"/>
      <c r="M5766" s="13"/>
    </row>
    <row r="5767" spans="12:13" x14ac:dyDescent="0.2">
      <c r="L5767" s="12"/>
      <c r="M5767" s="13"/>
    </row>
    <row r="5768" spans="12:13" x14ac:dyDescent="0.2">
      <c r="L5768" s="12"/>
      <c r="M5768" s="13"/>
    </row>
    <row r="5769" spans="12:13" x14ac:dyDescent="0.2">
      <c r="L5769" s="12"/>
      <c r="M5769" s="13"/>
    </row>
    <row r="5770" spans="12:13" x14ac:dyDescent="0.2">
      <c r="L5770" s="12"/>
      <c r="M5770" s="13"/>
    </row>
    <row r="5771" spans="12:13" x14ac:dyDescent="0.2">
      <c r="L5771" s="12"/>
      <c r="M5771" s="13"/>
    </row>
    <row r="5772" spans="12:13" x14ac:dyDescent="0.2">
      <c r="L5772" s="12"/>
      <c r="M5772" s="13"/>
    </row>
    <row r="5773" spans="12:13" x14ac:dyDescent="0.2">
      <c r="L5773" s="12"/>
      <c r="M5773" s="13"/>
    </row>
    <row r="5774" spans="12:13" x14ac:dyDescent="0.2">
      <c r="L5774" s="12"/>
      <c r="M5774" s="13"/>
    </row>
    <row r="5775" spans="12:13" x14ac:dyDescent="0.2">
      <c r="L5775" s="12"/>
      <c r="M5775" s="13"/>
    </row>
    <row r="5776" spans="12:13" x14ac:dyDescent="0.2">
      <c r="L5776" s="12"/>
      <c r="M5776" s="13"/>
    </row>
    <row r="5777" spans="12:13" x14ac:dyDescent="0.2">
      <c r="L5777" s="12"/>
      <c r="M5777" s="13"/>
    </row>
    <row r="5778" spans="12:13" x14ac:dyDescent="0.2">
      <c r="L5778" s="12"/>
      <c r="M5778" s="13"/>
    </row>
    <row r="5779" spans="12:13" x14ac:dyDescent="0.2">
      <c r="L5779" s="12"/>
      <c r="M5779" s="13"/>
    </row>
    <row r="5780" spans="12:13" x14ac:dyDescent="0.2">
      <c r="L5780" s="12"/>
      <c r="M5780" s="13"/>
    </row>
    <row r="5781" spans="12:13" x14ac:dyDescent="0.2">
      <c r="L5781" s="12"/>
      <c r="M5781" s="13"/>
    </row>
    <row r="5782" spans="12:13" x14ac:dyDescent="0.2">
      <c r="L5782" s="12"/>
      <c r="M5782" s="13"/>
    </row>
    <row r="5783" spans="12:13" x14ac:dyDescent="0.2">
      <c r="L5783" s="12"/>
      <c r="M5783" s="13"/>
    </row>
    <row r="5784" spans="12:13" x14ac:dyDescent="0.2">
      <c r="L5784" s="12"/>
      <c r="M5784" s="13"/>
    </row>
    <row r="5785" spans="12:13" x14ac:dyDescent="0.2">
      <c r="L5785" s="12"/>
      <c r="M5785" s="13"/>
    </row>
    <row r="5786" spans="12:13" x14ac:dyDescent="0.2">
      <c r="L5786" s="12"/>
      <c r="M5786" s="13"/>
    </row>
    <row r="5787" spans="12:13" x14ac:dyDescent="0.2">
      <c r="L5787" s="12"/>
      <c r="M5787" s="13"/>
    </row>
    <row r="5788" spans="12:13" x14ac:dyDescent="0.2">
      <c r="L5788" s="12"/>
      <c r="M5788" s="13"/>
    </row>
    <row r="5789" spans="12:13" x14ac:dyDescent="0.2">
      <c r="L5789" s="12"/>
      <c r="M5789" s="13"/>
    </row>
    <row r="5790" spans="12:13" x14ac:dyDescent="0.2">
      <c r="L5790" s="12"/>
      <c r="M5790" s="13"/>
    </row>
    <row r="5791" spans="12:13" x14ac:dyDescent="0.2">
      <c r="L5791" s="12"/>
      <c r="M5791" s="13"/>
    </row>
    <row r="5792" spans="12:13" x14ac:dyDescent="0.2">
      <c r="L5792" s="12"/>
      <c r="M5792" s="13"/>
    </row>
    <row r="5793" spans="12:13" x14ac:dyDescent="0.2">
      <c r="L5793" s="12"/>
      <c r="M5793" s="13"/>
    </row>
    <row r="5794" spans="12:13" x14ac:dyDescent="0.2">
      <c r="L5794" s="12"/>
      <c r="M5794" s="13"/>
    </row>
    <row r="5795" spans="12:13" x14ac:dyDescent="0.2">
      <c r="L5795" s="12"/>
      <c r="M5795" s="13"/>
    </row>
    <row r="5796" spans="12:13" x14ac:dyDescent="0.2">
      <c r="L5796" s="12"/>
      <c r="M5796" s="13"/>
    </row>
    <row r="5797" spans="12:13" x14ac:dyDescent="0.2">
      <c r="L5797" s="12"/>
      <c r="M5797" s="13"/>
    </row>
    <row r="5798" spans="12:13" x14ac:dyDescent="0.2">
      <c r="L5798" s="12"/>
      <c r="M5798" s="13"/>
    </row>
    <row r="5799" spans="12:13" x14ac:dyDescent="0.2">
      <c r="L5799" s="12"/>
      <c r="M5799" s="13"/>
    </row>
    <row r="5800" spans="12:13" x14ac:dyDescent="0.2">
      <c r="L5800" s="12"/>
      <c r="M5800" s="13"/>
    </row>
    <row r="5801" spans="12:13" x14ac:dyDescent="0.2">
      <c r="L5801" s="12"/>
      <c r="M5801" s="13"/>
    </row>
    <row r="5802" spans="12:13" x14ac:dyDescent="0.2">
      <c r="L5802" s="12"/>
      <c r="M5802" s="13"/>
    </row>
    <row r="5803" spans="12:13" x14ac:dyDescent="0.2">
      <c r="L5803" s="12"/>
      <c r="M5803" s="13"/>
    </row>
    <row r="5804" spans="12:13" x14ac:dyDescent="0.2">
      <c r="L5804" s="12"/>
      <c r="M5804" s="13"/>
    </row>
    <row r="5805" spans="12:13" x14ac:dyDescent="0.2">
      <c r="L5805" s="12"/>
      <c r="M5805" s="13"/>
    </row>
    <row r="5806" spans="12:13" x14ac:dyDescent="0.2">
      <c r="L5806" s="12"/>
      <c r="M5806" s="13"/>
    </row>
    <row r="5807" spans="12:13" x14ac:dyDescent="0.2">
      <c r="L5807" s="12"/>
      <c r="M5807" s="13"/>
    </row>
    <row r="5808" spans="12:13" x14ac:dyDescent="0.2">
      <c r="L5808" s="12"/>
      <c r="M5808" s="13"/>
    </row>
    <row r="5809" spans="12:13" x14ac:dyDescent="0.2">
      <c r="L5809" s="12"/>
      <c r="M5809" s="13"/>
    </row>
    <row r="5810" spans="12:13" x14ac:dyDescent="0.2">
      <c r="L5810" s="12"/>
      <c r="M5810" s="13"/>
    </row>
    <row r="5811" spans="12:13" x14ac:dyDescent="0.2">
      <c r="L5811" s="12"/>
      <c r="M5811" s="13"/>
    </row>
    <row r="5812" spans="12:13" x14ac:dyDescent="0.2">
      <c r="L5812" s="12"/>
      <c r="M5812" s="13"/>
    </row>
    <row r="5813" spans="12:13" x14ac:dyDescent="0.2">
      <c r="L5813" s="12"/>
      <c r="M5813" s="13"/>
    </row>
    <row r="5814" spans="12:13" x14ac:dyDescent="0.2">
      <c r="L5814" s="12"/>
      <c r="M5814" s="13"/>
    </row>
    <row r="5815" spans="12:13" x14ac:dyDescent="0.2">
      <c r="L5815" s="12"/>
      <c r="M5815" s="13"/>
    </row>
    <row r="5816" spans="12:13" x14ac:dyDescent="0.2">
      <c r="L5816" s="12"/>
      <c r="M5816" s="13"/>
    </row>
    <row r="5817" spans="12:13" x14ac:dyDescent="0.2">
      <c r="L5817" s="12"/>
      <c r="M5817" s="13"/>
    </row>
    <row r="5818" spans="12:13" x14ac:dyDescent="0.2">
      <c r="L5818" s="12"/>
      <c r="M5818" s="13"/>
    </row>
    <row r="5819" spans="12:13" x14ac:dyDescent="0.2">
      <c r="L5819" s="12"/>
      <c r="M5819" s="13"/>
    </row>
    <row r="5820" spans="12:13" x14ac:dyDescent="0.2">
      <c r="L5820" s="12"/>
      <c r="M5820" s="13"/>
    </row>
    <row r="5821" spans="12:13" x14ac:dyDescent="0.2">
      <c r="L5821" s="12"/>
      <c r="M5821" s="13"/>
    </row>
    <row r="5822" spans="12:13" x14ac:dyDescent="0.2">
      <c r="L5822" s="12"/>
      <c r="M5822" s="13"/>
    </row>
    <row r="5823" spans="12:13" x14ac:dyDescent="0.2">
      <c r="L5823" s="12"/>
      <c r="M5823" s="13"/>
    </row>
    <row r="5824" spans="12:13" x14ac:dyDescent="0.2">
      <c r="L5824" s="12"/>
      <c r="M5824" s="13"/>
    </row>
    <row r="5825" spans="12:13" x14ac:dyDescent="0.2">
      <c r="L5825" s="12"/>
      <c r="M5825" s="13"/>
    </row>
    <row r="5826" spans="12:13" x14ac:dyDescent="0.2">
      <c r="L5826" s="12"/>
      <c r="M5826" s="13"/>
    </row>
    <row r="5827" spans="12:13" x14ac:dyDescent="0.2">
      <c r="L5827" s="12"/>
      <c r="M5827" s="13"/>
    </row>
    <row r="5828" spans="12:13" x14ac:dyDescent="0.2">
      <c r="L5828" s="12"/>
      <c r="M5828" s="13"/>
    </row>
    <row r="5829" spans="12:13" x14ac:dyDescent="0.2">
      <c r="L5829" s="12"/>
      <c r="M5829" s="13"/>
    </row>
    <row r="5830" spans="12:13" x14ac:dyDescent="0.2">
      <c r="L5830" s="12"/>
      <c r="M5830" s="13"/>
    </row>
    <row r="5831" spans="12:13" x14ac:dyDescent="0.2">
      <c r="L5831" s="12"/>
      <c r="M5831" s="13"/>
    </row>
    <row r="5832" spans="12:13" x14ac:dyDescent="0.2">
      <c r="L5832" s="12"/>
      <c r="M5832" s="13"/>
    </row>
    <row r="5833" spans="12:13" x14ac:dyDescent="0.2">
      <c r="L5833" s="12"/>
      <c r="M5833" s="13"/>
    </row>
    <row r="5834" spans="12:13" x14ac:dyDescent="0.2">
      <c r="L5834" s="12"/>
      <c r="M5834" s="13"/>
    </row>
    <row r="5835" spans="12:13" x14ac:dyDescent="0.2">
      <c r="L5835" s="12"/>
      <c r="M5835" s="13"/>
    </row>
    <row r="5836" spans="12:13" x14ac:dyDescent="0.2">
      <c r="L5836" s="12"/>
      <c r="M5836" s="13"/>
    </row>
    <row r="5837" spans="12:13" x14ac:dyDescent="0.2">
      <c r="L5837" s="12"/>
      <c r="M5837" s="13"/>
    </row>
    <row r="5838" spans="12:13" x14ac:dyDescent="0.2">
      <c r="L5838" s="12"/>
      <c r="M5838" s="13"/>
    </row>
    <row r="5839" spans="12:13" x14ac:dyDescent="0.2">
      <c r="L5839" s="12"/>
      <c r="M5839" s="13"/>
    </row>
    <row r="5840" spans="12:13" x14ac:dyDescent="0.2">
      <c r="L5840" s="12"/>
      <c r="M5840" s="13"/>
    </row>
    <row r="5841" spans="12:13" x14ac:dyDescent="0.2">
      <c r="L5841" s="12"/>
      <c r="M5841" s="13"/>
    </row>
    <row r="5842" spans="12:13" x14ac:dyDescent="0.2">
      <c r="L5842" s="12"/>
      <c r="M5842" s="13"/>
    </row>
    <row r="5843" spans="12:13" x14ac:dyDescent="0.2">
      <c r="L5843" s="12"/>
      <c r="M5843" s="13"/>
    </row>
    <row r="5844" spans="12:13" x14ac:dyDescent="0.2">
      <c r="L5844" s="12"/>
      <c r="M5844" s="13"/>
    </row>
    <row r="5845" spans="12:13" x14ac:dyDescent="0.2">
      <c r="L5845" s="12"/>
      <c r="M5845" s="13"/>
    </row>
    <row r="5846" spans="12:13" x14ac:dyDescent="0.2">
      <c r="L5846" s="12"/>
      <c r="M5846" s="13"/>
    </row>
    <row r="5847" spans="12:13" x14ac:dyDescent="0.2">
      <c r="L5847" s="12"/>
      <c r="M5847" s="13"/>
    </row>
    <row r="5848" spans="12:13" x14ac:dyDescent="0.2">
      <c r="L5848" s="12"/>
      <c r="M5848" s="13"/>
    </row>
    <row r="5849" spans="12:13" x14ac:dyDescent="0.2">
      <c r="L5849" s="12"/>
      <c r="M5849" s="13"/>
    </row>
    <row r="5850" spans="12:13" x14ac:dyDescent="0.2">
      <c r="L5850" s="12"/>
      <c r="M5850" s="13"/>
    </row>
    <row r="5851" spans="12:13" x14ac:dyDescent="0.2">
      <c r="L5851" s="12"/>
      <c r="M5851" s="13"/>
    </row>
    <row r="5852" spans="12:13" x14ac:dyDescent="0.2">
      <c r="L5852" s="12"/>
      <c r="M5852" s="13"/>
    </row>
    <row r="5853" spans="12:13" x14ac:dyDescent="0.2">
      <c r="L5853" s="12"/>
      <c r="M5853" s="13"/>
    </row>
    <row r="5854" spans="12:13" x14ac:dyDescent="0.2">
      <c r="L5854" s="12"/>
      <c r="M5854" s="13"/>
    </row>
    <row r="5855" spans="12:13" x14ac:dyDescent="0.2">
      <c r="L5855" s="12"/>
      <c r="M5855" s="13"/>
    </row>
    <row r="5856" spans="12:13" x14ac:dyDescent="0.2">
      <c r="L5856" s="12"/>
      <c r="M5856" s="13"/>
    </row>
    <row r="5857" spans="12:13" x14ac:dyDescent="0.2">
      <c r="L5857" s="12"/>
      <c r="M5857" s="13"/>
    </row>
    <row r="5858" spans="12:13" x14ac:dyDescent="0.2">
      <c r="L5858" s="12"/>
      <c r="M5858" s="13"/>
    </row>
    <row r="5859" spans="12:13" x14ac:dyDescent="0.2">
      <c r="L5859" s="12"/>
      <c r="M5859" s="13"/>
    </row>
    <row r="5860" spans="12:13" x14ac:dyDescent="0.2">
      <c r="L5860" s="12"/>
      <c r="M5860" s="13"/>
    </row>
    <row r="5861" spans="12:13" x14ac:dyDescent="0.2">
      <c r="L5861" s="12"/>
      <c r="M5861" s="13"/>
    </row>
    <row r="5862" spans="12:13" x14ac:dyDescent="0.2">
      <c r="L5862" s="12"/>
      <c r="M5862" s="13"/>
    </row>
    <row r="5863" spans="12:13" x14ac:dyDescent="0.2">
      <c r="L5863" s="12"/>
      <c r="M5863" s="13"/>
    </row>
    <row r="5864" spans="12:13" x14ac:dyDescent="0.2">
      <c r="L5864" s="12"/>
      <c r="M5864" s="13"/>
    </row>
    <row r="5865" spans="12:13" x14ac:dyDescent="0.2">
      <c r="L5865" s="12"/>
      <c r="M5865" s="13"/>
    </row>
    <row r="5866" spans="12:13" x14ac:dyDescent="0.2">
      <c r="L5866" s="12"/>
      <c r="M5866" s="13"/>
    </row>
    <row r="5867" spans="12:13" x14ac:dyDescent="0.2">
      <c r="L5867" s="12"/>
      <c r="M5867" s="13"/>
    </row>
    <row r="5868" spans="12:13" x14ac:dyDescent="0.2">
      <c r="L5868" s="12"/>
      <c r="M5868" s="13"/>
    </row>
    <row r="5869" spans="12:13" x14ac:dyDescent="0.2">
      <c r="L5869" s="12"/>
      <c r="M5869" s="13"/>
    </row>
    <row r="5870" spans="12:13" x14ac:dyDescent="0.2">
      <c r="L5870" s="12"/>
      <c r="M5870" s="13"/>
    </row>
    <row r="5871" spans="12:13" x14ac:dyDescent="0.2">
      <c r="L5871" s="12"/>
      <c r="M5871" s="13"/>
    </row>
    <row r="5872" spans="12:13" x14ac:dyDescent="0.2">
      <c r="L5872" s="12"/>
      <c r="M5872" s="13"/>
    </row>
    <row r="5873" spans="12:13" x14ac:dyDescent="0.2">
      <c r="L5873" s="12"/>
      <c r="M5873" s="13"/>
    </row>
    <row r="5874" spans="12:13" x14ac:dyDescent="0.2">
      <c r="L5874" s="12"/>
      <c r="M5874" s="13"/>
    </row>
    <row r="5875" spans="12:13" x14ac:dyDescent="0.2">
      <c r="L5875" s="12"/>
      <c r="M5875" s="13"/>
    </row>
    <row r="5876" spans="12:13" x14ac:dyDescent="0.2">
      <c r="L5876" s="12"/>
      <c r="M5876" s="13"/>
    </row>
    <row r="5877" spans="12:13" x14ac:dyDescent="0.2">
      <c r="L5877" s="12"/>
      <c r="M5877" s="13"/>
    </row>
    <row r="5878" spans="12:13" x14ac:dyDescent="0.2">
      <c r="L5878" s="12"/>
      <c r="M5878" s="13"/>
    </row>
    <row r="5879" spans="12:13" x14ac:dyDescent="0.2">
      <c r="L5879" s="12"/>
      <c r="M5879" s="13"/>
    </row>
    <row r="5880" spans="12:13" x14ac:dyDescent="0.2">
      <c r="L5880" s="12"/>
      <c r="M5880" s="13"/>
    </row>
    <row r="5881" spans="12:13" x14ac:dyDescent="0.2">
      <c r="L5881" s="12"/>
      <c r="M5881" s="13"/>
    </row>
    <row r="5882" spans="12:13" x14ac:dyDescent="0.2">
      <c r="L5882" s="12"/>
      <c r="M5882" s="13"/>
    </row>
    <row r="5883" spans="12:13" x14ac:dyDescent="0.2">
      <c r="L5883" s="12"/>
      <c r="M5883" s="13"/>
    </row>
    <row r="5884" spans="12:13" x14ac:dyDescent="0.2">
      <c r="L5884" s="12"/>
      <c r="M5884" s="13"/>
    </row>
    <row r="5885" spans="12:13" x14ac:dyDescent="0.2">
      <c r="L5885" s="12"/>
      <c r="M5885" s="13"/>
    </row>
    <row r="5886" spans="12:13" x14ac:dyDescent="0.2">
      <c r="L5886" s="12"/>
      <c r="M5886" s="13"/>
    </row>
    <row r="5887" spans="12:13" x14ac:dyDescent="0.2">
      <c r="L5887" s="12"/>
      <c r="M5887" s="13"/>
    </row>
    <row r="5888" spans="12:13" x14ac:dyDescent="0.2">
      <c r="L5888" s="12"/>
      <c r="M5888" s="13"/>
    </row>
    <row r="5889" spans="12:13" x14ac:dyDescent="0.2">
      <c r="L5889" s="12"/>
      <c r="M5889" s="13"/>
    </row>
    <row r="5890" spans="12:13" x14ac:dyDescent="0.2">
      <c r="L5890" s="17"/>
      <c r="M5890" s="18"/>
    </row>
    <row r="5891" spans="12:13" x14ac:dyDescent="0.2">
      <c r="L5891" s="12"/>
      <c r="M5891" s="13"/>
    </row>
    <row r="5892" spans="12:13" x14ac:dyDescent="0.2">
      <c r="L5892" s="12"/>
      <c r="M5892" s="13"/>
    </row>
    <row r="5893" spans="12:13" x14ac:dyDescent="0.2">
      <c r="L5893" s="12"/>
      <c r="M5893" s="13"/>
    </row>
    <row r="5894" spans="12:13" x14ac:dyDescent="0.2">
      <c r="L5894" s="12"/>
      <c r="M5894" s="13"/>
    </row>
    <row r="5895" spans="12:13" x14ac:dyDescent="0.2">
      <c r="L5895" s="12"/>
      <c r="M5895" s="13"/>
    </row>
    <row r="5896" spans="12:13" x14ac:dyDescent="0.2">
      <c r="L5896" s="12"/>
      <c r="M5896" s="13"/>
    </row>
    <row r="5897" spans="12:13" x14ac:dyDescent="0.2">
      <c r="L5897" s="12"/>
      <c r="M5897" s="13"/>
    </row>
    <row r="5898" spans="12:13" x14ac:dyDescent="0.2">
      <c r="L5898" s="12"/>
      <c r="M5898" s="13"/>
    </row>
    <row r="5899" spans="12:13" x14ac:dyDescent="0.2">
      <c r="L5899" s="12"/>
      <c r="M5899" s="13"/>
    </row>
    <row r="5900" spans="12:13" x14ac:dyDescent="0.2">
      <c r="L5900" s="12"/>
      <c r="M5900" s="13"/>
    </row>
    <row r="5901" spans="12:13" x14ac:dyDescent="0.2">
      <c r="L5901" s="12"/>
      <c r="M5901" s="13"/>
    </row>
    <row r="5902" spans="12:13" x14ac:dyDescent="0.2">
      <c r="L5902" s="12"/>
      <c r="M5902" s="13"/>
    </row>
    <row r="5903" spans="12:13" x14ac:dyDescent="0.2">
      <c r="L5903" s="12"/>
      <c r="M5903" s="13"/>
    </row>
    <row r="5904" spans="12:13" x14ac:dyDescent="0.2">
      <c r="L5904" s="12"/>
      <c r="M5904" s="13"/>
    </row>
    <row r="5905" spans="12:13" x14ac:dyDescent="0.2">
      <c r="L5905" s="12"/>
      <c r="M5905" s="13"/>
    </row>
    <row r="5906" spans="12:13" x14ac:dyDescent="0.2">
      <c r="L5906" s="12"/>
      <c r="M5906" s="13"/>
    </row>
    <row r="5907" spans="12:13" x14ac:dyDescent="0.2">
      <c r="L5907" s="12"/>
      <c r="M5907" s="13"/>
    </row>
    <row r="5908" spans="12:13" x14ac:dyDescent="0.2">
      <c r="L5908" s="12"/>
      <c r="M5908" s="13"/>
    </row>
    <row r="5909" spans="12:13" x14ac:dyDescent="0.2">
      <c r="L5909" s="12"/>
      <c r="M5909" s="13"/>
    </row>
    <row r="5910" spans="12:13" x14ac:dyDescent="0.2">
      <c r="L5910" s="12"/>
      <c r="M5910" s="13"/>
    </row>
    <row r="5911" spans="12:13" x14ac:dyDescent="0.2">
      <c r="L5911" s="12"/>
      <c r="M5911" s="13"/>
    </row>
    <row r="5912" spans="12:13" x14ac:dyDescent="0.2">
      <c r="L5912" s="12"/>
      <c r="M5912" s="13"/>
    </row>
    <row r="5913" spans="12:13" x14ac:dyDescent="0.2">
      <c r="L5913" s="12"/>
      <c r="M5913" s="13"/>
    </row>
    <row r="5914" spans="12:13" x14ac:dyDescent="0.2">
      <c r="L5914" s="12"/>
      <c r="M5914" s="13"/>
    </row>
    <row r="5915" spans="12:13" x14ac:dyDescent="0.2">
      <c r="L5915" s="12"/>
      <c r="M5915" s="13"/>
    </row>
    <row r="5916" spans="12:13" x14ac:dyDescent="0.2">
      <c r="L5916" s="12"/>
      <c r="M5916" s="13"/>
    </row>
    <row r="5917" spans="12:13" x14ac:dyDescent="0.2">
      <c r="L5917" s="12"/>
      <c r="M5917" s="13"/>
    </row>
    <row r="5918" spans="12:13" x14ac:dyDescent="0.2">
      <c r="L5918" s="12"/>
      <c r="M5918" s="13"/>
    </row>
    <row r="5919" spans="12:13" x14ac:dyDescent="0.2">
      <c r="L5919" s="12"/>
      <c r="M5919" s="13"/>
    </row>
    <row r="5920" spans="12:13" x14ac:dyDescent="0.2">
      <c r="L5920" s="12"/>
      <c r="M5920" s="13"/>
    </row>
    <row r="5921" spans="12:13" x14ac:dyDescent="0.2">
      <c r="L5921" s="12"/>
      <c r="M5921" s="13"/>
    </row>
    <row r="5922" spans="12:13" x14ac:dyDescent="0.2">
      <c r="L5922" s="12"/>
      <c r="M5922" s="13"/>
    </row>
    <row r="5923" spans="12:13" x14ac:dyDescent="0.2">
      <c r="L5923" s="12"/>
      <c r="M5923" s="13"/>
    </row>
    <row r="5924" spans="12:13" x14ac:dyDescent="0.2">
      <c r="L5924" s="12"/>
      <c r="M5924" s="13"/>
    </row>
    <row r="5925" spans="12:13" x14ac:dyDescent="0.2">
      <c r="L5925" s="12"/>
      <c r="M5925" s="13"/>
    </row>
    <row r="5926" spans="12:13" x14ac:dyDescent="0.2">
      <c r="L5926" s="12"/>
      <c r="M5926" s="13"/>
    </row>
    <row r="5927" spans="12:13" x14ac:dyDescent="0.2">
      <c r="L5927" s="12"/>
      <c r="M5927" s="13"/>
    </row>
    <row r="5928" spans="12:13" x14ac:dyDescent="0.2">
      <c r="L5928" s="12"/>
      <c r="M5928" s="13"/>
    </row>
    <row r="5929" spans="12:13" x14ac:dyDescent="0.2">
      <c r="L5929" s="12"/>
      <c r="M5929" s="13"/>
    </row>
    <row r="5930" spans="12:13" x14ac:dyDescent="0.2">
      <c r="L5930" s="12"/>
      <c r="M5930" s="13"/>
    </row>
    <row r="5931" spans="12:13" x14ac:dyDescent="0.2">
      <c r="L5931" s="12"/>
      <c r="M5931" s="13"/>
    </row>
    <row r="5932" spans="12:13" x14ac:dyDescent="0.2">
      <c r="L5932" s="12"/>
      <c r="M5932" s="13"/>
    </row>
    <row r="5933" spans="12:13" x14ac:dyDescent="0.2">
      <c r="L5933" s="12"/>
      <c r="M5933" s="13"/>
    </row>
    <row r="5934" spans="12:13" x14ac:dyDescent="0.2">
      <c r="L5934" s="12"/>
      <c r="M5934" s="13"/>
    </row>
    <row r="5935" spans="12:13" x14ac:dyDescent="0.2">
      <c r="L5935" s="12"/>
      <c r="M5935" s="13"/>
    </row>
    <row r="5936" spans="12:13" x14ac:dyDescent="0.2">
      <c r="L5936" s="12"/>
      <c r="M5936" s="13"/>
    </row>
    <row r="5937" spans="12:13" x14ac:dyDescent="0.2">
      <c r="L5937" s="12"/>
      <c r="M5937" s="13"/>
    </row>
    <row r="5938" spans="12:13" x14ac:dyDescent="0.2">
      <c r="L5938" s="12"/>
      <c r="M5938" s="13"/>
    </row>
    <row r="5939" spans="12:13" x14ac:dyDescent="0.2">
      <c r="L5939" s="12"/>
      <c r="M5939" s="13"/>
    </row>
    <row r="5940" spans="12:13" x14ac:dyDescent="0.2">
      <c r="L5940" s="12"/>
      <c r="M5940" s="13"/>
    </row>
    <row r="5941" spans="12:13" x14ac:dyDescent="0.2">
      <c r="L5941" s="12"/>
      <c r="M5941" s="13"/>
    </row>
    <row r="5942" spans="12:13" x14ac:dyDescent="0.2">
      <c r="L5942" s="12"/>
      <c r="M5942" s="13"/>
    </row>
    <row r="5943" spans="12:13" x14ac:dyDescent="0.2">
      <c r="L5943" s="12"/>
      <c r="M5943" s="13"/>
    </row>
    <row r="5944" spans="12:13" x14ac:dyDescent="0.2">
      <c r="L5944" s="12"/>
      <c r="M5944" s="13"/>
    </row>
    <row r="5945" spans="12:13" x14ac:dyDescent="0.2">
      <c r="L5945" s="12"/>
      <c r="M5945" s="13"/>
    </row>
    <row r="5946" spans="12:13" x14ac:dyDescent="0.2">
      <c r="L5946" s="12"/>
      <c r="M5946" s="13"/>
    </row>
    <row r="5947" spans="12:13" x14ac:dyDescent="0.2">
      <c r="L5947" s="12"/>
      <c r="M5947" s="13"/>
    </row>
    <row r="5948" spans="12:13" x14ac:dyDescent="0.2">
      <c r="L5948" s="12"/>
      <c r="M5948" s="13"/>
    </row>
    <row r="5949" spans="12:13" x14ac:dyDescent="0.2">
      <c r="L5949" s="12"/>
      <c r="M5949" s="13"/>
    </row>
    <row r="5950" spans="12:13" x14ac:dyDescent="0.2">
      <c r="L5950" s="12"/>
      <c r="M5950" s="13"/>
    </row>
    <row r="5951" spans="12:13" x14ac:dyDescent="0.2">
      <c r="L5951" s="12"/>
      <c r="M5951" s="13"/>
    </row>
    <row r="5952" spans="12:13" x14ac:dyDescent="0.2">
      <c r="L5952" s="12"/>
      <c r="M5952" s="13"/>
    </row>
    <row r="5953" spans="12:13" x14ac:dyDescent="0.2">
      <c r="L5953" s="12"/>
      <c r="M5953" s="13"/>
    </row>
    <row r="5954" spans="12:13" x14ac:dyDescent="0.2">
      <c r="L5954" s="12"/>
      <c r="M5954" s="13"/>
    </row>
    <row r="5955" spans="12:13" x14ac:dyDescent="0.2">
      <c r="L5955" s="12"/>
      <c r="M5955" s="13"/>
    </row>
    <row r="5956" spans="12:13" x14ac:dyDescent="0.2">
      <c r="L5956" s="12"/>
      <c r="M5956" s="13"/>
    </row>
    <row r="5957" spans="12:13" x14ac:dyDescent="0.2">
      <c r="L5957" s="12"/>
      <c r="M5957" s="13"/>
    </row>
    <row r="5958" spans="12:13" x14ac:dyDescent="0.2">
      <c r="L5958" s="12"/>
      <c r="M5958" s="13"/>
    </row>
    <row r="5959" spans="12:13" x14ac:dyDescent="0.2">
      <c r="L5959" s="12"/>
      <c r="M5959" s="13"/>
    </row>
    <row r="5960" spans="12:13" x14ac:dyDescent="0.2">
      <c r="L5960" s="12"/>
      <c r="M5960" s="13"/>
    </row>
    <row r="5961" spans="12:13" x14ac:dyDescent="0.2">
      <c r="L5961" s="12"/>
      <c r="M5961" s="13"/>
    </row>
    <row r="5962" spans="12:13" x14ac:dyDescent="0.2">
      <c r="L5962" s="12"/>
      <c r="M5962" s="13"/>
    </row>
    <row r="5963" spans="12:13" x14ac:dyDescent="0.2">
      <c r="L5963" s="12"/>
      <c r="M5963" s="13"/>
    </row>
    <row r="5964" spans="12:13" x14ac:dyDescent="0.2">
      <c r="L5964" s="12"/>
      <c r="M5964" s="13"/>
    </row>
    <row r="5965" spans="12:13" x14ac:dyDescent="0.2">
      <c r="L5965" s="12"/>
      <c r="M5965" s="13"/>
    </row>
    <row r="5966" spans="12:13" x14ac:dyDescent="0.2">
      <c r="L5966" s="12"/>
      <c r="M5966" s="13"/>
    </row>
    <row r="5967" spans="12:13" x14ac:dyDescent="0.2">
      <c r="L5967" s="12"/>
      <c r="M5967" s="13"/>
    </row>
    <row r="5968" spans="12:13" x14ac:dyDescent="0.2">
      <c r="L5968" s="12"/>
      <c r="M5968" s="13"/>
    </row>
    <row r="5969" spans="12:13" x14ac:dyDescent="0.2">
      <c r="L5969" s="12"/>
      <c r="M5969" s="13"/>
    </row>
    <row r="5970" spans="12:13" x14ac:dyDescent="0.2">
      <c r="L5970" s="12"/>
      <c r="M5970" s="13"/>
    </row>
    <row r="5971" spans="12:13" x14ac:dyDescent="0.2">
      <c r="L5971" s="12"/>
      <c r="M5971" s="13"/>
    </row>
    <row r="5972" spans="12:13" x14ac:dyDescent="0.2">
      <c r="L5972" s="12"/>
      <c r="M5972" s="13"/>
    </row>
    <row r="5973" spans="12:13" x14ac:dyDescent="0.2">
      <c r="L5973" s="12"/>
      <c r="M5973" s="13"/>
    </row>
    <row r="5974" spans="12:13" x14ac:dyDescent="0.2">
      <c r="L5974" s="12"/>
      <c r="M5974" s="13"/>
    </row>
    <row r="5975" spans="12:13" x14ac:dyDescent="0.2">
      <c r="L5975" s="12"/>
      <c r="M5975" s="13"/>
    </row>
    <row r="5976" spans="12:13" x14ac:dyDescent="0.2">
      <c r="L5976" s="12"/>
      <c r="M5976" s="13"/>
    </row>
    <row r="5977" spans="12:13" x14ac:dyDescent="0.2">
      <c r="L5977" s="12"/>
      <c r="M5977" s="13"/>
    </row>
    <row r="5978" spans="12:13" x14ac:dyDescent="0.2">
      <c r="L5978" s="12"/>
      <c r="M5978" s="13"/>
    </row>
    <row r="5979" spans="12:13" x14ac:dyDescent="0.2">
      <c r="L5979" s="12"/>
      <c r="M5979" s="13"/>
    </row>
    <row r="5980" spans="12:13" x14ac:dyDescent="0.2">
      <c r="L5980" s="12"/>
      <c r="M5980" s="13"/>
    </row>
    <row r="5981" spans="12:13" x14ac:dyDescent="0.2">
      <c r="L5981" s="12"/>
      <c r="M5981" s="13"/>
    </row>
    <row r="5982" spans="12:13" x14ac:dyDescent="0.2">
      <c r="L5982" s="12"/>
      <c r="M5982" s="13"/>
    </row>
    <row r="5983" spans="12:13" x14ac:dyDescent="0.2">
      <c r="L5983" s="12"/>
      <c r="M5983" s="13"/>
    </row>
    <row r="5984" spans="12:13" x14ac:dyDescent="0.2">
      <c r="L5984" s="12"/>
      <c r="M5984" s="13"/>
    </row>
    <row r="5985" spans="12:13" x14ac:dyDescent="0.2">
      <c r="L5985" s="12"/>
      <c r="M5985" s="13"/>
    </row>
    <row r="5986" spans="12:13" x14ac:dyDescent="0.2">
      <c r="L5986" s="12"/>
      <c r="M5986" s="13"/>
    </row>
    <row r="5987" spans="12:13" x14ac:dyDescent="0.2">
      <c r="L5987" s="12"/>
      <c r="M5987" s="13"/>
    </row>
    <row r="5988" spans="12:13" x14ac:dyDescent="0.2">
      <c r="L5988" s="12"/>
      <c r="M5988" s="13"/>
    </row>
    <row r="5989" spans="12:13" x14ac:dyDescent="0.2">
      <c r="L5989" s="12"/>
      <c r="M5989" s="13"/>
    </row>
    <row r="5990" spans="12:13" x14ac:dyDescent="0.2">
      <c r="L5990" s="12"/>
      <c r="M5990" s="13"/>
    </row>
    <row r="5991" spans="12:13" x14ac:dyDescent="0.2">
      <c r="L5991" s="12"/>
      <c r="M5991" s="13"/>
    </row>
    <row r="5992" spans="12:13" x14ac:dyDescent="0.2">
      <c r="L5992" s="12"/>
      <c r="M5992" s="13"/>
    </row>
    <row r="5993" spans="12:13" x14ac:dyDescent="0.2">
      <c r="L5993" s="12"/>
      <c r="M5993" s="13"/>
    </row>
    <row r="5994" spans="12:13" x14ac:dyDescent="0.2">
      <c r="L5994" s="12"/>
      <c r="M5994" s="13"/>
    </row>
    <row r="5995" spans="12:13" x14ac:dyDescent="0.2">
      <c r="L5995" s="12"/>
      <c r="M5995" s="13"/>
    </row>
    <row r="5996" spans="12:13" x14ac:dyDescent="0.2">
      <c r="L5996" s="12"/>
      <c r="M5996" s="13"/>
    </row>
    <row r="5997" spans="12:13" x14ac:dyDescent="0.2">
      <c r="L5997" s="12"/>
      <c r="M5997" s="13"/>
    </row>
    <row r="5998" spans="12:13" x14ac:dyDescent="0.2">
      <c r="L5998" s="12"/>
      <c r="M5998" s="13"/>
    </row>
    <row r="5999" spans="12:13" x14ac:dyDescent="0.2">
      <c r="L5999" s="12"/>
      <c r="M5999" s="13"/>
    </row>
    <row r="6000" spans="12:13" x14ac:dyDescent="0.2">
      <c r="L6000" s="12"/>
      <c r="M6000" s="13"/>
    </row>
    <row r="6001" spans="12:13" x14ac:dyDescent="0.2">
      <c r="L6001" s="12"/>
      <c r="M6001" s="13"/>
    </row>
    <row r="6002" spans="12:13" x14ac:dyDescent="0.2">
      <c r="L6002" s="12"/>
      <c r="M6002" s="13"/>
    </row>
    <row r="6003" spans="12:13" x14ac:dyDescent="0.2">
      <c r="L6003" s="12"/>
      <c r="M6003" s="13"/>
    </row>
    <row r="6004" spans="12:13" x14ac:dyDescent="0.2">
      <c r="L6004" s="12"/>
      <c r="M6004" s="13"/>
    </row>
    <row r="6005" spans="12:13" x14ac:dyDescent="0.2">
      <c r="L6005" s="12"/>
      <c r="M6005" s="13"/>
    </row>
    <row r="6006" spans="12:13" x14ac:dyDescent="0.2">
      <c r="L6006" s="12"/>
      <c r="M6006" s="13"/>
    </row>
    <row r="6007" spans="12:13" x14ac:dyDescent="0.2">
      <c r="L6007" s="12"/>
      <c r="M6007" s="13"/>
    </row>
    <row r="6008" spans="12:13" x14ac:dyDescent="0.2">
      <c r="L6008" s="12"/>
      <c r="M6008" s="13"/>
    </row>
    <row r="6009" spans="12:13" x14ac:dyDescent="0.2">
      <c r="L6009" s="12"/>
      <c r="M6009" s="13"/>
    </row>
    <row r="6010" spans="12:13" x14ac:dyDescent="0.2">
      <c r="L6010" s="12"/>
      <c r="M6010" s="13"/>
    </row>
    <row r="6011" spans="12:13" x14ac:dyDescent="0.2">
      <c r="L6011" s="12"/>
      <c r="M6011" s="13"/>
    </row>
    <row r="6012" spans="12:13" x14ac:dyDescent="0.2">
      <c r="L6012" s="12"/>
      <c r="M6012" s="13"/>
    </row>
    <row r="6013" spans="12:13" x14ac:dyDescent="0.2">
      <c r="L6013" s="12"/>
      <c r="M6013" s="13"/>
    </row>
    <row r="6014" spans="12:13" x14ac:dyDescent="0.2">
      <c r="L6014" s="12"/>
      <c r="M6014" s="13"/>
    </row>
    <row r="6015" spans="12:13" x14ac:dyDescent="0.2">
      <c r="L6015" s="12"/>
      <c r="M6015" s="13"/>
    </row>
    <row r="6016" spans="12:13" x14ac:dyDescent="0.2">
      <c r="L6016" s="12"/>
      <c r="M6016" s="13"/>
    </row>
    <row r="6017" spans="12:13" x14ac:dyDescent="0.2">
      <c r="L6017" s="12"/>
      <c r="M6017" s="13"/>
    </row>
    <row r="6018" spans="12:13" x14ac:dyDescent="0.2">
      <c r="L6018" s="12"/>
      <c r="M6018" s="13"/>
    </row>
    <row r="6019" spans="12:13" x14ac:dyDescent="0.2">
      <c r="L6019" s="12"/>
      <c r="M6019" s="13"/>
    </row>
    <row r="6020" spans="12:13" x14ac:dyDescent="0.2">
      <c r="L6020" s="12"/>
      <c r="M6020" s="13"/>
    </row>
    <row r="6021" spans="12:13" x14ac:dyDescent="0.2">
      <c r="L6021" s="12"/>
      <c r="M6021" s="13"/>
    </row>
    <row r="6022" spans="12:13" x14ac:dyDescent="0.2">
      <c r="L6022" s="12"/>
      <c r="M6022" s="13"/>
    </row>
    <row r="6023" spans="12:13" x14ac:dyDescent="0.2">
      <c r="L6023" s="12"/>
      <c r="M6023" s="13"/>
    </row>
    <row r="6024" spans="12:13" x14ac:dyDescent="0.2">
      <c r="L6024" s="12"/>
      <c r="M6024" s="13"/>
    </row>
    <row r="6025" spans="12:13" x14ac:dyDescent="0.2">
      <c r="L6025" s="12"/>
      <c r="M6025" s="13"/>
    </row>
    <row r="6026" spans="12:13" x14ac:dyDescent="0.2">
      <c r="L6026" s="12"/>
      <c r="M6026" s="13"/>
    </row>
    <row r="6027" spans="12:13" x14ac:dyDescent="0.2">
      <c r="L6027" s="12"/>
      <c r="M6027" s="13"/>
    </row>
    <row r="6028" spans="12:13" x14ac:dyDescent="0.2">
      <c r="L6028" s="12"/>
      <c r="M6028" s="13"/>
    </row>
    <row r="6029" spans="12:13" x14ac:dyDescent="0.2">
      <c r="L6029" s="12"/>
      <c r="M6029" s="13"/>
    </row>
    <row r="6030" spans="12:13" x14ac:dyDescent="0.2">
      <c r="L6030" s="12"/>
      <c r="M6030" s="13"/>
    </row>
    <row r="6031" spans="12:13" x14ac:dyDescent="0.2">
      <c r="L6031" s="12"/>
      <c r="M6031" s="13"/>
    </row>
    <row r="6032" spans="12:13" x14ac:dyDescent="0.2">
      <c r="L6032" s="12"/>
      <c r="M6032" s="13"/>
    </row>
    <row r="6033" spans="12:13" x14ac:dyDescent="0.2">
      <c r="L6033" s="12"/>
      <c r="M6033" s="13"/>
    </row>
    <row r="6034" spans="12:13" x14ac:dyDescent="0.2">
      <c r="L6034" s="12"/>
      <c r="M6034" s="13"/>
    </row>
    <row r="6035" spans="12:13" x14ac:dyDescent="0.2">
      <c r="L6035" s="12"/>
      <c r="M6035" s="13"/>
    </row>
    <row r="6036" spans="12:13" x14ac:dyDescent="0.2">
      <c r="L6036" s="12"/>
      <c r="M6036" s="13"/>
    </row>
    <row r="6037" spans="12:13" x14ac:dyDescent="0.2">
      <c r="L6037" s="12"/>
      <c r="M6037" s="13"/>
    </row>
    <row r="6038" spans="12:13" x14ac:dyDescent="0.2">
      <c r="L6038" s="12"/>
      <c r="M6038" s="13"/>
    </row>
    <row r="6039" spans="12:13" x14ac:dyDescent="0.2">
      <c r="L6039" s="12"/>
      <c r="M6039" s="13"/>
    </row>
    <row r="6040" spans="12:13" x14ac:dyDescent="0.2">
      <c r="L6040" s="12"/>
      <c r="M6040" s="13"/>
    </row>
    <row r="6041" spans="12:13" x14ac:dyDescent="0.2">
      <c r="L6041" s="12"/>
      <c r="M6041" s="13"/>
    </row>
    <row r="6042" spans="12:13" x14ac:dyDescent="0.2">
      <c r="L6042" s="12"/>
      <c r="M6042" s="13"/>
    </row>
    <row r="6043" spans="12:13" x14ac:dyDescent="0.2">
      <c r="L6043" s="12"/>
      <c r="M6043" s="13"/>
    </row>
    <row r="6044" spans="12:13" x14ac:dyDescent="0.2">
      <c r="L6044" s="12"/>
      <c r="M6044" s="13"/>
    </row>
    <row r="6045" spans="12:13" x14ac:dyDescent="0.2">
      <c r="L6045" s="12"/>
      <c r="M6045" s="13"/>
    </row>
    <row r="6046" spans="12:13" x14ac:dyDescent="0.2">
      <c r="L6046" s="12"/>
      <c r="M6046" s="13"/>
    </row>
    <row r="6047" spans="12:13" x14ac:dyDescent="0.2">
      <c r="L6047" s="12"/>
      <c r="M6047" s="13"/>
    </row>
    <row r="6048" spans="12:13" x14ac:dyDescent="0.2">
      <c r="L6048" s="12"/>
      <c r="M6048" s="13"/>
    </row>
    <row r="6049" spans="12:13" x14ac:dyDescent="0.2">
      <c r="L6049" s="12"/>
      <c r="M6049" s="13"/>
    </row>
    <row r="6050" spans="12:13" x14ac:dyDescent="0.2">
      <c r="L6050" s="12"/>
      <c r="M6050" s="13"/>
    </row>
    <row r="6051" spans="12:13" x14ac:dyDescent="0.2">
      <c r="L6051" s="12"/>
      <c r="M6051" s="13"/>
    </row>
    <row r="6052" spans="12:13" x14ac:dyDescent="0.2">
      <c r="L6052" s="12"/>
      <c r="M6052" s="13"/>
    </row>
    <row r="6053" spans="12:13" x14ac:dyDescent="0.2">
      <c r="L6053" s="12"/>
      <c r="M6053" s="13"/>
    </row>
    <row r="6054" spans="12:13" x14ac:dyDescent="0.2">
      <c r="L6054" s="12"/>
      <c r="M6054" s="13"/>
    </row>
    <row r="6055" spans="12:13" x14ac:dyDescent="0.2">
      <c r="L6055" s="12"/>
      <c r="M6055" s="13"/>
    </row>
    <row r="6056" spans="12:13" x14ac:dyDescent="0.2">
      <c r="L6056" s="12"/>
      <c r="M6056" s="13"/>
    </row>
    <row r="6057" spans="12:13" x14ac:dyDescent="0.2">
      <c r="L6057" s="12"/>
      <c r="M6057" s="13"/>
    </row>
    <row r="6058" spans="12:13" x14ac:dyDescent="0.2">
      <c r="L6058" s="12"/>
      <c r="M6058" s="13"/>
    </row>
    <row r="6059" spans="12:13" x14ac:dyDescent="0.2">
      <c r="L6059" s="12"/>
      <c r="M6059" s="13"/>
    </row>
    <row r="6060" spans="12:13" x14ac:dyDescent="0.2">
      <c r="L6060" s="12"/>
      <c r="M6060" s="13"/>
    </row>
    <row r="6061" spans="12:13" x14ac:dyDescent="0.2">
      <c r="L6061" s="12"/>
      <c r="M6061" s="13"/>
    </row>
    <row r="6062" spans="12:13" x14ac:dyDescent="0.2">
      <c r="L6062" s="12"/>
      <c r="M6062" s="13"/>
    </row>
    <row r="6063" spans="12:13" x14ac:dyDescent="0.2">
      <c r="L6063" s="12"/>
      <c r="M6063" s="13"/>
    </row>
    <row r="6064" spans="12:13" x14ac:dyDescent="0.2">
      <c r="L6064" s="12"/>
      <c r="M6064" s="13"/>
    </row>
    <row r="6065" spans="12:13" x14ac:dyDescent="0.2">
      <c r="L6065" s="12"/>
      <c r="M6065" s="13"/>
    </row>
    <row r="6066" spans="12:13" x14ac:dyDescent="0.2">
      <c r="L6066" s="12"/>
      <c r="M6066" s="13"/>
    </row>
    <row r="6067" spans="12:13" x14ac:dyDescent="0.2">
      <c r="L6067" s="12"/>
      <c r="M6067" s="13"/>
    </row>
    <row r="6068" spans="12:13" x14ac:dyDescent="0.2">
      <c r="L6068" s="12"/>
      <c r="M6068" s="13"/>
    </row>
    <row r="6069" spans="12:13" x14ac:dyDescent="0.2">
      <c r="L6069" s="12"/>
      <c r="M6069" s="13"/>
    </row>
    <row r="6070" spans="12:13" x14ac:dyDescent="0.2">
      <c r="L6070" s="12"/>
      <c r="M6070" s="13"/>
    </row>
    <row r="6071" spans="12:13" x14ac:dyDescent="0.2">
      <c r="L6071" s="12"/>
      <c r="M6071" s="13"/>
    </row>
    <row r="6072" spans="12:13" x14ac:dyDescent="0.2">
      <c r="L6072" s="12"/>
      <c r="M6072" s="13"/>
    </row>
    <row r="6073" spans="12:13" x14ac:dyDescent="0.2">
      <c r="L6073" s="12"/>
      <c r="M6073" s="13"/>
    </row>
    <row r="6074" spans="12:13" x14ac:dyDescent="0.2">
      <c r="L6074" s="12"/>
      <c r="M6074" s="13"/>
    </row>
    <row r="6075" spans="12:13" x14ac:dyDescent="0.2">
      <c r="L6075" s="12"/>
      <c r="M6075" s="13"/>
    </row>
    <row r="6076" spans="12:13" x14ac:dyDescent="0.2">
      <c r="L6076" s="12"/>
      <c r="M6076" s="13"/>
    </row>
    <row r="6077" spans="12:13" x14ac:dyDescent="0.2">
      <c r="L6077" s="12"/>
      <c r="M6077" s="13"/>
    </row>
    <row r="6078" spans="12:13" x14ac:dyDescent="0.2">
      <c r="L6078" s="12"/>
      <c r="M6078" s="13"/>
    </row>
    <row r="6079" spans="12:13" x14ac:dyDescent="0.2">
      <c r="L6079" s="12"/>
      <c r="M6079" s="13"/>
    </row>
    <row r="6080" spans="12:13" x14ac:dyDescent="0.2">
      <c r="L6080" s="12"/>
      <c r="M6080" s="13"/>
    </row>
    <row r="6081" spans="12:13" x14ac:dyDescent="0.2">
      <c r="L6081" s="12"/>
      <c r="M6081" s="13"/>
    </row>
    <row r="6082" spans="12:13" x14ac:dyDescent="0.2">
      <c r="L6082" s="12"/>
      <c r="M6082" s="13"/>
    </row>
    <row r="6083" spans="12:13" x14ac:dyDescent="0.2">
      <c r="L6083" s="12"/>
      <c r="M6083" s="13"/>
    </row>
    <row r="6084" spans="12:13" x14ac:dyDescent="0.2">
      <c r="L6084" s="12"/>
      <c r="M6084" s="13"/>
    </row>
    <row r="6085" spans="12:13" x14ac:dyDescent="0.2">
      <c r="L6085" s="12"/>
      <c r="M6085" s="13"/>
    </row>
    <row r="6086" spans="12:13" x14ac:dyDescent="0.2">
      <c r="L6086" s="12"/>
      <c r="M6086" s="13"/>
    </row>
    <row r="6087" spans="12:13" x14ac:dyDescent="0.2">
      <c r="L6087" s="12"/>
      <c r="M6087" s="13"/>
    </row>
    <row r="6088" spans="12:13" x14ac:dyDescent="0.2">
      <c r="L6088" s="12"/>
      <c r="M6088" s="13"/>
    </row>
    <row r="6089" spans="12:13" x14ac:dyDescent="0.2">
      <c r="L6089" s="12"/>
      <c r="M6089" s="13"/>
    </row>
    <row r="6090" spans="12:13" x14ac:dyDescent="0.2">
      <c r="L6090" s="12"/>
      <c r="M6090" s="13"/>
    </row>
    <row r="6091" spans="12:13" x14ac:dyDescent="0.2">
      <c r="L6091" s="12"/>
      <c r="M6091" s="13"/>
    </row>
    <row r="6092" spans="12:13" x14ac:dyDescent="0.2">
      <c r="L6092" s="12"/>
      <c r="M6092" s="13"/>
    </row>
    <row r="6093" spans="12:13" x14ac:dyDescent="0.2">
      <c r="L6093" s="12"/>
      <c r="M6093" s="13"/>
    </row>
    <row r="6094" spans="12:13" x14ac:dyDescent="0.2">
      <c r="L6094" s="12"/>
      <c r="M6094" s="13"/>
    </row>
    <row r="6095" spans="12:13" x14ac:dyDescent="0.2">
      <c r="L6095" s="12"/>
      <c r="M6095" s="13"/>
    </row>
    <row r="6096" spans="12:13" x14ac:dyDescent="0.2">
      <c r="L6096" s="12"/>
      <c r="M6096" s="13"/>
    </row>
    <row r="6097" spans="12:13" x14ac:dyDescent="0.2">
      <c r="L6097" s="12"/>
      <c r="M6097" s="13"/>
    </row>
    <row r="6098" spans="12:13" x14ac:dyDescent="0.2">
      <c r="L6098" s="12"/>
      <c r="M6098" s="13"/>
    </row>
    <row r="6099" spans="12:13" x14ac:dyDescent="0.2">
      <c r="L6099" s="12"/>
      <c r="M6099" s="13"/>
    </row>
    <row r="6100" spans="12:13" x14ac:dyDescent="0.2">
      <c r="L6100" s="12"/>
      <c r="M6100" s="13"/>
    </row>
    <row r="6101" spans="12:13" x14ac:dyDescent="0.2">
      <c r="L6101" s="12"/>
      <c r="M6101" s="13"/>
    </row>
    <row r="6102" spans="12:13" x14ac:dyDescent="0.2">
      <c r="L6102" s="12"/>
      <c r="M6102" s="13"/>
    </row>
    <row r="6103" spans="12:13" x14ac:dyDescent="0.2">
      <c r="L6103" s="12"/>
      <c r="M6103" s="13"/>
    </row>
    <row r="6104" spans="12:13" x14ac:dyDescent="0.2">
      <c r="L6104" s="12"/>
      <c r="M6104" s="13"/>
    </row>
    <row r="6105" spans="12:13" x14ac:dyDescent="0.2">
      <c r="L6105" s="12"/>
      <c r="M6105" s="13"/>
    </row>
    <row r="6106" spans="12:13" x14ac:dyDescent="0.2">
      <c r="L6106" s="12"/>
      <c r="M6106" s="13"/>
    </row>
    <row r="6107" spans="12:13" x14ac:dyDescent="0.2">
      <c r="L6107" s="12"/>
      <c r="M6107" s="13"/>
    </row>
    <row r="6108" spans="12:13" x14ac:dyDescent="0.2">
      <c r="L6108" s="12"/>
      <c r="M6108" s="13"/>
    </row>
    <row r="6109" spans="12:13" x14ac:dyDescent="0.2">
      <c r="L6109" s="12"/>
      <c r="M6109" s="13"/>
    </row>
    <row r="6110" spans="12:13" x14ac:dyDescent="0.2">
      <c r="L6110" s="12"/>
      <c r="M6110" s="13"/>
    </row>
    <row r="6111" spans="12:13" x14ac:dyDescent="0.2">
      <c r="L6111" s="12"/>
      <c r="M6111" s="13"/>
    </row>
    <row r="6112" spans="12:13" x14ac:dyDescent="0.2">
      <c r="L6112" s="12"/>
      <c r="M6112" s="13"/>
    </row>
    <row r="6113" spans="12:13" x14ac:dyDescent="0.2">
      <c r="L6113" s="12"/>
      <c r="M6113" s="13"/>
    </row>
    <row r="6114" spans="12:13" x14ac:dyDescent="0.2">
      <c r="L6114" s="12"/>
      <c r="M6114" s="13"/>
    </row>
    <row r="6115" spans="12:13" x14ac:dyDescent="0.2">
      <c r="L6115" s="12"/>
      <c r="M6115" s="13"/>
    </row>
    <row r="6116" spans="12:13" x14ac:dyDescent="0.2">
      <c r="L6116" s="12"/>
      <c r="M6116" s="13"/>
    </row>
    <row r="6117" spans="12:13" x14ac:dyDescent="0.2">
      <c r="L6117" s="12"/>
      <c r="M6117" s="13"/>
    </row>
    <row r="6118" spans="12:13" x14ac:dyDescent="0.2">
      <c r="L6118" s="12"/>
      <c r="M6118" s="13"/>
    </row>
    <row r="6119" spans="12:13" x14ac:dyDescent="0.2">
      <c r="L6119" s="12"/>
      <c r="M6119" s="13"/>
    </row>
    <row r="6120" spans="12:13" x14ac:dyDescent="0.2">
      <c r="L6120" s="12"/>
      <c r="M6120" s="13"/>
    </row>
    <row r="6121" spans="12:13" x14ac:dyDescent="0.2">
      <c r="L6121" s="12"/>
      <c r="M6121" s="13"/>
    </row>
    <row r="6122" spans="12:13" x14ac:dyDescent="0.2">
      <c r="L6122" s="12"/>
      <c r="M6122" s="13"/>
    </row>
    <row r="6123" spans="12:13" x14ac:dyDescent="0.2">
      <c r="L6123" s="12"/>
      <c r="M6123" s="13"/>
    </row>
    <row r="6124" spans="12:13" x14ac:dyDescent="0.2">
      <c r="L6124" s="12"/>
      <c r="M6124" s="13"/>
    </row>
    <row r="6125" spans="12:13" x14ac:dyDescent="0.2">
      <c r="L6125" s="12"/>
      <c r="M6125" s="13"/>
    </row>
    <row r="6126" spans="12:13" x14ac:dyDescent="0.2">
      <c r="L6126" s="12"/>
      <c r="M6126" s="13"/>
    </row>
    <row r="6127" spans="12:13" x14ac:dyDescent="0.2">
      <c r="L6127" s="12"/>
      <c r="M6127" s="13"/>
    </row>
    <row r="6128" spans="12:13" x14ac:dyDescent="0.2">
      <c r="L6128" s="12"/>
      <c r="M6128" s="13"/>
    </row>
    <row r="6129" spans="12:13" x14ac:dyDescent="0.2">
      <c r="L6129" s="12"/>
      <c r="M6129" s="13"/>
    </row>
    <row r="6130" spans="12:13" x14ac:dyDescent="0.2">
      <c r="L6130" s="12"/>
      <c r="M6130" s="13"/>
    </row>
    <row r="6131" spans="12:13" x14ac:dyDescent="0.2">
      <c r="L6131" s="12"/>
      <c r="M6131" s="13"/>
    </row>
    <row r="6132" spans="12:13" x14ac:dyDescent="0.2">
      <c r="L6132" s="12"/>
      <c r="M6132" s="13"/>
    </row>
    <row r="6133" spans="12:13" x14ac:dyDescent="0.2">
      <c r="L6133" s="12"/>
      <c r="M6133" s="13"/>
    </row>
    <row r="6134" spans="12:13" x14ac:dyDescent="0.2">
      <c r="L6134" s="12"/>
      <c r="M6134" s="13"/>
    </row>
    <row r="6135" spans="12:13" x14ac:dyDescent="0.2">
      <c r="L6135" s="12"/>
      <c r="M6135" s="13"/>
    </row>
    <row r="6136" spans="12:13" x14ac:dyDescent="0.2">
      <c r="L6136" s="12"/>
      <c r="M6136" s="13"/>
    </row>
    <row r="6137" spans="12:13" x14ac:dyDescent="0.2">
      <c r="L6137" s="12"/>
      <c r="M6137" s="13"/>
    </row>
    <row r="6138" spans="12:13" x14ac:dyDescent="0.2">
      <c r="L6138" s="12"/>
      <c r="M6138" s="13"/>
    </row>
    <row r="6139" spans="12:13" x14ac:dyDescent="0.2">
      <c r="L6139" s="12"/>
      <c r="M6139" s="13"/>
    </row>
    <row r="6140" spans="12:13" x14ac:dyDescent="0.2">
      <c r="L6140" s="12"/>
      <c r="M6140" s="13"/>
    </row>
    <row r="6141" spans="12:13" x14ac:dyDescent="0.2">
      <c r="L6141" s="12"/>
      <c r="M6141" s="13"/>
    </row>
    <row r="6142" spans="12:13" x14ac:dyDescent="0.2">
      <c r="L6142" s="12"/>
      <c r="M6142" s="13"/>
    </row>
    <row r="6143" spans="12:13" x14ac:dyDescent="0.2">
      <c r="L6143" s="12"/>
      <c r="M6143" s="13"/>
    </row>
    <row r="6144" spans="12:13" x14ac:dyDescent="0.2">
      <c r="L6144" s="12"/>
      <c r="M6144" s="13"/>
    </row>
    <row r="6145" spans="12:13" x14ac:dyDescent="0.2">
      <c r="L6145" s="12"/>
      <c r="M6145" s="13"/>
    </row>
    <row r="6146" spans="12:13" x14ac:dyDescent="0.2">
      <c r="L6146" s="17"/>
      <c r="M6146" s="18"/>
    </row>
    <row r="6147" spans="12:13" x14ac:dyDescent="0.2">
      <c r="L6147" s="12"/>
      <c r="M6147" s="13"/>
    </row>
    <row r="6148" spans="12:13" x14ac:dyDescent="0.2">
      <c r="L6148" s="12"/>
      <c r="M6148" s="13"/>
    </row>
    <row r="6149" spans="12:13" x14ac:dyDescent="0.2">
      <c r="L6149" s="12"/>
      <c r="M6149" s="13"/>
    </row>
    <row r="6150" spans="12:13" x14ac:dyDescent="0.2">
      <c r="L6150" s="12"/>
      <c r="M6150" s="13"/>
    </row>
    <row r="6151" spans="12:13" x14ac:dyDescent="0.2">
      <c r="L6151" s="12"/>
      <c r="M6151" s="13"/>
    </row>
    <row r="6152" spans="12:13" x14ac:dyDescent="0.2">
      <c r="L6152" s="12"/>
      <c r="M6152" s="13"/>
    </row>
    <row r="6153" spans="12:13" x14ac:dyDescent="0.2">
      <c r="L6153" s="12"/>
      <c r="M6153" s="13"/>
    </row>
    <row r="6154" spans="12:13" x14ac:dyDescent="0.2">
      <c r="L6154" s="12"/>
      <c r="M6154" s="13"/>
    </row>
    <row r="6155" spans="12:13" x14ac:dyDescent="0.2">
      <c r="L6155" s="12"/>
      <c r="M6155" s="13"/>
    </row>
    <row r="6156" spans="12:13" x14ac:dyDescent="0.2">
      <c r="L6156" s="12"/>
      <c r="M6156" s="13"/>
    </row>
    <row r="6157" spans="12:13" x14ac:dyDescent="0.2">
      <c r="L6157" s="12"/>
      <c r="M6157" s="13"/>
    </row>
    <row r="6158" spans="12:13" x14ac:dyDescent="0.2">
      <c r="L6158" s="12"/>
      <c r="M6158" s="13"/>
    </row>
    <row r="6159" spans="12:13" x14ac:dyDescent="0.2">
      <c r="L6159" s="12"/>
      <c r="M6159" s="13"/>
    </row>
    <row r="6160" spans="12:13" x14ac:dyDescent="0.2">
      <c r="L6160" s="12"/>
      <c r="M6160" s="13"/>
    </row>
    <row r="6161" spans="12:13" x14ac:dyDescent="0.2">
      <c r="L6161" s="12"/>
      <c r="M6161" s="13"/>
    </row>
    <row r="6162" spans="12:13" x14ac:dyDescent="0.2">
      <c r="L6162" s="12"/>
      <c r="M6162" s="13"/>
    </row>
    <row r="6163" spans="12:13" x14ac:dyDescent="0.2">
      <c r="L6163" s="12"/>
      <c r="M6163" s="13"/>
    </row>
    <row r="6164" spans="12:13" x14ac:dyDescent="0.2">
      <c r="L6164" s="12"/>
      <c r="M6164" s="13"/>
    </row>
    <row r="6165" spans="12:13" x14ac:dyDescent="0.2">
      <c r="L6165" s="12"/>
      <c r="M6165" s="13"/>
    </row>
    <row r="6166" spans="12:13" x14ac:dyDescent="0.2">
      <c r="L6166" s="12"/>
      <c r="M6166" s="13"/>
    </row>
    <row r="6167" spans="12:13" x14ac:dyDescent="0.2">
      <c r="L6167" s="12"/>
      <c r="M6167" s="13"/>
    </row>
    <row r="6168" spans="12:13" x14ac:dyDescent="0.2">
      <c r="L6168" s="12"/>
      <c r="M6168" s="13"/>
    </row>
    <row r="6169" spans="12:13" x14ac:dyDescent="0.2">
      <c r="L6169" s="12"/>
      <c r="M6169" s="13"/>
    </row>
    <row r="6170" spans="12:13" x14ac:dyDescent="0.2">
      <c r="L6170" s="12"/>
      <c r="M6170" s="13"/>
    </row>
    <row r="6171" spans="12:13" x14ac:dyDescent="0.2">
      <c r="L6171" s="12"/>
      <c r="M6171" s="13"/>
    </row>
    <row r="6172" spans="12:13" x14ac:dyDescent="0.2">
      <c r="L6172" s="12"/>
      <c r="M6172" s="13"/>
    </row>
    <row r="6173" spans="12:13" x14ac:dyDescent="0.2">
      <c r="L6173" s="12"/>
      <c r="M6173" s="13"/>
    </row>
    <row r="6174" spans="12:13" x14ac:dyDescent="0.2">
      <c r="L6174" s="12"/>
      <c r="M6174" s="13"/>
    </row>
    <row r="6175" spans="12:13" x14ac:dyDescent="0.2">
      <c r="L6175" s="12"/>
      <c r="M6175" s="13"/>
    </row>
    <row r="6176" spans="12:13" x14ac:dyDescent="0.2">
      <c r="L6176" s="12"/>
      <c r="M6176" s="13"/>
    </row>
    <row r="6177" spans="12:13" x14ac:dyDescent="0.2">
      <c r="L6177" s="12"/>
      <c r="M6177" s="13"/>
    </row>
    <row r="6178" spans="12:13" x14ac:dyDescent="0.2">
      <c r="L6178" s="12"/>
      <c r="M6178" s="13"/>
    </row>
    <row r="6179" spans="12:13" x14ac:dyDescent="0.2">
      <c r="L6179" s="12"/>
      <c r="M6179" s="13"/>
    </row>
    <row r="6180" spans="12:13" x14ac:dyDescent="0.2">
      <c r="L6180" s="12"/>
      <c r="M6180" s="13"/>
    </row>
    <row r="6181" spans="12:13" x14ac:dyDescent="0.2">
      <c r="L6181" s="12"/>
      <c r="M6181" s="13"/>
    </row>
    <row r="6182" spans="12:13" x14ac:dyDescent="0.2">
      <c r="L6182" s="12"/>
      <c r="M6182" s="13"/>
    </row>
    <row r="6183" spans="12:13" x14ac:dyDescent="0.2">
      <c r="L6183" s="12"/>
      <c r="M6183" s="13"/>
    </row>
    <row r="6184" spans="12:13" x14ac:dyDescent="0.2">
      <c r="L6184" s="12"/>
      <c r="M6184" s="13"/>
    </row>
    <row r="6185" spans="12:13" x14ac:dyDescent="0.2">
      <c r="L6185" s="12"/>
      <c r="M6185" s="13"/>
    </row>
    <row r="6186" spans="12:13" x14ac:dyDescent="0.2">
      <c r="L6186" s="12"/>
      <c r="M6186" s="13"/>
    </row>
    <row r="6187" spans="12:13" x14ac:dyDescent="0.2">
      <c r="L6187" s="12"/>
      <c r="M6187" s="13"/>
    </row>
    <row r="6188" spans="12:13" x14ac:dyDescent="0.2">
      <c r="L6188" s="12"/>
      <c r="M6188" s="13"/>
    </row>
    <row r="6189" spans="12:13" x14ac:dyDescent="0.2">
      <c r="L6189" s="12"/>
      <c r="M6189" s="13"/>
    </row>
    <row r="6190" spans="12:13" x14ac:dyDescent="0.2">
      <c r="L6190" s="12"/>
      <c r="M6190" s="13"/>
    </row>
    <row r="6191" spans="12:13" x14ac:dyDescent="0.2">
      <c r="L6191" s="12"/>
      <c r="M6191" s="13"/>
    </row>
    <row r="6192" spans="12:13" x14ac:dyDescent="0.2">
      <c r="L6192" s="12"/>
      <c r="M6192" s="13"/>
    </row>
    <row r="6193" spans="12:13" x14ac:dyDescent="0.2">
      <c r="L6193" s="12"/>
      <c r="M6193" s="13"/>
    </row>
    <row r="6194" spans="12:13" x14ac:dyDescent="0.2">
      <c r="L6194" s="12"/>
      <c r="M6194" s="13"/>
    </row>
    <row r="6195" spans="12:13" x14ac:dyDescent="0.2">
      <c r="L6195" s="12"/>
      <c r="M6195" s="13"/>
    </row>
    <row r="6196" spans="12:13" x14ac:dyDescent="0.2">
      <c r="L6196" s="12"/>
      <c r="M6196" s="13"/>
    </row>
    <row r="6197" spans="12:13" x14ac:dyDescent="0.2">
      <c r="L6197" s="12"/>
      <c r="M6197" s="13"/>
    </row>
    <row r="6198" spans="12:13" x14ac:dyDescent="0.2">
      <c r="L6198" s="12"/>
      <c r="M6198" s="13"/>
    </row>
    <row r="6199" spans="12:13" x14ac:dyDescent="0.2">
      <c r="L6199" s="12"/>
      <c r="M6199" s="13"/>
    </row>
    <row r="6200" spans="12:13" x14ac:dyDescent="0.2">
      <c r="L6200" s="12"/>
      <c r="M6200" s="13"/>
    </row>
    <row r="6201" spans="12:13" x14ac:dyDescent="0.2">
      <c r="L6201" s="12"/>
      <c r="M6201" s="13"/>
    </row>
    <row r="6202" spans="12:13" x14ac:dyDescent="0.2">
      <c r="L6202" s="12"/>
      <c r="M6202" s="13"/>
    </row>
    <row r="6203" spans="12:13" x14ac:dyDescent="0.2">
      <c r="L6203" s="12"/>
      <c r="M6203" s="13"/>
    </row>
    <row r="6204" spans="12:13" x14ac:dyDescent="0.2">
      <c r="L6204" s="12"/>
      <c r="M6204" s="13"/>
    </row>
    <row r="6205" spans="12:13" x14ac:dyDescent="0.2">
      <c r="L6205" s="12"/>
      <c r="M6205" s="13"/>
    </row>
    <row r="6206" spans="12:13" x14ac:dyDescent="0.2">
      <c r="L6206" s="12"/>
      <c r="M6206" s="13"/>
    </row>
    <row r="6207" spans="12:13" x14ac:dyDescent="0.2">
      <c r="L6207" s="12"/>
      <c r="M6207" s="13"/>
    </row>
    <row r="6208" spans="12:13" x14ac:dyDescent="0.2">
      <c r="L6208" s="12"/>
      <c r="M6208" s="13"/>
    </row>
    <row r="6209" spans="12:13" x14ac:dyDescent="0.2">
      <c r="L6209" s="12"/>
      <c r="M6209" s="13"/>
    </row>
    <row r="6210" spans="12:13" x14ac:dyDescent="0.2">
      <c r="L6210" s="12"/>
      <c r="M6210" s="13"/>
    </row>
    <row r="6211" spans="12:13" x14ac:dyDescent="0.2">
      <c r="L6211" s="12"/>
      <c r="M6211" s="13"/>
    </row>
    <row r="6212" spans="12:13" x14ac:dyDescent="0.2">
      <c r="L6212" s="12"/>
      <c r="M6212" s="13"/>
    </row>
    <row r="6213" spans="12:13" x14ac:dyDescent="0.2">
      <c r="L6213" s="12"/>
      <c r="M6213" s="13"/>
    </row>
    <row r="6214" spans="12:13" x14ac:dyDescent="0.2">
      <c r="L6214" s="12"/>
      <c r="M6214" s="13"/>
    </row>
    <row r="6215" spans="12:13" x14ac:dyDescent="0.2">
      <c r="L6215" s="12"/>
      <c r="M6215" s="13"/>
    </row>
    <row r="6216" spans="12:13" x14ac:dyDescent="0.2">
      <c r="L6216" s="12"/>
      <c r="M6216" s="13"/>
    </row>
    <row r="6217" spans="12:13" x14ac:dyDescent="0.2">
      <c r="L6217" s="12"/>
      <c r="M6217" s="13"/>
    </row>
    <row r="6218" spans="12:13" x14ac:dyDescent="0.2">
      <c r="L6218" s="12"/>
      <c r="M6218" s="13"/>
    </row>
    <row r="6219" spans="12:13" x14ac:dyDescent="0.2">
      <c r="L6219" s="12"/>
      <c r="M6219" s="13"/>
    </row>
    <row r="6220" spans="12:13" x14ac:dyDescent="0.2">
      <c r="L6220" s="12"/>
      <c r="M6220" s="13"/>
    </row>
    <row r="6221" spans="12:13" x14ac:dyDescent="0.2">
      <c r="L6221" s="12"/>
      <c r="M6221" s="13"/>
    </row>
    <row r="6222" spans="12:13" x14ac:dyDescent="0.2">
      <c r="L6222" s="12"/>
      <c r="M6222" s="13"/>
    </row>
    <row r="6223" spans="12:13" x14ac:dyDescent="0.2">
      <c r="L6223" s="12"/>
      <c r="M6223" s="13"/>
    </row>
    <row r="6224" spans="12:13" x14ac:dyDescent="0.2">
      <c r="L6224" s="12"/>
      <c r="M6224" s="13"/>
    </row>
    <row r="6225" spans="12:13" x14ac:dyDescent="0.2">
      <c r="L6225" s="12"/>
      <c r="M6225" s="13"/>
    </row>
    <row r="6226" spans="12:13" x14ac:dyDescent="0.2">
      <c r="L6226" s="12"/>
      <c r="M6226" s="13"/>
    </row>
    <row r="6227" spans="12:13" x14ac:dyDescent="0.2">
      <c r="L6227" s="12"/>
      <c r="M6227" s="13"/>
    </row>
    <row r="6228" spans="12:13" x14ac:dyDescent="0.2">
      <c r="L6228" s="12"/>
      <c r="M6228" s="13"/>
    </row>
    <row r="6229" spans="12:13" x14ac:dyDescent="0.2">
      <c r="L6229" s="12"/>
      <c r="M6229" s="13"/>
    </row>
    <row r="6230" spans="12:13" x14ac:dyDescent="0.2">
      <c r="L6230" s="12"/>
      <c r="M6230" s="13"/>
    </row>
    <row r="6231" spans="12:13" x14ac:dyDescent="0.2">
      <c r="L6231" s="12"/>
      <c r="M6231" s="13"/>
    </row>
    <row r="6232" spans="12:13" x14ac:dyDescent="0.2">
      <c r="L6232" s="12"/>
      <c r="M6232" s="13"/>
    </row>
    <row r="6233" spans="12:13" x14ac:dyDescent="0.2">
      <c r="L6233" s="12"/>
      <c r="M6233" s="13"/>
    </row>
    <row r="6234" spans="12:13" x14ac:dyDescent="0.2">
      <c r="L6234" s="12"/>
      <c r="M6234" s="13"/>
    </row>
    <row r="6235" spans="12:13" x14ac:dyDescent="0.2">
      <c r="L6235" s="12"/>
      <c r="M6235" s="13"/>
    </row>
    <row r="6236" spans="12:13" x14ac:dyDescent="0.2">
      <c r="L6236" s="12"/>
      <c r="M6236" s="13"/>
    </row>
    <row r="6237" spans="12:13" x14ac:dyDescent="0.2">
      <c r="L6237" s="12"/>
      <c r="M6237" s="13"/>
    </row>
    <row r="6238" spans="12:13" x14ac:dyDescent="0.2">
      <c r="L6238" s="12"/>
      <c r="M6238" s="13"/>
    </row>
    <row r="6239" spans="12:13" x14ac:dyDescent="0.2">
      <c r="L6239" s="12"/>
      <c r="M6239" s="13"/>
    </row>
    <row r="6240" spans="12:13" x14ac:dyDescent="0.2">
      <c r="L6240" s="12"/>
      <c r="M6240" s="13"/>
    </row>
    <row r="6241" spans="12:13" x14ac:dyDescent="0.2">
      <c r="L6241" s="12"/>
      <c r="M6241" s="13"/>
    </row>
    <row r="6242" spans="12:13" x14ac:dyDescent="0.2">
      <c r="L6242" s="12"/>
      <c r="M6242" s="13"/>
    </row>
    <row r="6243" spans="12:13" x14ac:dyDescent="0.2">
      <c r="L6243" s="12"/>
      <c r="M6243" s="13"/>
    </row>
    <row r="6244" spans="12:13" x14ac:dyDescent="0.2">
      <c r="L6244" s="12"/>
      <c r="M6244" s="13"/>
    </row>
    <row r="6245" spans="12:13" x14ac:dyDescent="0.2">
      <c r="L6245" s="12"/>
      <c r="M6245" s="13"/>
    </row>
    <row r="6246" spans="12:13" x14ac:dyDescent="0.2">
      <c r="L6246" s="12"/>
      <c r="M6246" s="13"/>
    </row>
    <row r="6247" spans="12:13" x14ac:dyDescent="0.2">
      <c r="L6247" s="12"/>
      <c r="M6247" s="13"/>
    </row>
    <row r="6248" spans="12:13" x14ac:dyDescent="0.2">
      <c r="L6248" s="12"/>
      <c r="M6248" s="13"/>
    </row>
    <row r="6249" spans="12:13" x14ac:dyDescent="0.2">
      <c r="L6249" s="12"/>
      <c r="M6249" s="13"/>
    </row>
    <row r="6250" spans="12:13" x14ac:dyDescent="0.2">
      <c r="L6250" s="12"/>
      <c r="M6250" s="13"/>
    </row>
    <row r="6251" spans="12:13" x14ac:dyDescent="0.2">
      <c r="L6251" s="12"/>
      <c r="M6251" s="13"/>
    </row>
    <row r="6252" spans="12:13" x14ac:dyDescent="0.2">
      <c r="L6252" s="12"/>
      <c r="M6252" s="13"/>
    </row>
    <row r="6253" spans="12:13" x14ac:dyDescent="0.2">
      <c r="L6253" s="12"/>
      <c r="M6253" s="13"/>
    </row>
    <row r="6254" spans="12:13" x14ac:dyDescent="0.2">
      <c r="L6254" s="12"/>
      <c r="M6254" s="13"/>
    </row>
    <row r="6255" spans="12:13" x14ac:dyDescent="0.2">
      <c r="L6255" s="12"/>
      <c r="M6255" s="13"/>
    </row>
    <row r="6256" spans="12:13" x14ac:dyDescent="0.2">
      <c r="L6256" s="12"/>
      <c r="M6256" s="13"/>
    </row>
    <row r="6257" spans="12:13" x14ac:dyDescent="0.2">
      <c r="L6257" s="12"/>
      <c r="M6257" s="13"/>
    </row>
    <row r="6258" spans="12:13" x14ac:dyDescent="0.2">
      <c r="L6258" s="12"/>
      <c r="M6258" s="13"/>
    </row>
    <row r="6259" spans="12:13" x14ac:dyDescent="0.2">
      <c r="L6259" s="12"/>
      <c r="M6259" s="13"/>
    </row>
    <row r="6260" spans="12:13" x14ac:dyDescent="0.2">
      <c r="L6260" s="12"/>
      <c r="M6260" s="13"/>
    </row>
    <row r="6261" spans="12:13" x14ac:dyDescent="0.2">
      <c r="L6261" s="12"/>
      <c r="M6261" s="13"/>
    </row>
    <row r="6262" spans="12:13" x14ac:dyDescent="0.2">
      <c r="L6262" s="12"/>
      <c r="M6262" s="13"/>
    </row>
    <row r="6263" spans="12:13" x14ac:dyDescent="0.2">
      <c r="L6263" s="12"/>
      <c r="M6263" s="13"/>
    </row>
    <row r="6264" spans="12:13" x14ac:dyDescent="0.2">
      <c r="L6264" s="12"/>
      <c r="M6264" s="13"/>
    </row>
    <row r="6265" spans="12:13" x14ac:dyDescent="0.2">
      <c r="L6265" s="12"/>
      <c r="M6265" s="13"/>
    </row>
    <row r="6266" spans="12:13" x14ac:dyDescent="0.2">
      <c r="L6266" s="12"/>
      <c r="M6266" s="13"/>
    </row>
    <row r="6267" spans="12:13" x14ac:dyDescent="0.2">
      <c r="L6267" s="12"/>
      <c r="M6267" s="13"/>
    </row>
    <row r="6268" spans="12:13" x14ac:dyDescent="0.2">
      <c r="L6268" s="12"/>
      <c r="M6268" s="13"/>
    </row>
    <row r="6269" spans="12:13" x14ac:dyDescent="0.2">
      <c r="L6269" s="12"/>
      <c r="M6269" s="13"/>
    </row>
    <row r="6270" spans="12:13" x14ac:dyDescent="0.2">
      <c r="L6270" s="12"/>
      <c r="M6270" s="13"/>
    </row>
    <row r="6271" spans="12:13" x14ac:dyDescent="0.2">
      <c r="L6271" s="12"/>
      <c r="M6271" s="13"/>
    </row>
    <row r="6272" spans="12:13" x14ac:dyDescent="0.2">
      <c r="L6272" s="12"/>
      <c r="M6272" s="13"/>
    </row>
    <row r="6273" spans="12:13" x14ac:dyDescent="0.2">
      <c r="L6273" s="12"/>
      <c r="M6273" s="13"/>
    </row>
    <row r="6274" spans="12:13" x14ac:dyDescent="0.2">
      <c r="L6274" s="12"/>
      <c r="M6274" s="13"/>
    </row>
    <row r="6275" spans="12:13" x14ac:dyDescent="0.2">
      <c r="L6275" s="12"/>
      <c r="M6275" s="13"/>
    </row>
    <row r="6276" spans="12:13" x14ac:dyDescent="0.2">
      <c r="L6276" s="12"/>
      <c r="M6276" s="13"/>
    </row>
    <row r="6277" spans="12:13" x14ac:dyDescent="0.2">
      <c r="L6277" s="12"/>
      <c r="M6277" s="13"/>
    </row>
    <row r="6278" spans="12:13" x14ac:dyDescent="0.2">
      <c r="L6278" s="12"/>
      <c r="M6278" s="13"/>
    </row>
    <row r="6279" spans="12:13" x14ac:dyDescent="0.2">
      <c r="L6279" s="12"/>
      <c r="M6279" s="13"/>
    </row>
    <row r="6280" spans="12:13" x14ac:dyDescent="0.2">
      <c r="L6280" s="12"/>
      <c r="M6280" s="13"/>
    </row>
    <row r="6281" spans="12:13" x14ac:dyDescent="0.2">
      <c r="L6281" s="12"/>
      <c r="M6281" s="13"/>
    </row>
    <row r="6282" spans="12:13" x14ac:dyDescent="0.2">
      <c r="L6282" s="12"/>
      <c r="M6282" s="13"/>
    </row>
    <row r="6283" spans="12:13" x14ac:dyDescent="0.2">
      <c r="L6283" s="12"/>
      <c r="M6283" s="13"/>
    </row>
    <row r="6284" spans="12:13" x14ac:dyDescent="0.2">
      <c r="L6284" s="12"/>
      <c r="M6284" s="13"/>
    </row>
    <row r="6285" spans="12:13" x14ac:dyDescent="0.2">
      <c r="L6285" s="12"/>
      <c r="M6285" s="13"/>
    </row>
    <row r="6286" spans="12:13" x14ac:dyDescent="0.2">
      <c r="L6286" s="12"/>
      <c r="M6286" s="13"/>
    </row>
    <row r="6287" spans="12:13" x14ac:dyDescent="0.2">
      <c r="L6287" s="12"/>
      <c r="M6287" s="13"/>
    </row>
    <row r="6288" spans="12:13" x14ac:dyDescent="0.2">
      <c r="L6288" s="12"/>
      <c r="M6288" s="13"/>
    </row>
    <row r="6289" spans="12:13" x14ac:dyDescent="0.2">
      <c r="L6289" s="12"/>
      <c r="M6289" s="13"/>
    </row>
    <row r="6290" spans="12:13" x14ac:dyDescent="0.2">
      <c r="L6290" s="12"/>
      <c r="M6290" s="13"/>
    </row>
    <row r="6291" spans="12:13" x14ac:dyDescent="0.2">
      <c r="L6291" s="12"/>
      <c r="M6291" s="13"/>
    </row>
    <row r="6292" spans="12:13" x14ac:dyDescent="0.2">
      <c r="L6292" s="12"/>
      <c r="M6292" s="13"/>
    </row>
    <row r="6293" spans="12:13" x14ac:dyDescent="0.2">
      <c r="L6293" s="12"/>
      <c r="M6293" s="13"/>
    </row>
    <row r="6294" spans="12:13" x14ac:dyDescent="0.2">
      <c r="L6294" s="12"/>
      <c r="M6294" s="13"/>
    </row>
    <row r="6295" spans="12:13" x14ac:dyDescent="0.2">
      <c r="L6295" s="12"/>
      <c r="M6295" s="13"/>
    </row>
    <row r="6296" spans="12:13" x14ac:dyDescent="0.2">
      <c r="L6296" s="12"/>
      <c r="M6296" s="13"/>
    </row>
    <row r="6297" spans="12:13" x14ac:dyDescent="0.2">
      <c r="L6297" s="12"/>
      <c r="M6297" s="13"/>
    </row>
    <row r="6298" spans="12:13" x14ac:dyDescent="0.2">
      <c r="L6298" s="12"/>
      <c r="M6298" s="13"/>
    </row>
    <row r="6299" spans="12:13" x14ac:dyDescent="0.2">
      <c r="L6299" s="12"/>
      <c r="M6299" s="13"/>
    </row>
    <row r="6300" spans="12:13" x14ac:dyDescent="0.2">
      <c r="L6300" s="12"/>
      <c r="M6300" s="13"/>
    </row>
    <row r="6301" spans="12:13" x14ac:dyDescent="0.2">
      <c r="L6301" s="12"/>
      <c r="M6301" s="13"/>
    </row>
    <row r="6302" spans="12:13" x14ac:dyDescent="0.2">
      <c r="L6302" s="12"/>
      <c r="M6302" s="13"/>
    </row>
    <row r="6303" spans="12:13" x14ac:dyDescent="0.2">
      <c r="L6303" s="12"/>
      <c r="M6303" s="13"/>
    </row>
    <row r="6304" spans="12:13" x14ac:dyDescent="0.2">
      <c r="L6304" s="12"/>
      <c r="M6304" s="13"/>
    </row>
    <row r="6305" spans="12:13" x14ac:dyDescent="0.2">
      <c r="L6305" s="12"/>
      <c r="M6305" s="13"/>
    </row>
    <row r="6306" spans="12:13" x14ac:dyDescent="0.2">
      <c r="L6306" s="12"/>
      <c r="M6306" s="13"/>
    </row>
    <row r="6307" spans="12:13" x14ac:dyDescent="0.2">
      <c r="L6307" s="12"/>
      <c r="M6307" s="13"/>
    </row>
    <row r="6308" spans="12:13" x14ac:dyDescent="0.2">
      <c r="L6308" s="12"/>
      <c r="M6308" s="13"/>
    </row>
    <row r="6309" spans="12:13" x14ac:dyDescent="0.2">
      <c r="L6309" s="12"/>
      <c r="M6309" s="13"/>
    </row>
    <row r="6310" spans="12:13" x14ac:dyDescent="0.2">
      <c r="L6310" s="12"/>
      <c r="M6310" s="13"/>
    </row>
    <row r="6311" spans="12:13" x14ac:dyDescent="0.2">
      <c r="L6311" s="12"/>
      <c r="M6311" s="13"/>
    </row>
    <row r="6312" spans="12:13" x14ac:dyDescent="0.2">
      <c r="L6312" s="12"/>
      <c r="M6312" s="13"/>
    </row>
    <row r="6313" spans="12:13" x14ac:dyDescent="0.2">
      <c r="L6313" s="12"/>
      <c r="M6313" s="13"/>
    </row>
    <row r="6314" spans="12:13" x14ac:dyDescent="0.2">
      <c r="L6314" s="12"/>
      <c r="M6314" s="13"/>
    </row>
    <row r="6315" spans="12:13" x14ac:dyDescent="0.2">
      <c r="L6315" s="12"/>
      <c r="M6315" s="13"/>
    </row>
    <row r="6316" spans="12:13" x14ac:dyDescent="0.2">
      <c r="L6316" s="12"/>
      <c r="M6316" s="13"/>
    </row>
    <row r="6317" spans="12:13" x14ac:dyDescent="0.2">
      <c r="L6317" s="12"/>
      <c r="M6317" s="13"/>
    </row>
    <row r="6318" spans="12:13" x14ac:dyDescent="0.2">
      <c r="L6318" s="12"/>
      <c r="M6318" s="13"/>
    </row>
    <row r="6319" spans="12:13" x14ac:dyDescent="0.2">
      <c r="L6319" s="12"/>
      <c r="M6319" s="13"/>
    </row>
    <row r="6320" spans="12:13" x14ac:dyDescent="0.2">
      <c r="L6320" s="12"/>
      <c r="M6320" s="13"/>
    </row>
    <row r="6321" spans="12:13" x14ac:dyDescent="0.2">
      <c r="L6321" s="12"/>
      <c r="M6321" s="13"/>
    </row>
    <row r="6322" spans="12:13" x14ac:dyDescent="0.2">
      <c r="L6322" s="12"/>
      <c r="M6322" s="13"/>
    </row>
    <row r="6323" spans="12:13" x14ac:dyDescent="0.2">
      <c r="L6323" s="12"/>
      <c r="M6323" s="13"/>
    </row>
    <row r="6324" spans="12:13" x14ac:dyDescent="0.2">
      <c r="L6324" s="12"/>
      <c r="M6324" s="13"/>
    </row>
    <row r="6325" spans="12:13" x14ac:dyDescent="0.2">
      <c r="L6325" s="12"/>
      <c r="M6325" s="13"/>
    </row>
    <row r="6326" spans="12:13" x14ac:dyDescent="0.2">
      <c r="L6326" s="12"/>
      <c r="M6326" s="13"/>
    </row>
    <row r="6327" spans="12:13" x14ac:dyDescent="0.2">
      <c r="L6327" s="12"/>
      <c r="M6327" s="13"/>
    </row>
    <row r="6328" spans="12:13" x14ac:dyDescent="0.2">
      <c r="L6328" s="12"/>
      <c r="M6328" s="13"/>
    </row>
    <row r="6329" spans="12:13" x14ac:dyDescent="0.2">
      <c r="L6329" s="12"/>
      <c r="M6329" s="13"/>
    </row>
    <row r="6330" spans="12:13" x14ac:dyDescent="0.2">
      <c r="L6330" s="12"/>
      <c r="M6330" s="13"/>
    </row>
    <row r="6331" spans="12:13" x14ac:dyDescent="0.2">
      <c r="L6331" s="12"/>
      <c r="M6331" s="13"/>
    </row>
    <row r="6332" spans="12:13" x14ac:dyDescent="0.2">
      <c r="L6332" s="12"/>
      <c r="M6332" s="13"/>
    </row>
    <row r="6333" spans="12:13" x14ac:dyDescent="0.2">
      <c r="L6333" s="12"/>
      <c r="M6333" s="13"/>
    </row>
    <row r="6334" spans="12:13" x14ac:dyDescent="0.2">
      <c r="L6334" s="12"/>
      <c r="M6334" s="13"/>
    </row>
    <row r="6335" spans="12:13" x14ac:dyDescent="0.2">
      <c r="L6335" s="12"/>
      <c r="M6335" s="13"/>
    </row>
    <row r="6336" spans="12:13" x14ac:dyDescent="0.2">
      <c r="L6336" s="12"/>
      <c r="M6336" s="13"/>
    </row>
    <row r="6337" spans="12:13" x14ac:dyDescent="0.2">
      <c r="L6337" s="12"/>
      <c r="M6337" s="13"/>
    </row>
    <row r="6338" spans="12:13" x14ac:dyDescent="0.2">
      <c r="L6338" s="12"/>
      <c r="M6338" s="13"/>
    </row>
    <row r="6339" spans="12:13" x14ac:dyDescent="0.2">
      <c r="L6339" s="12"/>
      <c r="M6339" s="13"/>
    </row>
    <row r="6340" spans="12:13" x14ac:dyDescent="0.2">
      <c r="L6340" s="12"/>
      <c r="M6340" s="13"/>
    </row>
    <row r="6341" spans="12:13" x14ac:dyDescent="0.2">
      <c r="L6341" s="12"/>
      <c r="M6341" s="13"/>
    </row>
    <row r="6342" spans="12:13" x14ac:dyDescent="0.2">
      <c r="L6342" s="12"/>
      <c r="M6342" s="13"/>
    </row>
    <row r="6343" spans="12:13" x14ac:dyDescent="0.2">
      <c r="L6343" s="12"/>
      <c r="M6343" s="13"/>
    </row>
    <row r="6344" spans="12:13" x14ac:dyDescent="0.2">
      <c r="L6344" s="12"/>
      <c r="M6344" s="13"/>
    </row>
    <row r="6345" spans="12:13" x14ac:dyDescent="0.2">
      <c r="L6345" s="12"/>
      <c r="M6345" s="13"/>
    </row>
    <row r="6346" spans="12:13" x14ac:dyDescent="0.2">
      <c r="L6346" s="12"/>
      <c r="M6346" s="13"/>
    </row>
    <row r="6347" spans="12:13" x14ac:dyDescent="0.2">
      <c r="L6347" s="12"/>
      <c r="M6347" s="13"/>
    </row>
    <row r="6348" spans="12:13" x14ac:dyDescent="0.2">
      <c r="L6348" s="12"/>
      <c r="M6348" s="13"/>
    </row>
    <row r="6349" spans="12:13" x14ac:dyDescent="0.2">
      <c r="L6349" s="12"/>
      <c r="M6349" s="13"/>
    </row>
    <row r="6350" spans="12:13" x14ac:dyDescent="0.2">
      <c r="L6350" s="12"/>
      <c r="M6350" s="13"/>
    </row>
    <row r="6351" spans="12:13" x14ac:dyDescent="0.2">
      <c r="L6351" s="12"/>
      <c r="M6351" s="13"/>
    </row>
    <row r="6352" spans="12:13" x14ac:dyDescent="0.2">
      <c r="L6352" s="12"/>
      <c r="M6352" s="13"/>
    </row>
    <row r="6353" spans="12:13" x14ac:dyDescent="0.2">
      <c r="L6353" s="12"/>
      <c r="M6353" s="13"/>
    </row>
    <row r="6354" spans="12:13" x14ac:dyDescent="0.2">
      <c r="L6354" s="12"/>
      <c r="M6354" s="13"/>
    </row>
    <row r="6355" spans="12:13" x14ac:dyDescent="0.2">
      <c r="L6355" s="12"/>
      <c r="M6355" s="13"/>
    </row>
    <row r="6356" spans="12:13" x14ac:dyDescent="0.2">
      <c r="L6356" s="12"/>
      <c r="M6356" s="13"/>
    </row>
    <row r="6357" spans="12:13" x14ac:dyDescent="0.2">
      <c r="L6357" s="12"/>
      <c r="M6357" s="13"/>
    </row>
    <row r="6358" spans="12:13" x14ac:dyDescent="0.2">
      <c r="L6358" s="12"/>
      <c r="M6358" s="13"/>
    </row>
    <row r="6359" spans="12:13" x14ac:dyDescent="0.2">
      <c r="L6359" s="12"/>
      <c r="M6359" s="13"/>
    </row>
    <row r="6360" spans="12:13" x14ac:dyDescent="0.2">
      <c r="L6360" s="12"/>
      <c r="M6360" s="13"/>
    </row>
    <row r="6361" spans="12:13" x14ac:dyDescent="0.2">
      <c r="L6361" s="12"/>
      <c r="M6361" s="13"/>
    </row>
    <row r="6362" spans="12:13" x14ac:dyDescent="0.2">
      <c r="L6362" s="12"/>
      <c r="M6362" s="13"/>
    </row>
    <row r="6363" spans="12:13" x14ac:dyDescent="0.2">
      <c r="L6363" s="12"/>
      <c r="M6363" s="13"/>
    </row>
    <row r="6364" spans="12:13" x14ac:dyDescent="0.2">
      <c r="L6364" s="12"/>
      <c r="M6364" s="13"/>
    </row>
    <row r="6365" spans="12:13" x14ac:dyDescent="0.2">
      <c r="L6365" s="12"/>
      <c r="M6365" s="13"/>
    </row>
    <row r="6366" spans="12:13" x14ac:dyDescent="0.2">
      <c r="L6366" s="12"/>
      <c r="M6366" s="13"/>
    </row>
    <row r="6367" spans="12:13" x14ac:dyDescent="0.2">
      <c r="L6367" s="12"/>
      <c r="M6367" s="13"/>
    </row>
    <row r="6368" spans="12:13" x14ac:dyDescent="0.2">
      <c r="L6368" s="12"/>
      <c r="M6368" s="13"/>
    </row>
    <row r="6369" spans="12:13" x14ac:dyDescent="0.2">
      <c r="L6369" s="12"/>
      <c r="M6369" s="13"/>
    </row>
    <row r="6370" spans="12:13" x14ac:dyDescent="0.2">
      <c r="L6370" s="12"/>
      <c r="M6370" s="13"/>
    </row>
    <row r="6371" spans="12:13" x14ac:dyDescent="0.2">
      <c r="L6371" s="12"/>
      <c r="M6371" s="13"/>
    </row>
    <row r="6372" spans="12:13" x14ac:dyDescent="0.2">
      <c r="L6372" s="12"/>
      <c r="M6372" s="13"/>
    </row>
    <row r="6373" spans="12:13" x14ac:dyDescent="0.2">
      <c r="L6373" s="12"/>
      <c r="M6373" s="13"/>
    </row>
    <row r="6374" spans="12:13" x14ac:dyDescent="0.2">
      <c r="L6374" s="12"/>
      <c r="M6374" s="13"/>
    </row>
    <row r="6375" spans="12:13" x14ac:dyDescent="0.2">
      <c r="L6375" s="12"/>
      <c r="M6375" s="13"/>
    </row>
    <row r="6376" spans="12:13" x14ac:dyDescent="0.2">
      <c r="L6376" s="12"/>
      <c r="M6376" s="13"/>
    </row>
    <row r="6377" spans="12:13" x14ac:dyDescent="0.2">
      <c r="L6377" s="12"/>
      <c r="M6377" s="13"/>
    </row>
    <row r="6378" spans="12:13" x14ac:dyDescent="0.2">
      <c r="L6378" s="12"/>
      <c r="M6378" s="13"/>
    </row>
    <row r="6379" spans="12:13" x14ac:dyDescent="0.2">
      <c r="L6379" s="12"/>
      <c r="M6379" s="13"/>
    </row>
    <row r="6380" spans="12:13" x14ac:dyDescent="0.2">
      <c r="L6380" s="12"/>
      <c r="M6380" s="13"/>
    </row>
    <row r="6381" spans="12:13" x14ac:dyDescent="0.2">
      <c r="L6381" s="12"/>
      <c r="M6381" s="13"/>
    </row>
    <row r="6382" spans="12:13" x14ac:dyDescent="0.2">
      <c r="L6382" s="12"/>
      <c r="M6382" s="13"/>
    </row>
    <row r="6383" spans="12:13" x14ac:dyDescent="0.2">
      <c r="L6383" s="12"/>
      <c r="M6383" s="13"/>
    </row>
    <row r="6384" spans="12:13" x14ac:dyDescent="0.2">
      <c r="L6384" s="12"/>
      <c r="M6384" s="13"/>
    </row>
    <row r="6385" spans="12:13" x14ac:dyDescent="0.2">
      <c r="L6385" s="12"/>
      <c r="M6385" s="13"/>
    </row>
    <row r="6386" spans="12:13" x14ac:dyDescent="0.2">
      <c r="L6386" s="12"/>
      <c r="M6386" s="13"/>
    </row>
    <row r="6387" spans="12:13" x14ac:dyDescent="0.2">
      <c r="L6387" s="12"/>
      <c r="M6387" s="13"/>
    </row>
    <row r="6388" spans="12:13" x14ac:dyDescent="0.2">
      <c r="L6388" s="12"/>
      <c r="M6388" s="13"/>
    </row>
    <row r="6389" spans="12:13" x14ac:dyDescent="0.2">
      <c r="L6389" s="12"/>
      <c r="M6389" s="13"/>
    </row>
    <row r="6390" spans="12:13" x14ac:dyDescent="0.2">
      <c r="L6390" s="12"/>
      <c r="M6390" s="13"/>
    </row>
    <row r="6391" spans="12:13" x14ac:dyDescent="0.2">
      <c r="L6391" s="12"/>
      <c r="M6391" s="13"/>
    </row>
    <row r="6392" spans="12:13" x14ac:dyDescent="0.2">
      <c r="L6392" s="12"/>
      <c r="M6392" s="13"/>
    </row>
    <row r="6393" spans="12:13" x14ac:dyDescent="0.2">
      <c r="L6393" s="12"/>
      <c r="M6393" s="13"/>
    </row>
    <row r="6394" spans="12:13" x14ac:dyDescent="0.2">
      <c r="L6394" s="12"/>
      <c r="M6394" s="13"/>
    </row>
    <row r="6395" spans="12:13" x14ac:dyDescent="0.2">
      <c r="L6395" s="12"/>
      <c r="M6395" s="13"/>
    </row>
    <row r="6396" spans="12:13" x14ac:dyDescent="0.2">
      <c r="L6396" s="12"/>
      <c r="M6396" s="13"/>
    </row>
    <row r="6397" spans="12:13" x14ac:dyDescent="0.2">
      <c r="L6397" s="12"/>
      <c r="M6397" s="13"/>
    </row>
    <row r="6398" spans="12:13" x14ac:dyDescent="0.2">
      <c r="L6398" s="12"/>
      <c r="M6398" s="13"/>
    </row>
    <row r="6399" spans="12:13" x14ac:dyDescent="0.2">
      <c r="L6399" s="12"/>
      <c r="M6399" s="13"/>
    </row>
    <row r="6400" spans="12:13" x14ac:dyDescent="0.2">
      <c r="L6400" s="12"/>
      <c r="M6400" s="13"/>
    </row>
    <row r="6401" spans="12:13" x14ac:dyDescent="0.2">
      <c r="L6401" s="12"/>
      <c r="M6401" s="13"/>
    </row>
    <row r="6402" spans="12:13" x14ac:dyDescent="0.2">
      <c r="L6402" s="17"/>
      <c r="M6402" s="18"/>
    </row>
    <row r="6403" spans="12:13" x14ac:dyDescent="0.2">
      <c r="L6403" s="12"/>
      <c r="M6403" s="13"/>
    </row>
    <row r="6404" spans="12:13" x14ac:dyDescent="0.2">
      <c r="L6404" s="12"/>
      <c r="M6404" s="13"/>
    </row>
    <row r="6405" spans="12:13" x14ac:dyDescent="0.2">
      <c r="L6405" s="12"/>
      <c r="M6405" s="13"/>
    </row>
    <row r="6406" spans="12:13" x14ac:dyDescent="0.2">
      <c r="L6406" s="12"/>
      <c r="M6406" s="13"/>
    </row>
    <row r="6407" spans="12:13" x14ac:dyDescent="0.2">
      <c r="L6407" s="12"/>
      <c r="M6407" s="13"/>
    </row>
    <row r="6408" spans="12:13" x14ac:dyDescent="0.2">
      <c r="L6408" s="12"/>
      <c r="M6408" s="13"/>
    </row>
    <row r="6409" spans="12:13" x14ac:dyDescent="0.2">
      <c r="L6409" s="12"/>
      <c r="M6409" s="13"/>
    </row>
    <row r="6410" spans="12:13" x14ac:dyDescent="0.2">
      <c r="L6410" s="12"/>
      <c r="M6410" s="13"/>
    </row>
    <row r="6411" spans="12:13" x14ac:dyDescent="0.2">
      <c r="L6411" s="12"/>
      <c r="M6411" s="13"/>
    </row>
    <row r="6412" spans="12:13" x14ac:dyDescent="0.2">
      <c r="L6412" s="12"/>
      <c r="M6412" s="13"/>
    </row>
    <row r="6413" spans="12:13" x14ac:dyDescent="0.2">
      <c r="L6413" s="12"/>
      <c r="M6413" s="13"/>
    </row>
    <row r="6414" spans="12:13" x14ac:dyDescent="0.2">
      <c r="L6414" s="12"/>
      <c r="M6414" s="13"/>
    </row>
    <row r="6415" spans="12:13" x14ac:dyDescent="0.2">
      <c r="L6415" s="12"/>
      <c r="M6415" s="13"/>
    </row>
    <row r="6416" spans="12:13" x14ac:dyDescent="0.2">
      <c r="L6416" s="12"/>
      <c r="M6416" s="13"/>
    </row>
    <row r="6417" spans="12:13" x14ac:dyDescent="0.2">
      <c r="L6417" s="12"/>
      <c r="M6417" s="13"/>
    </row>
    <row r="6418" spans="12:13" x14ac:dyDescent="0.2">
      <c r="L6418" s="12"/>
      <c r="M6418" s="13"/>
    </row>
    <row r="6419" spans="12:13" x14ac:dyDescent="0.2">
      <c r="L6419" s="12"/>
      <c r="M6419" s="13"/>
    </row>
    <row r="6420" spans="12:13" x14ac:dyDescent="0.2">
      <c r="L6420" s="12"/>
      <c r="M6420" s="13"/>
    </row>
    <row r="6421" spans="12:13" x14ac:dyDescent="0.2">
      <c r="L6421" s="12"/>
      <c r="M6421" s="13"/>
    </row>
    <row r="6422" spans="12:13" x14ac:dyDescent="0.2">
      <c r="L6422" s="12"/>
      <c r="M6422" s="13"/>
    </row>
    <row r="6423" spans="12:13" x14ac:dyDescent="0.2">
      <c r="L6423" s="12"/>
      <c r="M6423" s="13"/>
    </row>
    <row r="6424" spans="12:13" x14ac:dyDescent="0.2">
      <c r="L6424" s="12"/>
      <c r="M6424" s="13"/>
    </row>
    <row r="6425" spans="12:13" x14ac:dyDescent="0.2">
      <c r="L6425" s="12"/>
      <c r="M6425" s="13"/>
    </row>
    <row r="6426" spans="12:13" x14ac:dyDescent="0.2">
      <c r="L6426" s="12"/>
      <c r="M6426" s="13"/>
    </row>
    <row r="6427" spans="12:13" x14ac:dyDescent="0.2">
      <c r="L6427" s="12"/>
      <c r="M6427" s="13"/>
    </row>
    <row r="6428" spans="12:13" x14ac:dyDescent="0.2">
      <c r="L6428" s="12"/>
      <c r="M6428" s="13"/>
    </row>
    <row r="6429" spans="12:13" x14ac:dyDescent="0.2">
      <c r="L6429" s="12"/>
      <c r="M6429" s="13"/>
    </row>
    <row r="6430" spans="12:13" x14ac:dyDescent="0.2">
      <c r="L6430" s="12"/>
      <c r="M6430" s="13"/>
    </row>
    <row r="6431" spans="12:13" x14ac:dyDescent="0.2">
      <c r="L6431" s="12"/>
      <c r="M6431" s="13"/>
    </row>
    <row r="6432" spans="12:13" x14ac:dyDescent="0.2">
      <c r="L6432" s="12"/>
      <c r="M6432" s="13"/>
    </row>
    <row r="6433" spans="12:13" x14ac:dyDescent="0.2">
      <c r="L6433" s="12"/>
      <c r="M6433" s="13"/>
    </row>
    <row r="6434" spans="12:13" x14ac:dyDescent="0.2">
      <c r="L6434" s="12"/>
      <c r="M6434" s="13"/>
    </row>
    <row r="6435" spans="12:13" x14ac:dyDescent="0.2">
      <c r="L6435" s="12"/>
      <c r="M6435" s="13"/>
    </row>
    <row r="6436" spans="12:13" x14ac:dyDescent="0.2">
      <c r="L6436" s="12"/>
      <c r="M6436" s="13"/>
    </row>
    <row r="6437" spans="12:13" x14ac:dyDescent="0.2">
      <c r="L6437" s="12"/>
      <c r="M6437" s="13"/>
    </row>
    <row r="6438" spans="12:13" x14ac:dyDescent="0.2">
      <c r="L6438" s="12"/>
      <c r="M6438" s="13"/>
    </row>
    <row r="6439" spans="12:13" x14ac:dyDescent="0.2">
      <c r="L6439" s="12"/>
      <c r="M6439" s="13"/>
    </row>
    <row r="6440" spans="12:13" x14ac:dyDescent="0.2">
      <c r="L6440" s="12"/>
      <c r="M6440" s="13"/>
    </row>
    <row r="6441" spans="12:13" x14ac:dyDescent="0.2">
      <c r="L6441" s="12"/>
      <c r="M6441" s="13"/>
    </row>
    <row r="6442" spans="12:13" x14ac:dyDescent="0.2">
      <c r="L6442" s="12"/>
      <c r="M6442" s="13"/>
    </row>
    <row r="6443" spans="12:13" x14ac:dyDescent="0.2">
      <c r="L6443" s="12"/>
      <c r="M6443" s="13"/>
    </row>
    <row r="6444" spans="12:13" x14ac:dyDescent="0.2">
      <c r="L6444" s="12"/>
      <c r="M6444" s="13"/>
    </row>
    <row r="6445" spans="12:13" x14ac:dyDescent="0.2">
      <c r="L6445" s="12"/>
      <c r="M6445" s="13"/>
    </row>
    <row r="6446" spans="12:13" x14ac:dyDescent="0.2">
      <c r="L6446" s="12"/>
      <c r="M6446" s="13"/>
    </row>
    <row r="6447" spans="12:13" x14ac:dyDescent="0.2">
      <c r="L6447" s="12"/>
      <c r="M6447" s="13"/>
    </row>
    <row r="6448" spans="12:13" x14ac:dyDescent="0.2">
      <c r="L6448" s="12"/>
      <c r="M6448" s="13"/>
    </row>
    <row r="6449" spans="12:13" x14ac:dyDescent="0.2">
      <c r="L6449" s="12"/>
      <c r="M6449" s="13"/>
    </row>
    <row r="6450" spans="12:13" x14ac:dyDescent="0.2">
      <c r="L6450" s="12"/>
      <c r="M6450" s="13"/>
    </row>
    <row r="6451" spans="12:13" x14ac:dyDescent="0.2">
      <c r="L6451" s="12"/>
      <c r="M6451" s="13"/>
    </row>
    <row r="6452" spans="12:13" x14ac:dyDescent="0.2">
      <c r="L6452" s="12"/>
      <c r="M6452" s="13"/>
    </row>
    <row r="6453" spans="12:13" x14ac:dyDescent="0.2">
      <c r="L6453" s="12"/>
      <c r="M6453" s="13"/>
    </row>
    <row r="6454" spans="12:13" x14ac:dyDescent="0.2">
      <c r="L6454" s="12"/>
      <c r="M6454" s="13"/>
    </row>
    <row r="6455" spans="12:13" x14ac:dyDescent="0.2">
      <c r="L6455" s="12"/>
      <c r="M6455" s="13"/>
    </row>
    <row r="6456" spans="12:13" x14ac:dyDescent="0.2">
      <c r="L6456" s="12"/>
      <c r="M6456" s="13"/>
    </row>
    <row r="6457" spans="12:13" x14ac:dyDescent="0.2">
      <c r="L6457" s="12"/>
      <c r="M6457" s="13"/>
    </row>
    <row r="6458" spans="12:13" x14ac:dyDescent="0.2">
      <c r="L6458" s="12"/>
      <c r="M6458" s="13"/>
    </row>
    <row r="6459" spans="12:13" x14ac:dyDescent="0.2">
      <c r="L6459" s="12"/>
      <c r="M6459" s="13"/>
    </row>
    <row r="6460" spans="12:13" x14ac:dyDescent="0.2">
      <c r="L6460" s="12"/>
      <c r="M6460" s="13"/>
    </row>
    <row r="6461" spans="12:13" x14ac:dyDescent="0.2">
      <c r="L6461" s="12"/>
      <c r="M6461" s="13"/>
    </row>
    <row r="6462" spans="12:13" x14ac:dyDescent="0.2">
      <c r="L6462" s="12"/>
      <c r="M6462" s="13"/>
    </row>
    <row r="6463" spans="12:13" x14ac:dyDescent="0.2">
      <c r="L6463" s="12"/>
      <c r="M6463" s="13"/>
    </row>
    <row r="6464" spans="12:13" x14ac:dyDescent="0.2">
      <c r="L6464" s="12"/>
      <c r="M6464" s="13"/>
    </row>
    <row r="6465" spans="12:13" x14ac:dyDescent="0.2">
      <c r="L6465" s="12"/>
      <c r="M6465" s="13"/>
    </row>
    <row r="6466" spans="12:13" x14ac:dyDescent="0.2">
      <c r="L6466" s="12"/>
      <c r="M6466" s="13"/>
    </row>
    <row r="6467" spans="12:13" x14ac:dyDescent="0.2">
      <c r="L6467" s="12"/>
      <c r="M6467" s="13"/>
    </row>
    <row r="6468" spans="12:13" x14ac:dyDescent="0.2">
      <c r="L6468" s="12"/>
      <c r="M6468" s="13"/>
    </row>
    <row r="6469" spans="12:13" x14ac:dyDescent="0.2">
      <c r="L6469" s="12"/>
      <c r="M6469" s="13"/>
    </row>
    <row r="6470" spans="12:13" x14ac:dyDescent="0.2">
      <c r="L6470" s="12"/>
      <c r="M6470" s="13"/>
    </row>
    <row r="6471" spans="12:13" x14ac:dyDescent="0.2">
      <c r="L6471" s="12"/>
      <c r="M6471" s="13"/>
    </row>
    <row r="6472" spans="12:13" x14ac:dyDescent="0.2">
      <c r="L6472" s="12"/>
      <c r="M6472" s="13"/>
    </row>
    <row r="6473" spans="12:13" x14ac:dyDescent="0.2">
      <c r="L6473" s="12"/>
      <c r="M6473" s="13"/>
    </row>
    <row r="6474" spans="12:13" x14ac:dyDescent="0.2">
      <c r="L6474" s="12"/>
      <c r="M6474" s="13"/>
    </row>
    <row r="6475" spans="12:13" x14ac:dyDescent="0.2">
      <c r="L6475" s="12"/>
      <c r="M6475" s="13"/>
    </row>
    <row r="6476" spans="12:13" x14ac:dyDescent="0.2">
      <c r="L6476" s="12"/>
      <c r="M6476" s="13"/>
    </row>
    <row r="6477" spans="12:13" x14ac:dyDescent="0.2">
      <c r="L6477" s="12"/>
      <c r="M6477" s="13"/>
    </row>
    <row r="6478" spans="12:13" x14ac:dyDescent="0.2">
      <c r="L6478" s="12"/>
      <c r="M6478" s="13"/>
    </row>
    <row r="6479" spans="12:13" x14ac:dyDescent="0.2">
      <c r="L6479" s="12"/>
      <c r="M6479" s="13"/>
    </row>
    <row r="6480" spans="12:13" x14ac:dyDescent="0.2">
      <c r="L6480" s="12"/>
      <c r="M6480" s="13"/>
    </row>
    <row r="6481" spans="12:13" x14ac:dyDescent="0.2">
      <c r="L6481" s="12"/>
      <c r="M6481" s="13"/>
    </row>
    <row r="6482" spans="12:13" x14ac:dyDescent="0.2">
      <c r="L6482" s="12"/>
      <c r="M6482" s="13"/>
    </row>
    <row r="6483" spans="12:13" x14ac:dyDescent="0.2">
      <c r="L6483" s="12"/>
      <c r="M6483" s="13"/>
    </row>
    <row r="6484" spans="12:13" x14ac:dyDescent="0.2">
      <c r="L6484" s="12"/>
      <c r="M6484" s="13"/>
    </row>
    <row r="6485" spans="12:13" x14ac:dyDescent="0.2">
      <c r="L6485" s="12"/>
      <c r="M6485" s="13"/>
    </row>
    <row r="6486" spans="12:13" x14ac:dyDescent="0.2">
      <c r="L6486" s="12"/>
      <c r="M6486" s="13"/>
    </row>
    <row r="6487" spans="12:13" x14ac:dyDescent="0.2">
      <c r="L6487" s="12"/>
      <c r="M6487" s="13"/>
    </row>
    <row r="6488" spans="12:13" x14ac:dyDescent="0.2">
      <c r="L6488" s="12"/>
      <c r="M6488" s="13"/>
    </row>
    <row r="6489" spans="12:13" x14ac:dyDescent="0.2">
      <c r="L6489" s="12"/>
      <c r="M6489" s="13"/>
    </row>
    <row r="6490" spans="12:13" x14ac:dyDescent="0.2">
      <c r="L6490" s="12"/>
      <c r="M6490" s="13"/>
    </row>
    <row r="6491" spans="12:13" x14ac:dyDescent="0.2">
      <c r="L6491" s="12"/>
      <c r="M6491" s="13"/>
    </row>
    <row r="6492" spans="12:13" x14ac:dyDescent="0.2">
      <c r="L6492" s="12"/>
      <c r="M6492" s="13"/>
    </row>
    <row r="6493" spans="12:13" x14ac:dyDescent="0.2">
      <c r="L6493" s="12"/>
      <c r="M6493" s="13"/>
    </row>
    <row r="6494" spans="12:13" x14ac:dyDescent="0.2">
      <c r="L6494" s="12"/>
      <c r="M6494" s="13"/>
    </row>
    <row r="6495" spans="12:13" x14ac:dyDescent="0.2">
      <c r="L6495" s="12"/>
      <c r="M6495" s="13"/>
    </row>
    <row r="6496" spans="12:13" x14ac:dyDescent="0.2">
      <c r="L6496" s="12"/>
      <c r="M6496" s="13"/>
    </row>
    <row r="6497" spans="12:13" x14ac:dyDescent="0.2">
      <c r="L6497" s="12"/>
      <c r="M6497" s="13"/>
    </row>
    <row r="6498" spans="12:13" x14ac:dyDescent="0.2">
      <c r="L6498" s="12"/>
      <c r="M6498" s="13"/>
    </row>
    <row r="6499" spans="12:13" x14ac:dyDescent="0.2">
      <c r="L6499" s="12"/>
      <c r="M6499" s="13"/>
    </row>
    <row r="6500" spans="12:13" x14ac:dyDescent="0.2">
      <c r="L6500" s="12"/>
      <c r="M6500" s="13"/>
    </row>
    <row r="6501" spans="12:13" x14ac:dyDescent="0.2">
      <c r="L6501" s="12"/>
      <c r="M6501" s="13"/>
    </row>
    <row r="6502" spans="12:13" x14ac:dyDescent="0.2">
      <c r="L6502" s="12"/>
      <c r="M6502" s="13"/>
    </row>
    <row r="6503" spans="12:13" x14ac:dyDescent="0.2">
      <c r="L6503" s="12"/>
      <c r="M6503" s="13"/>
    </row>
    <row r="6504" spans="12:13" x14ac:dyDescent="0.2">
      <c r="L6504" s="12"/>
      <c r="M6504" s="13"/>
    </row>
    <row r="6505" spans="12:13" x14ac:dyDescent="0.2">
      <c r="L6505" s="12"/>
      <c r="M6505" s="13"/>
    </row>
    <row r="6506" spans="12:13" x14ac:dyDescent="0.2">
      <c r="L6506" s="12"/>
      <c r="M6506" s="13"/>
    </row>
    <row r="6507" spans="12:13" x14ac:dyDescent="0.2">
      <c r="L6507" s="12"/>
      <c r="M6507" s="13"/>
    </row>
    <row r="6508" spans="12:13" x14ac:dyDescent="0.2">
      <c r="L6508" s="12"/>
      <c r="M6508" s="13"/>
    </row>
    <row r="6509" spans="12:13" x14ac:dyDescent="0.2">
      <c r="L6509" s="12"/>
      <c r="M6509" s="13"/>
    </row>
    <row r="6510" spans="12:13" x14ac:dyDescent="0.2">
      <c r="L6510" s="12"/>
      <c r="M6510" s="13"/>
    </row>
    <row r="6511" spans="12:13" x14ac:dyDescent="0.2">
      <c r="L6511" s="12"/>
      <c r="M6511" s="13"/>
    </row>
    <row r="6512" spans="12:13" x14ac:dyDescent="0.2">
      <c r="L6512" s="12"/>
      <c r="M6512" s="13"/>
    </row>
    <row r="6513" spans="12:13" x14ac:dyDescent="0.2">
      <c r="L6513" s="12"/>
      <c r="M6513" s="13"/>
    </row>
    <row r="6514" spans="12:13" x14ac:dyDescent="0.2">
      <c r="L6514" s="12"/>
      <c r="M6514" s="13"/>
    </row>
    <row r="6515" spans="12:13" x14ac:dyDescent="0.2">
      <c r="L6515" s="12"/>
      <c r="M6515" s="13"/>
    </row>
    <row r="6516" spans="12:13" x14ac:dyDescent="0.2">
      <c r="L6516" s="12"/>
      <c r="M6516" s="13"/>
    </row>
    <row r="6517" spans="12:13" x14ac:dyDescent="0.2">
      <c r="L6517" s="12"/>
      <c r="M6517" s="13"/>
    </row>
    <row r="6518" spans="12:13" x14ac:dyDescent="0.2">
      <c r="L6518" s="12"/>
      <c r="M6518" s="13"/>
    </row>
    <row r="6519" spans="12:13" x14ac:dyDescent="0.2">
      <c r="L6519" s="12"/>
      <c r="M6519" s="13"/>
    </row>
    <row r="6520" spans="12:13" x14ac:dyDescent="0.2">
      <c r="L6520" s="12"/>
      <c r="M6520" s="13"/>
    </row>
    <row r="6521" spans="12:13" x14ac:dyDescent="0.2">
      <c r="L6521" s="12"/>
      <c r="M6521" s="13"/>
    </row>
    <row r="6522" spans="12:13" x14ac:dyDescent="0.2">
      <c r="L6522" s="12"/>
      <c r="M6522" s="13"/>
    </row>
    <row r="6523" spans="12:13" x14ac:dyDescent="0.2">
      <c r="L6523" s="12"/>
      <c r="M6523" s="13"/>
    </row>
    <row r="6524" spans="12:13" x14ac:dyDescent="0.2">
      <c r="L6524" s="12"/>
      <c r="M6524" s="13"/>
    </row>
    <row r="6525" spans="12:13" x14ac:dyDescent="0.2">
      <c r="L6525" s="12"/>
      <c r="M6525" s="13"/>
    </row>
    <row r="6526" spans="12:13" x14ac:dyDescent="0.2">
      <c r="L6526" s="12"/>
      <c r="M6526" s="13"/>
    </row>
    <row r="6527" spans="12:13" x14ac:dyDescent="0.2">
      <c r="L6527" s="12"/>
      <c r="M6527" s="13"/>
    </row>
    <row r="6528" spans="12:13" x14ac:dyDescent="0.2">
      <c r="L6528" s="12"/>
      <c r="M6528" s="13"/>
    </row>
    <row r="6529" spans="12:13" x14ac:dyDescent="0.2">
      <c r="L6529" s="12"/>
      <c r="M6529" s="13"/>
    </row>
    <row r="6530" spans="12:13" x14ac:dyDescent="0.2">
      <c r="L6530" s="12"/>
      <c r="M6530" s="13"/>
    </row>
    <row r="6531" spans="12:13" x14ac:dyDescent="0.2">
      <c r="L6531" s="12"/>
      <c r="M6531" s="13"/>
    </row>
    <row r="6532" spans="12:13" x14ac:dyDescent="0.2">
      <c r="L6532" s="12"/>
      <c r="M6532" s="13"/>
    </row>
    <row r="6533" spans="12:13" x14ac:dyDescent="0.2">
      <c r="L6533" s="12"/>
      <c r="M6533" s="13"/>
    </row>
    <row r="6534" spans="12:13" x14ac:dyDescent="0.2">
      <c r="L6534" s="12"/>
      <c r="M6534" s="13"/>
    </row>
    <row r="6535" spans="12:13" x14ac:dyDescent="0.2">
      <c r="L6535" s="12"/>
      <c r="M6535" s="13"/>
    </row>
    <row r="6536" spans="12:13" x14ac:dyDescent="0.2">
      <c r="L6536" s="12"/>
      <c r="M6536" s="13"/>
    </row>
    <row r="6537" spans="12:13" x14ac:dyDescent="0.2">
      <c r="L6537" s="12"/>
      <c r="M6537" s="13"/>
    </row>
    <row r="6538" spans="12:13" x14ac:dyDescent="0.2">
      <c r="L6538" s="12"/>
      <c r="M6538" s="13"/>
    </row>
    <row r="6539" spans="12:13" x14ac:dyDescent="0.2">
      <c r="L6539" s="12"/>
      <c r="M6539" s="13"/>
    </row>
    <row r="6540" spans="12:13" x14ac:dyDescent="0.2">
      <c r="L6540" s="12"/>
      <c r="M6540" s="13"/>
    </row>
    <row r="6541" spans="12:13" x14ac:dyDescent="0.2">
      <c r="L6541" s="12"/>
      <c r="M6541" s="13"/>
    </row>
    <row r="6542" spans="12:13" x14ac:dyDescent="0.2">
      <c r="L6542" s="12"/>
      <c r="M6542" s="13"/>
    </row>
    <row r="6543" spans="12:13" x14ac:dyDescent="0.2">
      <c r="L6543" s="12"/>
      <c r="M6543" s="13"/>
    </row>
    <row r="6544" spans="12:13" x14ac:dyDescent="0.2">
      <c r="L6544" s="12"/>
      <c r="M6544" s="13"/>
    </row>
    <row r="6545" spans="12:13" x14ac:dyDescent="0.2">
      <c r="L6545" s="12"/>
      <c r="M6545" s="13"/>
    </row>
    <row r="6546" spans="12:13" x14ac:dyDescent="0.2">
      <c r="L6546" s="12"/>
      <c r="M6546" s="13"/>
    </row>
    <row r="6547" spans="12:13" x14ac:dyDescent="0.2">
      <c r="L6547" s="12"/>
      <c r="M6547" s="13"/>
    </row>
    <row r="6548" spans="12:13" x14ac:dyDescent="0.2">
      <c r="L6548" s="12"/>
      <c r="M6548" s="13"/>
    </row>
    <row r="6549" spans="12:13" x14ac:dyDescent="0.2">
      <c r="L6549" s="12"/>
      <c r="M6549" s="13"/>
    </row>
    <row r="6550" spans="12:13" x14ac:dyDescent="0.2">
      <c r="L6550" s="12"/>
      <c r="M6550" s="13"/>
    </row>
    <row r="6551" spans="12:13" x14ac:dyDescent="0.2">
      <c r="L6551" s="12"/>
      <c r="M6551" s="13"/>
    </row>
    <row r="6552" spans="12:13" x14ac:dyDescent="0.2">
      <c r="L6552" s="12"/>
      <c r="M6552" s="13"/>
    </row>
    <row r="6553" spans="12:13" x14ac:dyDescent="0.2">
      <c r="L6553" s="12"/>
      <c r="M6553" s="13"/>
    </row>
    <row r="6554" spans="12:13" x14ac:dyDescent="0.2">
      <c r="L6554" s="12"/>
      <c r="M6554" s="13"/>
    </row>
    <row r="6555" spans="12:13" x14ac:dyDescent="0.2">
      <c r="L6555" s="12"/>
      <c r="M6555" s="13"/>
    </row>
    <row r="6556" spans="12:13" x14ac:dyDescent="0.2">
      <c r="L6556" s="12"/>
      <c r="M6556" s="13"/>
    </row>
    <row r="6557" spans="12:13" x14ac:dyDescent="0.2">
      <c r="L6557" s="12"/>
      <c r="M6557" s="13"/>
    </row>
    <row r="6558" spans="12:13" x14ac:dyDescent="0.2">
      <c r="L6558" s="12"/>
      <c r="M6558" s="13"/>
    </row>
    <row r="6559" spans="12:13" x14ac:dyDescent="0.2">
      <c r="L6559" s="12"/>
      <c r="M6559" s="13"/>
    </row>
    <row r="6560" spans="12:13" x14ac:dyDescent="0.2">
      <c r="L6560" s="12"/>
      <c r="M6560" s="13"/>
    </row>
    <row r="6561" spans="12:13" x14ac:dyDescent="0.2">
      <c r="L6561" s="12"/>
      <c r="M6561" s="13"/>
    </row>
    <row r="6562" spans="12:13" x14ac:dyDescent="0.2">
      <c r="L6562" s="12"/>
      <c r="M6562" s="13"/>
    </row>
    <row r="6563" spans="12:13" x14ac:dyDescent="0.2">
      <c r="L6563" s="12"/>
      <c r="M6563" s="13"/>
    </row>
    <row r="6564" spans="12:13" x14ac:dyDescent="0.2">
      <c r="L6564" s="12"/>
      <c r="M6564" s="13"/>
    </row>
    <row r="6565" spans="12:13" x14ac:dyDescent="0.2">
      <c r="L6565" s="12"/>
      <c r="M6565" s="13"/>
    </row>
    <row r="6566" spans="12:13" x14ac:dyDescent="0.2">
      <c r="L6566" s="12"/>
      <c r="M6566" s="13"/>
    </row>
    <row r="6567" spans="12:13" x14ac:dyDescent="0.2">
      <c r="L6567" s="12"/>
      <c r="M6567" s="13"/>
    </row>
    <row r="6568" spans="12:13" x14ac:dyDescent="0.2">
      <c r="L6568" s="12"/>
      <c r="M6568" s="13"/>
    </row>
    <row r="6569" spans="12:13" x14ac:dyDescent="0.2">
      <c r="L6569" s="12"/>
      <c r="M6569" s="13"/>
    </row>
    <row r="6570" spans="12:13" x14ac:dyDescent="0.2">
      <c r="L6570" s="12"/>
      <c r="M6570" s="13"/>
    </row>
    <row r="6571" spans="12:13" x14ac:dyDescent="0.2">
      <c r="L6571" s="12"/>
      <c r="M6571" s="13"/>
    </row>
    <row r="6572" spans="12:13" x14ac:dyDescent="0.2">
      <c r="L6572" s="12"/>
      <c r="M6572" s="13"/>
    </row>
    <row r="6573" spans="12:13" x14ac:dyDescent="0.2">
      <c r="L6573" s="12"/>
      <c r="M6573" s="13"/>
    </row>
    <row r="6574" spans="12:13" x14ac:dyDescent="0.2">
      <c r="L6574" s="12"/>
      <c r="M6574" s="13"/>
    </row>
    <row r="6575" spans="12:13" x14ac:dyDescent="0.2">
      <c r="L6575" s="12"/>
      <c r="M6575" s="13"/>
    </row>
    <row r="6576" spans="12:13" x14ac:dyDescent="0.2">
      <c r="L6576" s="12"/>
      <c r="M6576" s="13"/>
    </row>
    <row r="6577" spans="12:13" x14ac:dyDescent="0.2">
      <c r="L6577" s="12"/>
      <c r="M6577" s="13"/>
    </row>
    <row r="6578" spans="12:13" x14ac:dyDescent="0.2">
      <c r="L6578" s="12"/>
      <c r="M6578" s="13"/>
    </row>
    <row r="6579" spans="12:13" x14ac:dyDescent="0.2">
      <c r="L6579" s="12"/>
      <c r="M6579" s="13"/>
    </row>
    <row r="6580" spans="12:13" x14ac:dyDescent="0.2">
      <c r="L6580" s="12"/>
      <c r="M6580" s="13"/>
    </row>
    <row r="6581" spans="12:13" x14ac:dyDescent="0.2">
      <c r="L6581" s="12"/>
      <c r="M6581" s="13"/>
    </row>
    <row r="6582" spans="12:13" x14ac:dyDescent="0.2">
      <c r="L6582" s="12"/>
      <c r="M6582" s="13"/>
    </row>
    <row r="6583" spans="12:13" x14ac:dyDescent="0.2">
      <c r="L6583" s="12"/>
      <c r="M6583" s="13"/>
    </row>
    <row r="6584" spans="12:13" x14ac:dyDescent="0.2">
      <c r="L6584" s="12"/>
      <c r="M6584" s="13"/>
    </row>
    <row r="6585" spans="12:13" x14ac:dyDescent="0.2">
      <c r="L6585" s="12"/>
      <c r="M6585" s="13"/>
    </row>
    <row r="6586" spans="12:13" x14ac:dyDescent="0.2">
      <c r="L6586" s="12"/>
      <c r="M6586" s="13"/>
    </row>
    <row r="6587" spans="12:13" x14ac:dyDescent="0.2">
      <c r="L6587" s="12"/>
      <c r="M6587" s="13"/>
    </row>
    <row r="6588" spans="12:13" x14ac:dyDescent="0.2">
      <c r="L6588" s="12"/>
      <c r="M6588" s="13"/>
    </row>
    <row r="6589" spans="12:13" x14ac:dyDescent="0.2">
      <c r="L6589" s="12"/>
      <c r="M6589" s="13"/>
    </row>
    <row r="6590" spans="12:13" x14ac:dyDescent="0.2">
      <c r="L6590" s="12"/>
      <c r="M6590" s="13"/>
    </row>
    <row r="6591" spans="12:13" x14ac:dyDescent="0.2">
      <c r="L6591" s="12"/>
      <c r="M6591" s="13"/>
    </row>
    <row r="6592" spans="12:13" x14ac:dyDescent="0.2">
      <c r="L6592" s="12"/>
      <c r="M6592" s="13"/>
    </row>
    <row r="6593" spans="12:13" x14ac:dyDescent="0.2">
      <c r="L6593" s="12"/>
      <c r="M6593" s="13"/>
    </row>
    <row r="6594" spans="12:13" x14ac:dyDescent="0.2">
      <c r="L6594" s="12"/>
      <c r="M6594" s="13"/>
    </row>
    <row r="6595" spans="12:13" x14ac:dyDescent="0.2">
      <c r="L6595" s="12"/>
      <c r="M6595" s="13"/>
    </row>
    <row r="6596" spans="12:13" x14ac:dyDescent="0.2">
      <c r="L6596" s="12"/>
      <c r="M6596" s="13"/>
    </row>
    <row r="6597" spans="12:13" x14ac:dyDescent="0.2">
      <c r="L6597" s="12"/>
      <c r="M6597" s="13"/>
    </row>
    <row r="6598" spans="12:13" x14ac:dyDescent="0.2">
      <c r="L6598" s="12"/>
      <c r="M6598" s="13"/>
    </row>
    <row r="6599" spans="12:13" x14ac:dyDescent="0.2">
      <c r="L6599" s="12"/>
      <c r="M6599" s="13"/>
    </row>
    <row r="6600" spans="12:13" x14ac:dyDescent="0.2">
      <c r="L6600" s="12"/>
      <c r="M6600" s="13"/>
    </row>
    <row r="6601" spans="12:13" x14ac:dyDescent="0.2">
      <c r="L6601" s="12"/>
      <c r="M6601" s="13"/>
    </row>
    <row r="6602" spans="12:13" x14ac:dyDescent="0.2">
      <c r="L6602" s="12"/>
      <c r="M6602" s="13"/>
    </row>
    <row r="6603" spans="12:13" x14ac:dyDescent="0.2">
      <c r="L6603" s="12"/>
      <c r="M6603" s="13"/>
    </row>
    <row r="6604" spans="12:13" x14ac:dyDescent="0.2">
      <c r="L6604" s="12"/>
      <c r="M6604" s="13"/>
    </row>
    <row r="6605" spans="12:13" x14ac:dyDescent="0.2">
      <c r="L6605" s="12"/>
      <c r="M6605" s="13"/>
    </row>
    <row r="6606" spans="12:13" x14ac:dyDescent="0.2">
      <c r="L6606" s="12"/>
      <c r="M6606" s="13"/>
    </row>
    <row r="6607" spans="12:13" x14ac:dyDescent="0.2">
      <c r="L6607" s="12"/>
      <c r="M6607" s="13"/>
    </row>
    <row r="6608" spans="12:13" x14ac:dyDescent="0.2">
      <c r="L6608" s="12"/>
      <c r="M6608" s="13"/>
    </row>
    <row r="6609" spans="12:13" x14ac:dyDescent="0.2">
      <c r="L6609" s="12"/>
      <c r="M6609" s="13"/>
    </row>
    <row r="6610" spans="12:13" x14ac:dyDescent="0.2">
      <c r="L6610" s="12"/>
      <c r="M6610" s="13"/>
    </row>
    <row r="6611" spans="12:13" x14ac:dyDescent="0.2">
      <c r="L6611" s="12"/>
      <c r="M6611" s="13"/>
    </row>
    <row r="6612" spans="12:13" x14ac:dyDescent="0.2">
      <c r="L6612" s="12"/>
      <c r="M6612" s="13"/>
    </row>
    <row r="6613" spans="12:13" x14ac:dyDescent="0.2">
      <c r="L6613" s="12"/>
      <c r="M6613" s="13"/>
    </row>
    <row r="6614" spans="12:13" x14ac:dyDescent="0.2">
      <c r="L6614" s="12"/>
      <c r="M6614" s="13"/>
    </row>
    <row r="6615" spans="12:13" x14ac:dyDescent="0.2">
      <c r="L6615" s="12"/>
      <c r="M6615" s="13"/>
    </row>
    <row r="6616" spans="12:13" x14ac:dyDescent="0.2">
      <c r="L6616" s="12"/>
      <c r="M6616" s="13"/>
    </row>
    <row r="6617" spans="12:13" x14ac:dyDescent="0.2">
      <c r="L6617" s="12"/>
      <c r="M6617" s="13"/>
    </row>
    <row r="6618" spans="12:13" x14ac:dyDescent="0.2">
      <c r="L6618" s="12"/>
      <c r="M6618" s="13"/>
    </row>
    <row r="6619" spans="12:13" x14ac:dyDescent="0.2">
      <c r="L6619" s="12"/>
      <c r="M6619" s="13"/>
    </row>
    <row r="6620" spans="12:13" x14ac:dyDescent="0.2">
      <c r="L6620" s="12"/>
      <c r="M6620" s="13"/>
    </row>
    <row r="6621" spans="12:13" x14ac:dyDescent="0.2">
      <c r="L6621" s="12"/>
      <c r="M6621" s="13"/>
    </row>
    <row r="6622" spans="12:13" x14ac:dyDescent="0.2">
      <c r="L6622" s="12"/>
      <c r="M6622" s="13"/>
    </row>
    <row r="6623" spans="12:13" x14ac:dyDescent="0.2">
      <c r="L6623" s="12"/>
      <c r="M6623" s="13"/>
    </row>
    <row r="6624" spans="12:13" x14ac:dyDescent="0.2">
      <c r="L6624" s="12"/>
      <c r="M6624" s="13"/>
    </row>
    <row r="6625" spans="12:13" x14ac:dyDescent="0.2">
      <c r="L6625" s="12"/>
      <c r="M6625" s="13"/>
    </row>
    <row r="6626" spans="12:13" x14ac:dyDescent="0.2">
      <c r="L6626" s="12"/>
      <c r="M6626" s="13"/>
    </row>
    <row r="6627" spans="12:13" x14ac:dyDescent="0.2">
      <c r="L6627" s="12"/>
      <c r="M6627" s="13"/>
    </row>
    <row r="6628" spans="12:13" x14ac:dyDescent="0.2">
      <c r="L6628" s="12"/>
      <c r="M6628" s="13"/>
    </row>
    <row r="6629" spans="12:13" x14ac:dyDescent="0.2">
      <c r="L6629" s="12"/>
      <c r="M6629" s="13"/>
    </row>
    <row r="6630" spans="12:13" x14ac:dyDescent="0.2">
      <c r="L6630" s="12"/>
      <c r="M6630" s="13"/>
    </row>
    <row r="6631" spans="12:13" x14ac:dyDescent="0.2">
      <c r="L6631" s="12"/>
      <c r="M6631" s="13"/>
    </row>
    <row r="6632" spans="12:13" x14ac:dyDescent="0.2">
      <c r="L6632" s="12"/>
      <c r="M6632" s="13"/>
    </row>
    <row r="6633" spans="12:13" x14ac:dyDescent="0.2">
      <c r="L6633" s="12"/>
      <c r="M6633" s="13"/>
    </row>
    <row r="6634" spans="12:13" x14ac:dyDescent="0.2">
      <c r="L6634" s="12"/>
      <c r="M6634" s="13"/>
    </row>
    <row r="6635" spans="12:13" x14ac:dyDescent="0.2">
      <c r="L6635" s="12"/>
      <c r="M6635" s="13"/>
    </row>
    <row r="6636" spans="12:13" x14ac:dyDescent="0.2">
      <c r="L6636" s="12"/>
      <c r="M6636" s="13"/>
    </row>
    <row r="6637" spans="12:13" x14ac:dyDescent="0.2">
      <c r="L6637" s="12"/>
      <c r="M6637" s="13"/>
    </row>
    <row r="6638" spans="12:13" x14ac:dyDescent="0.2">
      <c r="L6638" s="12"/>
      <c r="M6638" s="13"/>
    </row>
    <row r="6639" spans="12:13" x14ac:dyDescent="0.2">
      <c r="L6639" s="12"/>
      <c r="M6639" s="13"/>
    </row>
    <row r="6640" spans="12:13" x14ac:dyDescent="0.2">
      <c r="L6640" s="12"/>
      <c r="M6640" s="13"/>
    </row>
    <row r="6641" spans="12:13" x14ac:dyDescent="0.2">
      <c r="L6641" s="12"/>
      <c r="M6641" s="13"/>
    </row>
    <row r="6642" spans="12:13" x14ac:dyDescent="0.2">
      <c r="L6642" s="12"/>
      <c r="M6642" s="13"/>
    </row>
    <row r="6643" spans="12:13" x14ac:dyDescent="0.2">
      <c r="L6643" s="12"/>
      <c r="M6643" s="13"/>
    </row>
    <row r="6644" spans="12:13" x14ac:dyDescent="0.2">
      <c r="L6644" s="12"/>
      <c r="M6644" s="13"/>
    </row>
    <row r="6645" spans="12:13" x14ac:dyDescent="0.2">
      <c r="L6645" s="12"/>
      <c r="M6645" s="13"/>
    </row>
    <row r="6646" spans="12:13" x14ac:dyDescent="0.2">
      <c r="L6646" s="12"/>
      <c r="M6646" s="13"/>
    </row>
    <row r="6647" spans="12:13" x14ac:dyDescent="0.2">
      <c r="L6647" s="12"/>
      <c r="M6647" s="13"/>
    </row>
    <row r="6648" spans="12:13" x14ac:dyDescent="0.2">
      <c r="L6648" s="12"/>
      <c r="M6648" s="13"/>
    </row>
    <row r="6649" spans="12:13" x14ac:dyDescent="0.2">
      <c r="L6649" s="12"/>
      <c r="M6649" s="13"/>
    </row>
    <row r="6650" spans="12:13" x14ac:dyDescent="0.2">
      <c r="L6650" s="12"/>
      <c r="M6650" s="13"/>
    </row>
    <row r="6651" spans="12:13" x14ac:dyDescent="0.2">
      <c r="L6651" s="12"/>
      <c r="M6651" s="13"/>
    </row>
    <row r="6652" spans="12:13" x14ac:dyDescent="0.2">
      <c r="L6652" s="12"/>
      <c r="M6652" s="13"/>
    </row>
    <row r="6653" spans="12:13" x14ac:dyDescent="0.2">
      <c r="L6653" s="12"/>
      <c r="M6653" s="13"/>
    </row>
    <row r="6654" spans="12:13" x14ac:dyDescent="0.2">
      <c r="L6654" s="12"/>
      <c r="M6654" s="13"/>
    </row>
    <row r="6655" spans="12:13" x14ac:dyDescent="0.2">
      <c r="L6655" s="12"/>
      <c r="M6655" s="13"/>
    </row>
    <row r="6656" spans="12:13" x14ac:dyDescent="0.2">
      <c r="L6656" s="12"/>
      <c r="M6656" s="13"/>
    </row>
    <row r="6657" spans="12:13" x14ac:dyDescent="0.2">
      <c r="L6657" s="12"/>
      <c r="M6657" s="13"/>
    </row>
    <row r="6658" spans="12:13" x14ac:dyDescent="0.2">
      <c r="L6658" s="17"/>
      <c r="M6658" s="18"/>
    </row>
    <row r="6659" spans="12:13" x14ac:dyDescent="0.2">
      <c r="L6659" s="12"/>
      <c r="M6659" s="13"/>
    </row>
    <row r="6660" spans="12:13" x14ac:dyDescent="0.2">
      <c r="L6660" s="12"/>
      <c r="M6660" s="13"/>
    </row>
    <row r="6661" spans="12:13" x14ac:dyDescent="0.2">
      <c r="L6661" s="12"/>
      <c r="M6661" s="13"/>
    </row>
    <row r="6662" spans="12:13" x14ac:dyDescent="0.2">
      <c r="L6662" s="12"/>
      <c r="M6662" s="13"/>
    </row>
    <row r="6663" spans="12:13" x14ac:dyDescent="0.2">
      <c r="L6663" s="12"/>
      <c r="M6663" s="13"/>
    </row>
    <row r="6664" spans="12:13" x14ac:dyDescent="0.2">
      <c r="L6664" s="12"/>
      <c r="M6664" s="13"/>
    </row>
    <row r="6665" spans="12:13" x14ac:dyDescent="0.2">
      <c r="L6665" s="12"/>
      <c r="M6665" s="13"/>
    </row>
    <row r="6666" spans="12:13" x14ac:dyDescent="0.2">
      <c r="L6666" s="12"/>
      <c r="M6666" s="13"/>
    </row>
    <row r="6667" spans="12:13" x14ac:dyDescent="0.2">
      <c r="L6667" s="12"/>
      <c r="M6667" s="13"/>
    </row>
    <row r="6668" spans="12:13" x14ac:dyDescent="0.2">
      <c r="L6668" s="12"/>
      <c r="M6668" s="13"/>
    </row>
    <row r="6669" spans="12:13" x14ac:dyDescent="0.2">
      <c r="L6669" s="12"/>
      <c r="M6669" s="13"/>
    </row>
    <row r="6670" spans="12:13" x14ac:dyDescent="0.2">
      <c r="L6670" s="12"/>
      <c r="M6670" s="13"/>
    </row>
    <row r="6671" spans="12:13" x14ac:dyDescent="0.2">
      <c r="L6671" s="12"/>
      <c r="M6671" s="13"/>
    </row>
    <row r="6672" spans="12:13" x14ac:dyDescent="0.2">
      <c r="L6672" s="12"/>
      <c r="M6672" s="13"/>
    </row>
    <row r="6673" spans="12:13" x14ac:dyDescent="0.2">
      <c r="L6673" s="12"/>
      <c r="M6673" s="13"/>
    </row>
    <row r="6674" spans="12:13" x14ac:dyDescent="0.2">
      <c r="L6674" s="12"/>
      <c r="M6674" s="13"/>
    </row>
    <row r="6675" spans="12:13" x14ac:dyDescent="0.2">
      <c r="L6675" s="12"/>
      <c r="M6675" s="13"/>
    </row>
    <row r="6676" spans="12:13" x14ac:dyDescent="0.2">
      <c r="L6676" s="12"/>
      <c r="M6676" s="13"/>
    </row>
    <row r="6677" spans="12:13" x14ac:dyDescent="0.2">
      <c r="L6677" s="12"/>
      <c r="M6677" s="13"/>
    </row>
    <row r="6678" spans="12:13" x14ac:dyDescent="0.2">
      <c r="L6678" s="12"/>
      <c r="M6678" s="13"/>
    </row>
    <row r="6679" spans="12:13" x14ac:dyDescent="0.2">
      <c r="L6679" s="12"/>
      <c r="M6679" s="13"/>
    </row>
    <row r="6680" spans="12:13" x14ac:dyDescent="0.2">
      <c r="L6680" s="12"/>
      <c r="M6680" s="13"/>
    </row>
    <row r="6681" spans="12:13" x14ac:dyDescent="0.2">
      <c r="L6681" s="12"/>
      <c r="M6681" s="13"/>
    </row>
    <row r="6682" spans="12:13" x14ac:dyDescent="0.2">
      <c r="L6682" s="12"/>
      <c r="M6682" s="13"/>
    </row>
    <row r="6683" spans="12:13" x14ac:dyDescent="0.2">
      <c r="L6683" s="12"/>
      <c r="M6683" s="13"/>
    </row>
    <row r="6684" spans="12:13" x14ac:dyDescent="0.2">
      <c r="L6684" s="12"/>
      <c r="M6684" s="13"/>
    </row>
    <row r="6685" spans="12:13" x14ac:dyDescent="0.2">
      <c r="L6685" s="12"/>
      <c r="M6685" s="13"/>
    </row>
    <row r="6686" spans="12:13" x14ac:dyDescent="0.2">
      <c r="L6686" s="12"/>
      <c r="M6686" s="13"/>
    </row>
    <row r="6687" spans="12:13" x14ac:dyDescent="0.2">
      <c r="L6687" s="12"/>
      <c r="M6687" s="13"/>
    </row>
    <row r="6688" spans="12:13" x14ac:dyDescent="0.2">
      <c r="L6688" s="12"/>
      <c r="M6688" s="13"/>
    </row>
    <row r="6689" spans="12:13" x14ac:dyDescent="0.2">
      <c r="L6689" s="12"/>
      <c r="M6689" s="13"/>
    </row>
    <row r="6690" spans="12:13" x14ac:dyDescent="0.2">
      <c r="L6690" s="12"/>
      <c r="M6690" s="13"/>
    </row>
    <row r="6691" spans="12:13" x14ac:dyDescent="0.2">
      <c r="L6691" s="12"/>
      <c r="M6691" s="13"/>
    </row>
    <row r="6692" spans="12:13" x14ac:dyDescent="0.2">
      <c r="L6692" s="12"/>
      <c r="M6692" s="13"/>
    </row>
    <row r="6693" spans="12:13" x14ac:dyDescent="0.2">
      <c r="L6693" s="12"/>
      <c r="M6693" s="13"/>
    </row>
    <row r="6694" spans="12:13" x14ac:dyDescent="0.2">
      <c r="L6694" s="12"/>
      <c r="M6694" s="13"/>
    </row>
    <row r="6695" spans="12:13" x14ac:dyDescent="0.2">
      <c r="L6695" s="12"/>
      <c r="M6695" s="13"/>
    </row>
    <row r="6696" spans="12:13" x14ac:dyDescent="0.2">
      <c r="L6696" s="12"/>
      <c r="M6696" s="13"/>
    </row>
    <row r="6697" spans="12:13" x14ac:dyDescent="0.2">
      <c r="L6697" s="12"/>
      <c r="M6697" s="13"/>
    </row>
    <row r="6698" spans="12:13" x14ac:dyDescent="0.2">
      <c r="L6698" s="12"/>
      <c r="M6698" s="13"/>
    </row>
    <row r="6699" spans="12:13" x14ac:dyDescent="0.2">
      <c r="L6699" s="12"/>
      <c r="M6699" s="13"/>
    </row>
    <row r="6700" spans="12:13" x14ac:dyDescent="0.2">
      <c r="L6700" s="12"/>
      <c r="M6700" s="13"/>
    </row>
    <row r="6701" spans="12:13" x14ac:dyDescent="0.2">
      <c r="L6701" s="12"/>
      <c r="M6701" s="13"/>
    </row>
    <row r="6702" spans="12:13" x14ac:dyDescent="0.2">
      <c r="L6702" s="12"/>
      <c r="M6702" s="13"/>
    </row>
    <row r="6703" spans="12:13" x14ac:dyDescent="0.2">
      <c r="L6703" s="12"/>
      <c r="M6703" s="13"/>
    </row>
    <row r="6704" spans="12:13" x14ac:dyDescent="0.2">
      <c r="L6704" s="12"/>
      <c r="M6704" s="13"/>
    </row>
    <row r="6705" spans="12:13" x14ac:dyDescent="0.2">
      <c r="L6705" s="12"/>
      <c r="M6705" s="13"/>
    </row>
    <row r="6706" spans="12:13" x14ac:dyDescent="0.2">
      <c r="L6706" s="12"/>
      <c r="M6706" s="13"/>
    </row>
    <row r="6707" spans="12:13" x14ac:dyDescent="0.2">
      <c r="L6707" s="12"/>
      <c r="M6707" s="13"/>
    </row>
    <row r="6708" spans="12:13" x14ac:dyDescent="0.2">
      <c r="L6708" s="12"/>
      <c r="M6708" s="13"/>
    </row>
    <row r="6709" spans="12:13" x14ac:dyDescent="0.2">
      <c r="L6709" s="12"/>
      <c r="M6709" s="13"/>
    </row>
    <row r="6710" spans="12:13" x14ac:dyDescent="0.2">
      <c r="L6710" s="12"/>
      <c r="M6710" s="13"/>
    </row>
    <row r="6711" spans="12:13" x14ac:dyDescent="0.2">
      <c r="L6711" s="12"/>
      <c r="M6711" s="13"/>
    </row>
    <row r="6712" spans="12:13" x14ac:dyDescent="0.2">
      <c r="L6712" s="12"/>
      <c r="M6712" s="13"/>
    </row>
    <row r="6713" spans="12:13" x14ac:dyDescent="0.2">
      <c r="L6713" s="12"/>
      <c r="M6713" s="13"/>
    </row>
    <row r="6714" spans="12:13" x14ac:dyDescent="0.2">
      <c r="L6714" s="12"/>
      <c r="M6714" s="13"/>
    </row>
    <row r="6715" spans="12:13" x14ac:dyDescent="0.2">
      <c r="L6715" s="12"/>
      <c r="M6715" s="13"/>
    </row>
    <row r="6716" spans="12:13" x14ac:dyDescent="0.2">
      <c r="L6716" s="12"/>
      <c r="M6716" s="13"/>
    </row>
    <row r="6717" spans="12:13" x14ac:dyDescent="0.2">
      <c r="L6717" s="12"/>
      <c r="M6717" s="13"/>
    </row>
    <row r="6718" spans="12:13" x14ac:dyDescent="0.2">
      <c r="L6718" s="12"/>
      <c r="M6718" s="13"/>
    </row>
    <row r="6719" spans="12:13" x14ac:dyDescent="0.2">
      <c r="L6719" s="12"/>
      <c r="M6719" s="13"/>
    </row>
    <row r="6720" spans="12:13" x14ac:dyDescent="0.2">
      <c r="L6720" s="12"/>
      <c r="M6720" s="13"/>
    </row>
    <row r="6721" spans="12:13" x14ac:dyDescent="0.2">
      <c r="L6721" s="12"/>
      <c r="M6721" s="13"/>
    </row>
    <row r="6722" spans="12:13" x14ac:dyDescent="0.2">
      <c r="L6722" s="12"/>
      <c r="M6722" s="13"/>
    </row>
    <row r="6723" spans="12:13" x14ac:dyDescent="0.2">
      <c r="L6723" s="12"/>
      <c r="M6723" s="13"/>
    </row>
    <row r="6724" spans="12:13" x14ac:dyDescent="0.2">
      <c r="L6724" s="12"/>
      <c r="M6724" s="13"/>
    </row>
    <row r="6725" spans="12:13" x14ac:dyDescent="0.2">
      <c r="L6725" s="12"/>
      <c r="M6725" s="13"/>
    </row>
    <row r="6726" spans="12:13" x14ac:dyDescent="0.2">
      <c r="L6726" s="12"/>
      <c r="M6726" s="13"/>
    </row>
    <row r="6727" spans="12:13" x14ac:dyDescent="0.2">
      <c r="L6727" s="12"/>
      <c r="M6727" s="13"/>
    </row>
    <row r="6728" spans="12:13" x14ac:dyDescent="0.2">
      <c r="L6728" s="12"/>
      <c r="M6728" s="13"/>
    </row>
    <row r="6729" spans="12:13" x14ac:dyDescent="0.2">
      <c r="L6729" s="12"/>
      <c r="M6729" s="13"/>
    </row>
    <row r="6730" spans="12:13" x14ac:dyDescent="0.2">
      <c r="L6730" s="12"/>
      <c r="M6730" s="13"/>
    </row>
    <row r="6731" spans="12:13" x14ac:dyDescent="0.2">
      <c r="L6731" s="12"/>
      <c r="M6731" s="13"/>
    </row>
    <row r="6732" spans="12:13" x14ac:dyDescent="0.2">
      <c r="L6732" s="12"/>
      <c r="M6732" s="13"/>
    </row>
    <row r="6733" spans="12:13" x14ac:dyDescent="0.2">
      <c r="L6733" s="12"/>
      <c r="M6733" s="13"/>
    </row>
    <row r="6734" spans="12:13" x14ac:dyDescent="0.2">
      <c r="L6734" s="12"/>
      <c r="M6734" s="13"/>
    </row>
    <row r="6735" spans="12:13" x14ac:dyDescent="0.2">
      <c r="L6735" s="12"/>
      <c r="M6735" s="13"/>
    </row>
    <row r="6736" spans="12:13" x14ac:dyDescent="0.2">
      <c r="L6736" s="12"/>
      <c r="M6736" s="13"/>
    </row>
    <row r="6737" spans="12:13" x14ac:dyDescent="0.2">
      <c r="L6737" s="12"/>
      <c r="M6737" s="13"/>
    </row>
    <row r="6738" spans="12:13" x14ac:dyDescent="0.2">
      <c r="L6738" s="12"/>
      <c r="M6738" s="13"/>
    </row>
    <row r="6739" spans="12:13" x14ac:dyDescent="0.2">
      <c r="L6739" s="12"/>
      <c r="M6739" s="13"/>
    </row>
    <row r="6740" spans="12:13" x14ac:dyDescent="0.2">
      <c r="L6740" s="12"/>
      <c r="M6740" s="13"/>
    </row>
    <row r="6741" spans="12:13" x14ac:dyDescent="0.2">
      <c r="L6741" s="12"/>
      <c r="M6741" s="13"/>
    </row>
    <row r="6742" spans="12:13" x14ac:dyDescent="0.2">
      <c r="L6742" s="12"/>
      <c r="M6742" s="13"/>
    </row>
    <row r="6743" spans="12:13" x14ac:dyDescent="0.2">
      <c r="L6743" s="12"/>
      <c r="M6743" s="13"/>
    </row>
    <row r="6744" spans="12:13" x14ac:dyDescent="0.2">
      <c r="L6744" s="12"/>
      <c r="M6744" s="13"/>
    </row>
    <row r="6745" spans="12:13" x14ac:dyDescent="0.2">
      <c r="L6745" s="12"/>
      <c r="M6745" s="13"/>
    </row>
    <row r="6746" spans="12:13" x14ac:dyDescent="0.2">
      <c r="L6746" s="12"/>
      <c r="M6746" s="13"/>
    </row>
    <row r="6747" spans="12:13" x14ac:dyDescent="0.2">
      <c r="L6747" s="12"/>
      <c r="M6747" s="13"/>
    </row>
    <row r="6748" spans="12:13" x14ac:dyDescent="0.2">
      <c r="L6748" s="12"/>
      <c r="M6748" s="13"/>
    </row>
    <row r="6749" spans="12:13" x14ac:dyDescent="0.2">
      <c r="L6749" s="12"/>
      <c r="M6749" s="13"/>
    </row>
    <row r="6750" spans="12:13" x14ac:dyDescent="0.2">
      <c r="L6750" s="12"/>
      <c r="M6750" s="13"/>
    </row>
    <row r="6751" spans="12:13" x14ac:dyDescent="0.2">
      <c r="L6751" s="12"/>
      <c r="M6751" s="13"/>
    </row>
    <row r="6752" spans="12:13" x14ac:dyDescent="0.2">
      <c r="L6752" s="12"/>
      <c r="M6752" s="13"/>
    </row>
    <row r="6753" spans="12:13" x14ac:dyDescent="0.2">
      <c r="L6753" s="12"/>
      <c r="M6753" s="13"/>
    </row>
    <row r="6754" spans="12:13" x14ac:dyDescent="0.2">
      <c r="L6754" s="12"/>
      <c r="M6754" s="13"/>
    </row>
    <row r="6755" spans="12:13" x14ac:dyDescent="0.2">
      <c r="L6755" s="12"/>
      <c r="M6755" s="13"/>
    </row>
    <row r="6756" spans="12:13" x14ac:dyDescent="0.2">
      <c r="L6756" s="12"/>
      <c r="M6756" s="13"/>
    </row>
    <row r="6757" spans="12:13" x14ac:dyDescent="0.2">
      <c r="L6757" s="12"/>
      <c r="M6757" s="13"/>
    </row>
    <row r="6758" spans="12:13" x14ac:dyDescent="0.2">
      <c r="L6758" s="12"/>
      <c r="M6758" s="13"/>
    </row>
    <row r="6759" spans="12:13" x14ac:dyDescent="0.2">
      <c r="L6759" s="12"/>
      <c r="M6759" s="13"/>
    </row>
    <row r="6760" spans="12:13" x14ac:dyDescent="0.2">
      <c r="L6760" s="12"/>
      <c r="M6760" s="13"/>
    </row>
    <row r="6761" spans="12:13" x14ac:dyDescent="0.2">
      <c r="L6761" s="12"/>
      <c r="M6761" s="13"/>
    </row>
    <row r="6762" spans="12:13" x14ac:dyDescent="0.2">
      <c r="L6762" s="12"/>
      <c r="M6762" s="13"/>
    </row>
    <row r="6763" spans="12:13" x14ac:dyDescent="0.2">
      <c r="L6763" s="12"/>
      <c r="M6763" s="13"/>
    </row>
    <row r="6764" spans="12:13" x14ac:dyDescent="0.2">
      <c r="L6764" s="12"/>
      <c r="M6764" s="13"/>
    </row>
    <row r="6765" spans="12:13" x14ac:dyDescent="0.2">
      <c r="L6765" s="12"/>
      <c r="M6765" s="13"/>
    </row>
    <row r="6766" spans="12:13" x14ac:dyDescent="0.2">
      <c r="L6766" s="12"/>
      <c r="M6766" s="13"/>
    </row>
    <row r="6767" spans="12:13" x14ac:dyDescent="0.2">
      <c r="L6767" s="12"/>
      <c r="M6767" s="13"/>
    </row>
    <row r="6768" spans="12:13" x14ac:dyDescent="0.2">
      <c r="L6768" s="12"/>
      <c r="M6768" s="13"/>
    </row>
    <row r="6769" spans="12:13" x14ac:dyDescent="0.2">
      <c r="L6769" s="12"/>
      <c r="M6769" s="13"/>
    </row>
    <row r="6770" spans="12:13" x14ac:dyDescent="0.2">
      <c r="L6770" s="12"/>
      <c r="M6770" s="13"/>
    </row>
    <row r="6771" spans="12:13" x14ac:dyDescent="0.2">
      <c r="L6771" s="12"/>
      <c r="M6771" s="13"/>
    </row>
    <row r="6772" spans="12:13" x14ac:dyDescent="0.2">
      <c r="L6772" s="12"/>
      <c r="M6772" s="13"/>
    </row>
    <row r="6773" spans="12:13" x14ac:dyDescent="0.2">
      <c r="L6773" s="12"/>
      <c r="M6773" s="13"/>
    </row>
    <row r="6774" spans="12:13" x14ac:dyDescent="0.2">
      <c r="L6774" s="12"/>
      <c r="M6774" s="13"/>
    </row>
    <row r="6775" spans="12:13" x14ac:dyDescent="0.2">
      <c r="L6775" s="12"/>
      <c r="M6775" s="13"/>
    </row>
    <row r="6776" spans="12:13" x14ac:dyDescent="0.2">
      <c r="L6776" s="12"/>
      <c r="M6776" s="13"/>
    </row>
    <row r="6777" spans="12:13" x14ac:dyDescent="0.2">
      <c r="L6777" s="12"/>
      <c r="M6777" s="13"/>
    </row>
    <row r="6778" spans="12:13" x14ac:dyDescent="0.2">
      <c r="L6778" s="12"/>
      <c r="M6778" s="13"/>
    </row>
    <row r="6779" spans="12:13" x14ac:dyDescent="0.2">
      <c r="L6779" s="12"/>
      <c r="M6779" s="13"/>
    </row>
    <row r="6780" spans="12:13" x14ac:dyDescent="0.2">
      <c r="L6780" s="12"/>
      <c r="M6780" s="13"/>
    </row>
    <row r="6781" spans="12:13" x14ac:dyDescent="0.2">
      <c r="L6781" s="12"/>
      <c r="M6781" s="13"/>
    </row>
    <row r="6782" spans="12:13" x14ac:dyDescent="0.2">
      <c r="L6782" s="12"/>
      <c r="M6782" s="13"/>
    </row>
    <row r="6783" spans="12:13" x14ac:dyDescent="0.2">
      <c r="L6783" s="12"/>
      <c r="M6783" s="13"/>
    </row>
    <row r="6784" spans="12:13" x14ac:dyDescent="0.2">
      <c r="L6784" s="12"/>
      <c r="M6784" s="13"/>
    </row>
    <row r="6785" spans="12:13" x14ac:dyDescent="0.2">
      <c r="L6785" s="12"/>
      <c r="M6785" s="13"/>
    </row>
    <row r="6786" spans="12:13" x14ac:dyDescent="0.2">
      <c r="L6786" s="12"/>
      <c r="M6786" s="13"/>
    </row>
    <row r="6787" spans="12:13" x14ac:dyDescent="0.2">
      <c r="L6787" s="12"/>
      <c r="M6787" s="13"/>
    </row>
    <row r="6788" spans="12:13" x14ac:dyDescent="0.2">
      <c r="L6788" s="12"/>
      <c r="M6788" s="13"/>
    </row>
    <row r="6789" spans="12:13" x14ac:dyDescent="0.2">
      <c r="L6789" s="12"/>
      <c r="M6789" s="13"/>
    </row>
    <row r="6790" spans="12:13" x14ac:dyDescent="0.2">
      <c r="L6790" s="12"/>
      <c r="M6790" s="13"/>
    </row>
    <row r="6791" spans="12:13" x14ac:dyDescent="0.2">
      <c r="L6791" s="12"/>
      <c r="M6791" s="13"/>
    </row>
    <row r="6792" spans="12:13" x14ac:dyDescent="0.2">
      <c r="L6792" s="12"/>
      <c r="M6792" s="13"/>
    </row>
    <row r="6793" spans="12:13" x14ac:dyDescent="0.2">
      <c r="L6793" s="12"/>
      <c r="M6793" s="13"/>
    </row>
    <row r="6794" spans="12:13" x14ac:dyDescent="0.2">
      <c r="L6794" s="12"/>
      <c r="M6794" s="13"/>
    </row>
    <row r="6795" spans="12:13" x14ac:dyDescent="0.2">
      <c r="L6795" s="12"/>
      <c r="M6795" s="13"/>
    </row>
    <row r="6796" spans="12:13" x14ac:dyDescent="0.2">
      <c r="L6796" s="12"/>
      <c r="M6796" s="13"/>
    </row>
    <row r="6797" spans="12:13" x14ac:dyDescent="0.2">
      <c r="L6797" s="12"/>
      <c r="M6797" s="13"/>
    </row>
    <row r="6798" spans="12:13" x14ac:dyDescent="0.2">
      <c r="L6798" s="12"/>
      <c r="M6798" s="13"/>
    </row>
    <row r="6799" spans="12:13" x14ac:dyDescent="0.2">
      <c r="L6799" s="12"/>
      <c r="M6799" s="13"/>
    </row>
    <row r="6800" spans="12:13" x14ac:dyDescent="0.2">
      <c r="L6800" s="12"/>
      <c r="M6800" s="13"/>
    </row>
    <row r="6801" spans="12:13" x14ac:dyDescent="0.2">
      <c r="L6801" s="12"/>
      <c r="M6801" s="13"/>
    </row>
    <row r="6802" spans="12:13" x14ac:dyDescent="0.2">
      <c r="L6802" s="12"/>
      <c r="M6802" s="13"/>
    </row>
    <row r="6803" spans="12:13" x14ac:dyDescent="0.2">
      <c r="L6803" s="12"/>
      <c r="M6803" s="13"/>
    </row>
    <row r="6804" spans="12:13" x14ac:dyDescent="0.2">
      <c r="L6804" s="12"/>
      <c r="M6804" s="13"/>
    </row>
    <row r="6805" spans="12:13" x14ac:dyDescent="0.2">
      <c r="L6805" s="12"/>
      <c r="M6805" s="13"/>
    </row>
    <row r="6806" spans="12:13" x14ac:dyDescent="0.2">
      <c r="L6806" s="12"/>
      <c r="M6806" s="13"/>
    </row>
    <row r="6807" spans="12:13" x14ac:dyDescent="0.2">
      <c r="L6807" s="12"/>
      <c r="M6807" s="13"/>
    </row>
    <row r="6808" spans="12:13" x14ac:dyDescent="0.2">
      <c r="L6808" s="12"/>
      <c r="M6808" s="13"/>
    </row>
    <row r="6809" spans="12:13" x14ac:dyDescent="0.2">
      <c r="L6809" s="12"/>
      <c r="M6809" s="13"/>
    </row>
    <row r="6810" spans="12:13" x14ac:dyDescent="0.2">
      <c r="L6810" s="12"/>
      <c r="M6810" s="13"/>
    </row>
    <row r="6811" spans="12:13" x14ac:dyDescent="0.2">
      <c r="L6811" s="12"/>
      <c r="M6811" s="13"/>
    </row>
    <row r="6812" spans="12:13" x14ac:dyDescent="0.2">
      <c r="L6812" s="12"/>
      <c r="M6812" s="13"/>
    </row>
    <row r="6813" spans="12:13" x14ac:dyDescent="0.2">
      <c r="L6813" s="12"/>
      <c r="M6813" s="13"/>
    </row>
    <row r="6814" spans="12:13" x14ac:dyDescent="0.2">
      <c r="L6814" s="12"/>
      <c r="M6814" s="13"/>
    </row>
    <row r="6815" spans="12:13" x14ac:dyDescent="0.2">
      <c r="L6815" s="12"/>
      <c r="M6815" s="13"/>
    </row>
    <row r="6816" spans="12:13" x14ac:dyDescent="0.2">
      <c r="L6816" s="12"/>
      <c r="M6816" s="13"/>
    </row>
    <row r="6817" spans="12:13" x14ac:dyDescent="0.2">
      <c r="L6817" s="12"/>
      <c r="M6817" s="13"/>
    </row>
    <row r="6818" spans="12:13" x14ac:dyDescent="0.2">
      <c r="L6818" s="12"/>
      <c r="M6818" s="13"/>
    </row>
    <row r="6819" spans="12:13" x14ac:dyDescent="0.2">
      <c r="L6819" s="12"/>
      <c r="M6819" s="13"/>
    </row>
    <row r="6820" spans="12:13" x14ac:dyDescent="0.2">
      <c r="L6820" s="12"/>
      <c r="M6820" s="13"/>
    </row>
    <row r="6821" spans="12:13" x14ac:dyDescent="0.2">
      <c r="L6821" s="12"/>
      <c r="M6821" s="13"/>
    </row>
    <row r="6822" spans="12:13" x14ac:dyDescent="0.2">
      <c r="L6822" s="12"/>
      <c r="M6822" s="13"/>
    </row>
    <row r="6823" spans="12:13" x14ac:dyDescent="0.2">
      <c r="L6823" s="12"/>
      <c r="M6823" s="13"/>
    </row>
    <row r="6824" spans="12:13" x14ac:dyDescent="0.2">
      <c r="L6824" s="12"/>
      <c r="M6824" s="13"/>
    </row>
    <row r="6825" spans="12:13" x14ac:dyDescent="0.2">
      <c r="L6825" s="12"/>
      <c r="M6825" s="13"/>
    </row>
    <row r="6826" spans="12:13" x14ac:dyDescent="0.2">
      <c r="L6826" s="12"/>
      <c r="M6826" s="13"/>
    </row>
    <row r="6827" spans="12:13" x14ac:dyDescent="0.2">
      <c r="L6827" s="12"/>
      <c r="M6827" s="13"/>
    </row>
    <row r="6828" spans="12:13" x14ac:dyDescent="0.2">
      <c r="L6828" s="12"/>
      <c r="M6828" s="13"/>
    </row>
    <row r="6829" spans="12:13" x14ac:dyDescent="0.2">
      <c r="L6829" s="12"/>
      <c r="M6829" s="13"/>
    </row>
    <row r="6830" spans="12:13" x14ac:dyDescent="0.2">
      <c r="L6830" s="12"/>
      <c r="M6830" s="13"/>
    </row>
    <row r="6831" spans="12:13" x14ac:dyDescent="0.2">
      <c r="L6831" s="12"/>
      <c r="M6831" s="13"/>
    </row>
    <row r="6832" spans="12:13" x14ac:dyDescent="0.2">
      <c r="L6832" s="12"/>
      <c r="M6832" s="13"/>
    </row>
    <row r="6833" spans="12:13" x14ac:dyDescent="0.2">
      <c r="L6833" s="12"/>
      <c r="M6833" s="13"/>
    </row>
    <row r="6834" spans="12:13" x14ac:dyDescent="0.2">
      <c r="L6834" s="12"/>
      <c r="M6834" s="13"/>
    </row>
    <row r="6835" spans="12:13" x14ac:dyDescent="0.2">
      <c r="L6835" s="12"/>
      <c r="M6835" s="13"/>
    </row>
    <row r="6836" spans="12:13" x14ac:dyDescent="0.2">
      <c r="L6836" s="12"/>
      <c r="M6836" s="13"/>
    </row>
    <row r="6837" spans="12:13" x14ac:dyDescent="0.2">
      <c r="L6837" s="12"/>
      <c r="M6837" s="13"/>
    </row>
    <row r="6838" spans="12:13" x14ac:dyDescent="0.2">
      <c r="L6838" s="12"/>
      <c r="M6838" s="13"/>
    </row>
    <row r="6839" spans="12:13" x14ac:dyDescent="0.2">
      <c r="L6839" s="12"/>
      <c r="M6839" s="13"/>
    </row>
    <row r="6840" spans="12:13" x14ac:dyDescent="0.2">
      <c r="L6840" s="12"/>
      <c r="M6840" s="13"/>
    </row>
    <row r="6841" spans="12:13" x14ac:dyDescent="0.2">
      <c r="L6841" s="12"/>
      <c r="M6841" s="13"/>
    </row>
    <row r="6842" spans="12:13" x14ac:dyDescent="0.2">
      <c r="L6842" s="12"/>
      <c r="M6842" s="13"/>
    </row>
    <row r="6843" spans="12:13" x14ac:dyDescent="0.2">
      <c r="L6843" s="12"/>
      <c r="M6843" s="13"/>
    </row>
    <row r="6844" spans="12:13" x14ac:dyDescent="0.2">
      <c r="L6844" s="12"/>
      <c r="M6844" s="13"/>
    </row>
    <row r="6845" spans="12:13" x14ac:dyDescent="0.2">
      <c r="L6845" s="12"/>
      <c r="M6845" s="13"/>
    </row>
    <row r="6846" spans="12:13" x14ac:dyDescent="0.2">
      <c r="L6846" s="12"/>
      <c r="M6846" s="13"/>
    </row>
    <row r="6847" spans="12:13" x14ac:dyDescent="0.2">
      <c r="L6847" s="12"/>
      <c r="M6847" s="13"/>
    </row>
    <row r="6848" spans="12:13" x14ac:dyDescent="0.2">
      <c r="L6848" s="12"/>
      <c r="M6848" s="13"/>
    </row>
    <row r="6849" spans="12:13" x14ac:dyDescent="0.2">
      <c r="L6849" s="12"/>
      <c r="M6849" s="13"/>
    </row>
    <row r="6850" spans="12:13" x14ac:dyDescent="0.2">
      <c r="L6850" s="12"/>
      <c r="M6850" s="13"/>
    </row>
    <row r="6851" spans="12:13" x14ac:dyDescent="0.2">
      <c r="L6851" s="12"/>
      <c r="M6851" s="13"/>
    </row>
    <row r="6852" spans="12:13" x14ac:dyDescent="0.2">
      <c r="L6852" s="12"/>
      <c r="M6852" s="13"/>
    </row>
    <row r="6853" spans="12:13" x14ac:dyDescent="0.2">
      <c r="L6853" s="12"/>
      <c r="M6853" s="13"/>
    </row>
    <row r="6854" spans="12:13" x14ac:dyDescent="0.2">
      <c r="L6854" s="12"/>
      <c r="M6854" s="13"/>
    </row>
    <row r="6855" spans="12:13" x14ac:dyDescent="0.2">
      <c r="L6855" s="12"/>
      <c r="M6855" s="13"/>
    </row>
    <row r="6856" spans="12:13" x14ac:dyDescent="0.2">
      <c r="L6856" s="12"/>
      <c r="M6856" s="13"/>
    </row>
    <row r="6857" spans="12:13" x14ac:dyDescent="0.2">
      <c r="L6857" s="12"/>
      <c r="M6857" s="13"/>
    </row>
    <row r="6858" spans="12:13" x14ac:dyDescent="0.2">
      <c r="L6858" s="12"/>
      <c r="M6858" s="13"/>
    </row>
    <row r="6859" spans="12:13" x14ac:dyDescent="0.2">
      <c r="L6859" s="12"/>
      <c r="M6859" s="13"/>
    </row>
    <row r="6860" spans="12:13" x14ac:dyDescent="0.2">
      <c r="L6860" s="12"/>
      <c r="M6860" s="13"/>
    </row>
    <row r="6861" spans="12:13" x14ac:dyDescent="0.2">
      <c r="L6861" s="12"/>
      <c r="M6861" s="13"/>
    </row>
    <row r="6862" spans="12:13" x14ac:dyDescent="0.2">
      <c r="L6862" s="12"/>
      <c r="M6862" s="13"/>
    </row>
    <row r="6863" spans="12:13" x14ac:dyDescent="0.2">
      <c r="L6863" s="12"/>
      <c r="M6863" s="13"/>
    </row>
    <row r="6864" spans="12:13" x14ac:dyDescent="0.2">
      <c r="L6864" s="12"/>
      <c r="M6864" s="13"/>
    </row>
    <row r="6865" spans="12:13" x14ac:dyDescent="0.2">
      <c r="L6865" s="12"/>
      <c r="M6865" s="13"/>
    </row>
    <row r="6866" spans="12:13" x14ac:dyDescent="0.2">
      <c r="L6866" s="12"/>
      <c r="M6866" s="13"/>
    </row>
    <row r="6867" spans="12:13" x14ac:dyDescent="0.2">
      <c r="L6867" s="12"/>
      <c r="M6867" s="13"/>
    </row>
    <row r="6868" spans="12:13" x14ac:dyDescent="0.2">
      <c r="L6868" s="12"/>
      <c r="M6868" s="13"/>
    </row>
    <row r="6869" spans="12:13" x14ac:dyDescent="0.2">
      <c r="L6869" s="12"/>
      <c r="M6869" s="13"/>
    </row>
    <row r="6870" spans="12:13" x14ac:dyDescent="0.2">
      <c r="L6870" s="12"/>
      <c r="M6870" s="13"/>
    </row>
    <row r="6871" spans="12:13" x14ac:dyDescent="0.2">
      <c r="L6871" s="12"/>
      <c r="M6871" s="13"/>
    </row>
    <row r="6872" spans="12:13" x14ac:dyDescent="0.2">
      <c r="L6872" s="12"/>
      <c r="M6872" s="13"/>
    </row>
    <row r="6873" spans="12:13" x14ac:dyDescent="0.2">
      <c r="L6873" s="12"/>
      <c r="M6873" s="13"/>
    </row>
    <row r="6874" spans="12:13" x14ac:dyDescent="0.2">
      <c r="L6874" s="12"/>
      <c r="M6874" s="13"/>
    </row>
    <row r="6875" spans="12:13" x14ac:dyDescent="0.2">
      <c r="L6875" s="12"/>
      <c r="M6875" s="13"/>
    </row>
    <row r="6876" spans="12:13" x14ac:dyDescent="0.2">
      <c r="L6876" s="12"/>
      <c r="M6876" s="13"/>
    </row>
    <row r="6877" spans="12:13" x14ac:dyDescent="0.2">
      <c r="L6877" s="12"/>
      <c r="M6877" s="13"/>
    </row>
    <row r="6878" spans="12:13" x14ac:dyDescent="0.2">
      <c r="L6878" s="12"/>
      <c r="M6878" s="13"/>
    </row>
    <row r="6879" spans="12:13" x14ac:dyDescent="0.2">
      <c r="L6879" s="12"/>
      <c r="M6879" s="13"/>
    </row>
    <row r="6880" spans="12:13" x14ac:dyDescent="0.2">
      <c r="L6880" s="12"/>
      <c r="M6880" s="13"/>
    </row>
    <row r="6881" spans="12:13" x14ac:dyDescent="0.2">
      <c r="L6881" s="12"/>
      <c r="M6881" s="13"/>
    </row>
    <row r="6882" spans="12:13" x14ac:dyDescent="0.2">
      <c r="L6882" s="12"/>
      <c r="M6882" s="13"/>
    </row>
    <row r="6883" spans="12:13" x14ac:dyDescent="0.2">
      <c r="L6883" s="12"/>
      <c r="M6883" s="13"/>
    </row>
    <row r="6884" spans="12:13" x14ac:dyDescent="0.2">
      <c r="L6884" s="12"/>
      <c r="M6884" s="13"/>
    </row>
    <row r="6885" spans="12:13" x14ac:dyDescent="0.2">
      <c r="L6885" s="12"/>
      <c r="M6885" s="13"/>
    </row>
    <row r="6886" spans="12:13" x14ac:dyDescent="0.2">
      <c r="L6886" s="12"/>
      <c r="M6886" s="13"/>
    </row>
    <row r="6887" spans="12:13" x14ac:dyDescent="0.2">
      <c r="L6887" s="12"/>
      <c r="M6887" s="13"/>
    </row>
    <row r="6888" spans="12:13" x14ac:dyDescent="0.2">
      <c r="L6888" s="12"/>
      <c r="M6888" s="13"/>
    </row>
    <row r="6889" spans="12:13" x14ac:dyDescent="0.2">
      <c r="L6889" s="12"/>
      <c r="M6889" s="13"/>
    </row>
    <row r="6890" spans="12:13" x14ac:dyDescent="0.2">
      <c r="L6890" s="12"/>
      <c r="M6890" s="13"/>
    </row>
    <row r="6891" spans="12:13" x14ac:dyDescent="0.2">
      <c r="L6891" s="12"/>
      <c r="M6891" s="13"/>
    </row>
    <row r="6892" spans="12:13" x14ac:dyDescent="0.2">
      <c r="L6892" s="12"/>
      <c r="M6892" s="13"/>
    </row>
    <row r="6893" spans="12:13" x14ac:dyDescent="0.2">
      <c r="L6893" s="12"/>
      <c r="M6893" s="13"/>
    </row>
    <row r="6894" spans="12:13" x14ac:dyDescent="0.2">
      <c r="L6894" s="12"/>
      <c r="M6894" s="13"/>
    </row>
    <row r="6895" spans="12:13" x14ac:dyDescent="0.2">
      <c r="L6895" s="12"/>
      <c r="M6895" s="13"/>
    </row>
    <row r="6896" spans="12:13" x14ac:dyDescent="0.2">
      <c r="L6896" s="12"/>
      <c r="M6896" s="13"/>
    </row>
    <row r="6897" spans="12:13" x14ac:dyDescent="0.2">
      <c r="L6897" s="12"/>
      <c r="M6897" s="13"/>
    </row>
    <row r="6898" spans="12:13" x14ac:dyDescent="0.2">
      <c r="L6898" s="12"/>
      <c r="M6898" s="13"/>
    </row>
    <row r="6899" spans="12:13" x14ac:dyDescent="0.2">
      <c r="L6899" s="12"/>
      <c r="M6899" s="13"/>
    </row>
    <row r="6900" spans="12:13" x14ac:dyDescent="0.2">
      <c r="L6900" s="12"/>
      <c r="M6900" s="13"/>
    </row>
    <row r="6901" spans="12:13" x14ac:dyDescent="0.2">
      <c r="L6901" s="12"/>
      <c r="M6901" s="13"/>
    </row>
    <row r="6902" spans="12:13" x14ac:dyDescent="0.2">
      <c r="L6902" s="12"/>
      <c r="M6902" s="13"/>
    </row>
    <row r="6903" spans="12:13" x14ac:dyDescent="0.2">
      <c r="L6903" s="12"/>
      <c r="M6903" s="13"/>
    </row>
    <row r="6904" spans="12:13" x14ac:dyDescent="0.2">
      <c r="L6904" s="12"/>
      <c r="M6904" s="13"/>
    </row>
    <row r="6905" spans="12:13" x14ac:dyDescent="0.2">
      <c r="L6905" s="12"/>
      <c r="M6905" s="13"/>
    </row>
    <row r="6906" spans="12:13" x14ac:dyDescent="0.2">
      <c r="L6906" s="12"/>
      <c r="M6906" s="13"/>
    </row>
    <row r="6907" spans="12:13" x14ac:dyDescent="0.2">
      <c r="L6907" s="12"/>
      <c r="M6907" s="13"/>
    </row>
    <row r="6908" spans="12:13" x14ac:dyDescent="0.2">
      <c r="L6908" s="12"/>
      <c r="M6908" s="13"/>
    </row>
    <row r="6909" spans="12:13" x14ac:dyDescent="0.2">
      <c r="L6909" s="12"/>
      <c r="M6909" s="13"/>
    </row>
    <row r="6910" spans="12:13" x14ac:dyDescent="0.2">
      <c r="L6910" s="12"/>
      <c r="M6910" s="13"/>
    </row>
    <row r="6911" spans="12:13" x14ac:dyDescent="0.2">
      <c r="L6911" s="12"/>
      <c r="M6911" s="13"/>
    </row>
    <row r="6912" spans="12:13" x14ac:dyDescent="0.2">
      <c r="L6912" s="12"/>
      <c r="M6912" s="13"/>
    </row>
    <row r="6913" spans="12:13" x14ac:dyDescent="0.2">
      <c r="L6913" s="12"/>
      <c r="M6913" s="13"/>
    </row>
    <row r="6914" spans="12:13" x14ac:dyDescent="0.2">
      <c r="L6914" s="17"/>
      <c r="M6914" s="18"/>
    </row>
    <row r="6915" spans="12:13" x14ac:dyDescent="0.2">
      <c r="L6915" s="12"/>
      <c r="M6915" s="13"/>
    </row>
    <row r="6916" spans="12:13" x14ac:dyDescent="0.2">
      <c r="L6916" s="12"/>
      <c r="M6916" s="13"/>
    </row>
    <row r="6917" spans="12:13" x14ac:dyDescent="0.2">
      <c r="L6917" s="12"/>
      <c r="M6917" s="13"/>
    </row>
    <row r="6918" spans="12:13" x14ac:dyDescent="0.2">
      <c r="L6918" s="12"/>
      <c r="M6918" s="13"/>
    </row>
    <row r="6919" spans="12:13" x14ac:dyDescent="0.2">
      <c r="L6919" s="12"/>
      <c r="M6919" s="13"/>
    </row>
    <row r="6920" spans="12:13" x14ac:dyDescent="0.2">
      <c r="L6920" s="12"/>
      <c r="M6920" s="13"/>
    </row>
    <row r="6921" spans="12:13" x14ac:dyDescent="0.2">
      <c r="L6921" s="12"/>
      <c r="M6921" s="13"/>
    </row>
    <row r="6922" spans="12:13" x14ac:dyDescent="0.2">
      <c r="L6922" s="12"/>
      <c r="M6922" s="13"/>
    </row>
    <row r="6923" spans="12:13" x14ac:dyDescent="0.2">
      <c r="L6923" s="12"/>
      <c r="M6923" s="13"/>
    </row>
    <row r="6924" spans="12:13" x14ac:dyDescent="0.2">
      <c r="L6924" s="12"/>
      <c r="M6924" s="13"/>
    </row>
    <row r="6925" spans="12:13" x14ac:dyDescent="0.2">
      <c r="L6925" s="12"/>
      <c r="M6925" s="13"/>
    </row>
    <row r="6926" spans="12:13" x14ac:dyDescent="0.2">
      <c r="L6926" s="12"/>
      <c r="M6926" s="13"/>
    </row>
    <row r="6927" spans="12:13" x14ac:dyDescent="0.2">
      <c r="L6927" s="12"/>
      <c r="M6927" s="13"/>
    </row>
    <row r="6928" spans="12:13" x14ac:dyDescent="0.2">
      <c r="L6928" s="12"/>
      <c r="M6928" s="13"/>
    </row>
    <row r="6929" spans="12:13" x14ac:dyDescent="0.2">
      <c r="L6929" s="12"/>
      <c r="M6929" s="13"/>
    </row>
    <row r="6930" spans="12:13" x14ac:dyDescent="0.2">
      <c r="L6930" s="12"/>
      <c r="M6930" s="13"/>
    </row>
    <row r="6931" spans="12:13" x14ac:dyDescent="0.2">
      <c r="L6931" s="12"/>
      <c r="M6931" s="13"/>
    </row>
    <row r="6932" spans="12:13" x14ac:dyDescent="0.2">
      <c r="L6932" s="12"/>
      <c r="M6932" s="13"/>
    </row>
    <row r="6933" spans="12:13" x14ac:dyDescent="0.2">
      <c r="L6933" s="12"/>
      <c r="M6933" s="13"/>
    </row>
    <row r="6934" spans="12:13" x14ac:dyDescent="0.2">
      <c r="L6934" s="12"/>
      <c r="M6934" s="13"/>
    </row>
    <row r="6935" spans="12:13" x14ac:dyDescent="0.2">
      <c r="L6935" s="12"/>
      <c r="M6935" s="13"/>
    </row>
    <row r="6936" spans="12:13" x14ac:dyDescent="0.2">
      <c r="L6936" s="12"/>
      <c r="M6936" s="13"/>
    </row>
    <row r="6937" spans="12:13" x14ac:dyDescent="0.2">
      <c r="L6937" s="12"/>
      <c r="M6937" s="13"/>
    </row>
    <row r="6938" spans="12:13" x14ac:dyDescent="0.2">
      <c r="L6938" s="12"/>
      <c r="M6938" s="13"/>
    </row>
    <row r="6939" spans="12:13" x14ac:dyDescent="0.2">
      <c r="L6939" s="12"/>
      <c r="M6939" s="13"/>
    </row>
    <row r="6940" spans="12:13" x14ac:dyDescent="0.2">
      <c r="L6940" s="12"/>
      <c r="M6940" s="13"/>
    </row>
    <row r="6941" spans="12:13" x14ac:dyDescent="0.2">
      <c r="L6941" s="12"/>
      <c r="M6941" s="13"/>
    </row>
    <row r="6942" spans="12:13" x14ac:dyDescent="0.2">
      <c r="L6942" s="12"/>
      <c r="M6942" s="13"/>
    </row>
    <row r="6943" spans="12:13" x14ac:dyDescent="0.2">
      <c r="L6943" s="12"/>
      <c r="M6943" s="13"/>
    </row>
    <row r="6944" spans="12:13" x14ac:dyDescent="0.2">
      <c r="L6944" s="12"/>
      <c r="M6944" s="13"/>
    </row>
    <row r="6945" spans="12:13" x14ac:dyDescent="0.2">
      <c r="L6945" s="12"/>
      <c r="M6945" s="13"/>
    </row>
    <row r="6946" spans="12:13" x14ac:dyDescent="0.2">
      <c r="L6946" s="12"/>
      <c r="M6946" s="13"/>
    </row>
    <row r="6947" spans="12:13" x14ac:dyDescent="0.2">
      <c r="L6947" s="12"/>
      <c r="M6947" s="13"/>
    </row>
    <row r="6948" spans="12:13" x14ac:dyDescent="0.2">
      <c r="L6948" s="12"/>
      <c r="M6948" s="13"/>
    </row>
    <row r="6949" spans="12:13" x14ac:dyDescent="0.2">
      <c r="L6949" s="12"/>
      <c r="M6949" s="13"/>
    </row>
    <row r="6950" spans="12:13" x14ac:dyDescent="0.2">
      <c r="L6950" s="12"/>
      <c r="M6950" s="13"/>
    </row>
    <row r="6951" spans="12:13" x14ac:dyDescent="0.2">
      <c r="L6951" s="12"/>
      <c r="M6951" s="13"/>
    </row>
    <row r="6952" spans="12:13" x14ac:dyDescent="0.2">
      <c r="L6952" s="12"/>
      <c r="M6952" s="13"/>
    </row>
    <row r="6953" spans="12:13" x14ac:dyDescent="0.2">
      <c r="L6953" s="12"/>
      <c r="M6953" s="13"/>
    </row>
    <row r="6954" spans="12:13" x14ac:dyDescent="0.2">
      <c r="L6954" s="12"/>
      <c r="M6954" s="13"/>
    </row>
    <row r="6955" spans="12:13" x14ac:dyDescent="0.2">
      <c r="L6955" s="12"/>
      <c r="M6955" s="13"/>
    </row>
    <row r="6956" spans="12:13" x14ac:dyDescent="0.2">
      <c r="L6956" s="12"/>
      <c r="M6956" s="13"/>
    </row>
    <row r="6957" spans="12:13" x14ac:dyDescent="0.2">
      <c r="L6957" s="12"/>
      <c r="M6957" s="13"/>
    </row>
    <row r="6958" spans="12:13" x14ac:dyDescent="0.2">
      <c r="L6958" s="12"/>
      <c r="M6958" s="13"/>
    </row>
    <row r="6959" spans="12:13" x14ac:dyDescent="0.2">
      <c r="L6959" s="12"/>
      <c r="M6959" s="13"/>
    </row>
    <row r="6960" spans="12:13" x14ac:dyDescent="0.2">
      <c r="L6960" s="12"/>
      <c r="M6960" s="13"/>
    </row>
    <row r="6961" spans="12:13" x14ac:dyDescent="0.2">
      <c r="L6961" s="12"/>
      <c r="M6961" s="13"/>
    </row>
    <row r="6962" spans="12:13" x14ac:dyDescent="0.2">
      <c r="L6962" s="12"/>
      <c r="M6962" s="13"/>
    </row>
    <row r="6963" spans="12:13" x14ac:dyDescent="0.2">
      <c r="L6963" s="12"/>
      <c r="M6963" s="13"/>
    </row>
    <row r="6964" spans="12:13" x14ac:dyDescent="0.2">
      <c r="L6964" s="12"/>
      <c r="M6964" s="13"/>
    </row>
    <row r="6965" spans="12:13" x14ac:dyDescent="0.2">
      <c r="L6965" s="12"/>
      <c r="M6965" s="13"/>
    </row>
    <row r="6966" spans="12:13" x14ac:dyDescent="0.2">
      <c r="L6966" s="12"/>
      <c r="M6966" s="13"/>
    </row>
    <row r="6967" spans="12:13" x14ac:dyDescent="0.2">
      <c r="L6967" s="12"/>
      <c r="M6967" s="13"/>
    </row>
    <row r="6968" spans="12:13" x14ac:dyDescent="0.2">
      <c r="L6968" s="12"/>
      <c r="M6968" s="13"/>
    </row>
    <row r="6969" spans="12:13" x14ac:dyDescent="0.2">
      <c r="L6969" s="12"/>
      <c r="M6969" s="13"/>
    </row>
    <row r="6970" spans="12:13" x14ac:dyDescent="0.2">
      <c r="L6970" s="12"/>
      <c r="M6970" s="13"/>
    </row>
    <row r="6971" spans="12:13" x14ac:dyDescent="0.2">
      <c r="L6971" s="12"/>
      <c r="M6971" s="13"/>
    </row>
    <row r="6972" spans="12:13" x14ac:dyDescent="0.2">
      <c r="L6972" s="12"/>
      <c r="M6972" s="13"/>
    </row>
    <row r="6973" spans="12:13" x14ac:dyDescent="0.2">
      <c r="L6973" s="12"/>
      <c r="M6973" s="13"/>
    </row>
    <row r="6974" spans="12:13" x14ac:dyDescent="0.2">
      <c r="L6974" s="12"/>
      <c r="M6974" s="13"/>
    </row>
    <row r="6975" spans="12:13" x14ac:dyDescent="0.2">
      <c r="L6975" s="12"/>
      <c r="M6975" s="13"/>
    </row>
    <row r="6976" spans="12:13" x14ac:dyDescent="0.2">
      <c r="L6976" s="12"/>
      <c r="M6976" s="13"/>
    </row>
    <row r="6977" spans="12:13" x14ac:dyDescent="0.2">
      <c r="L6977" s="12"/>
      <c r="M6977" s="13"/>
    </row>
    <row r="6978" spans="12:13" x14ac:dyDescent="0.2">
      <c r="L6978" s="12"/>
      <c r="M6978" s="13"/>
    </row>
    <row r="6979" spans="12:13" x14ac:dyDescent="0.2">
      <c r="L6979" s="12"/>
      <c r="M6979" s="13"/>
    </row>
    <row r="6980" spans="12:13" x14ac:dyDescent="0.2">
      <c r="L6980" s="12"/>
      <c r="M6980" s="13"/>
    </row>
    <row r="6981" spans="12:13" x14ac:dyDescent="0.2">
      <c r="L6981" s="12"/>
      <c r="M6981" s="13"/>
    </row>
    <row r="6982" spans="12:13" x14ac:dyDescent="0.2">
      <c r="L6982" s="12"/>
      <c r="M6982" s="13"/>
    </row>
    <row r="6983" spans="12:13" x14ac:dyDescent="0.2">
      <c r="L6983" s="12"/>
      <c r="M6983" s="13"/>
    </row>
    <row r="6984" spans="12:13" x14ac:dyDescent="0.2">
      <c r="L6984" s="12"/>
      <c r="M6984" s="13"/>
    </row>
    <row r="6985" spans="12:13" x14ac:dyDescent="0.2">
      <c r="L6985" s="12"/>
      <c r="M6985" s="13"/>
    </row>
    <row r="6986" spans="12:13" x14ac:dyDescent="0.2">
      <c r="L6986" s="12"/>
      <c r="M6986" s="13"/>
    </row>
    <row r="6987" spans="12:13" x14ac:dyDescent="0.2">
      <c r="L6987" s="12"/>
      <c r="M6987" s="13"/>
    </row>
    <row r="6988" spans="12:13" x14ac:dyDescent="0.2">
      <c r="L6988" s="12"/>
      <c r="M6988" s="13"/>
    </row>
    <row r="6989" spans="12:13" x14ac:dyDescent="0.2">
      <c r="L6989" s="12"/>
      <c r="M6989" s="13"/>
    </row>
    <row r="6990" spans="12:13" x14ac:dyDescent="0.2">
      <c r="L6990" s="12"/>
      <c r="M6990" s="13"/>
    </row>
    <row r="6991" spans="12:13" x14ac:dyDescent="0.2">
      <c r="L6991" s="12"/>
      <c r="M6991" s="13"/>
    </row>
    <row r="6992" spans="12:13" x14ac:dyDescent="0.2">
      <c r="L6992" s="12"/>
      <c r="M6992" s="13"/>
    </row>
    <row r="6993" spans="12:13" x14ac:dyDescent="0.2">
      <c r="L6993" s="12"/>
      <c r="M6993" s="13"/>
    </row>
    <row r="6994" spans="12:13" x14ac:dyDescent="0.2">
      <c r="L6994" s="12"/>
      <c r="M6994" s="13"/>
    </row>
    <row r="6995" spans="12:13" x14ac:dyDescent="0.2">
      <c r="L6995" s="12"/>
      <c r="M6995" s="13"/>
    </row>
    <row r="6996" spans="12:13" x14ac:dyDescent="0.2">
      <c r="L6996" s="12"/>
      <c r="M6996" s="13"/>
    </row>
    <row r="6997" spans="12:13" x14ac:dyDescent="0.2">
      <c r="L6997" s="12"/>
      <c r="M6997" s="13"/>
    </row>
    <row r="6998" spans="12:13" x14ac:dyDescent="0.2">
      <c r="L6998" s="12"/>
      <c r="M6998" s="13"/>
    </row>
    <row r="6999" spans="12:13" x14ac:dyDescent="0.2">
      <c r="L6999" s="12"/>
      <c r="M6999" s="13"/>
    </row>
    <row r="7000" spans="12:13" x14ac:dyDescent="0.2">
      <c r="L7000" s="12"/>
      <c r="M7000" s="13"/>
    </row>
    <row r="7001" spans="12:13" x14ac:dyDescent="0.2">
      <c r="L7001" s="12"/>
      <c r="M7001" s="13"/>
    </row>
    <row r="7002" spans="12:13" x14ac:dyDescent="0.2">
      <c r="L7002" s="12"/>
      <c r="M7002" s="13"/>
    </row>
    <row r="7003" spans="12:13" x14ac:dyDescent="0.2">
      <c r="L7003" s="12"/>
      <c r="M7003" s="13"/>
    </row>
    <row r="7004" spans="12:13" x14ac:dyDescent="0.2">
      <c r="L7004" s="12"/>
      <c r="M7004" s="13"/>
    </row>
    <row r="7005" spans="12:13" x14ac:dyDescent="0.2">
      <c r="L7005" s="12"/>
      <c r="M7005" s="13"/>
    </row>
    <row r="7006" spans="12:13" x14ac:dyDescent="0.2">
      <c r="L7006" s="12"/>
      <c r="M7006" s="13"/>
    </row>
    <row r="7007" spans="12:13" x14ac:dyDescent="0.2">
      <c r="L7007" s="12"/>
      <c r="M7007" s="13"/>
    </row>
    <row r="7008" spans="12:13" x14ac:dyDescent="0.2">
      <c r="L7008" s="12"/>
      <c r="M7008" s="13"/>
    </row>
    <row r="7009" spans="12:13" x14ac:dyDescent="0.2">
      <c r="L7009" s="12"/>
      <c r="M7009" s="13"/>
    </row>
    <row r="7010" spans="12:13" x14ac:dyDescent="0.2">
      <c r="L7010" s="12"/>
      <c r="M7010" s="13"/>
    </row>
    <row r="7011" spans="12:13" x14ac:dyDescent="0.2">
      <c r="L7011" s="12"/>
      <c r="M7011" s="13"/>
    </row>
    <row r="7012" spans="12:13" x14ac:dyDescent="0.2">
      <c r="L7012" s="12"/>
      <c r="M7012" s="13"/>
    </row>
    <row r="7013" spans="12:13" x14ac:dyDescent="0.2">
      <c r="L7013" s="12"/>
      <c r="M7013" s="13"/>
    </row>
    <row r="7014" spans="12:13" x14ac:dyDescent="0.2">
      <c r="L7014" s="12"/>
      <c r="M7014" s="13"/>
    </row>
    <row r="7015" spans="12:13" x14ac:dyDescent="0.2">
      <c r="L7015" s="12"/>
      <c r="M7015" s="13"/>
    </row>
    <row r="7016" spans="12:13" x14ac:dyDescent="0.2">
      <c r="L7016" s="12"/>
      <c r="M7016" s="13"/>
    </row>
    <row r="7017" spans="12:13" x14ac:dyDescent="0.2">
      <c r="L7017" s="12"/>
      <c r="M7017" s="13"/>
    </row>
    <row r="7018" spans="12:13" x14ac:dyDescent="0.2">
      <c r="L7018" s="12"/>
      <c r="M7018" s="13"/>
    </row>
    <row r="7019" spans="12:13" x14ac:dyDescent="0.2">
      <c r="L7019" s="12"/>
      <c r="M7019" s="13"/>
    </row>
    <row r="7020" spans="12:13" x14ac:dyDescent="0.2">
      <c r="L7020" s="12"/>
      <c r="M7020" s="13"/>
    </row>
    <row r="7021" spans="12:13" x14ac:dyDescent="0.2">
      <c r="L7021" s="12"/>
      <c r="M7021" s="13"/>
    </row>
    <row r="7022" spans="12:13" x14ac:dyDescent="0.2">
      <c r="L7022" s="12"/>
      <c r="M7022" s="13"/>
    </row>
    <row r="7023" spans="12:13" x14ac:dyDescent="0.2">
      <c r="L7023" s="12"/>
      <c r="M7023" s="13"/>
    </row>
    <row r="7024" spans="12:13" x14ac:dyDescent="0.2">
      <c r="L7024" s="12"/>
      <c r="M7024" s="13"/>
    </row>
    <row r="7025" spans="12:13" x14ac:dyDescent="0.2">
      <c r="L7025" s="12"/>
      <c r="M7025" s="13"/>
    </row>
    <row r="7026" spans="12:13" x14ac:dyDescent="0.2">
      <c r="L7026" s="12"/>
      <c r="M7026" s="13"/>
    </row>
    <row r="7027" spans="12:13" x14ac:dyDescent="0.2">
      <c r="L7027" s="12"/>
      <c r="M7027" s="13"/>
    </row>
    <row r="7028" spans="12:13" x14ac:dyDescent="0.2">
      <c r="L7028" s="12"/>
      <c r="M7028" s="13"/>
    </row>
    <row r="7029" spans="12:13" x14ac:dyDescent="0.2">
      <c r="L7029" s="12"/>
      <c r="M7029" s="13"/>
    </row>
    <row r="7030" spans="12:13" x14ac:dyDescent="0.2">
      <c r="L7030" s="12"/>
      <c r="M7030" s="13"/>
    </row>
    <row r="7031" spans="12:13" x14ac:dyDescent="0.2">
      <c r="L7031" s="12"/>
      <c r="M7031" s="13"/>
    </row>
    <row r="7032" spans="12:13" x14ac:dyDescent="0.2">
      <c r="L7032" s="12"/>
      <c r="M7032" s="13"/>
    </row>
    <row r="7033" spans="12:13" x14ac:dyDescent="0.2">
      <c r="L7033" s="12"/>
      <c r="M7033" s="13"/>
    </row>
    <row r="7034" spans="12:13" x14ac:dyDescent="0.2">
      <c r="L7034" s="12"/>
      <c r="M7034" s="13"/>
    </row>
    <row r="7035" spans="12:13" x14ac:dyDescent="0.2">
      <c r="L7035" s="12"/>
      <c r="M7035" s="13"/>
    </row>
    <row r="7036" spans="12:13" x14ac:dyDescent="0.2">
      <c r="L7036" s="12"/>
      <c r="M7036" s="13"/>
    </row>
    <row r="7037" spans="12:13" x14ac:dyDescent="0.2">
      <c r="L7037" s="12"/>
      <c r="M7037" s="13"/>
    </row>
    <row r="7038" spans="12:13" x14ac:dyDescent="0.2">
      <c r="L7038" s="12"/>
      <c r="M7038" s="13"/>
    </row>
    <row r="7039" spans="12:13" x14ac:dyDescent="0.2">
      <c r="L7039" s="12"/>
      <c r="M7039" s="13"/>
    </row>
    <row r="7040" spans="12:13" x14ac:dyDescent="0.2">
      <c r="L7040" s="12"/>
      <c r="M7040" s="13"/>
    </row>
    <row r="7041" spans="12:13" x14ac:dyDescent="0.2">
      <c r="L7041" s="12"/>
      <c r="M7041" s="13"/>
    </row>
    <row r="7042" spans="12:13" x14ac:dyDescent="0.2">
      <c r="L7042" s="12"/>
      <c r="M7042" s="13"/>
    </row>
    <row r="7043" spans="12:13" x14ac:dyDescent="0.2">
      <c r="L7043" s="12"/>
      <c r="M7043" s="13"/>
    </row>
    <row r="7044" spans="12:13" x14ac:dyDescent="0.2">
      <c r="L7044" s="12"/>
      <c r="M7044" s="13"/>
    </row>
    <row r="7045" spans="12:13" x14ac:dyDescent="0.2">
      <c r="L7045" s="12"/>
      <c r="M7045" s="13"/>
    </row>
    <row r="7046" spans="12:13" x14ac:dyDescent="0.2">
      <c r="L7046" s="12"/>
      <c r="M7046" s="13"/>
    </row>
    <row r="7047" spans="12:13" x14ac:dyDescent="0.2">
      <c r="L7047" s="12"/>
      <c r="M7047" s="13"/>
    </row>
    <row r="7048" spans="12:13" x14ac:dyDescent="0.2">
      <c r="L7048" s="12"/>
      <c r="M7048" s="13"/>
    </row>
    <row r="7049" spans="12:13" x14ac:dyDescent="0.2">
      <c r="L7049" s="12"/>
      <c r="M7049" s="13"/>
    </row>
    <row r="7050" spans="12:13" x14ac:dyDescent="0.2">
      <c r="L7050" s="12"/>
      <c r="M7050" s="13"/>
    </row>
    <row r="7051" spans="12:13" x14ac:dyDescent="0.2">
      <c r="L7051" s="12"/>
      <c r="M7051" s="13"/>
    </row>
    <row r="7052" spans="12:13" x14ac:dyDescent="0.2">
      <c r="L7052" s="12"/>
      <c r="M7052" s="13"/>
    </row>
    <row r="7053" spans="12:13" x14ac:dyDescent="0.2">
      <c r="L7053" s="12"/>
      <c r="M7053" s="13"/>
    </row>
    <row r="7054" spans="12:13" x14ac:dyDescent="0.2">
      <c r="L7054" s="12"/>
      <c r="M7054" s="13"/>
    </row>
    <row r="7055" spans="12:13" x14ac:dyDescent="0.2">
      <c r="L7055" s="12"/>
      <c r="M7055" s="13"/>
    </row>
    <row r="7056" spans="12:13" x14ac:dyDescent="0.2">
      <c r="L7056" s="12"/>
      <c r="M7056" s="13"/>
    </row>
    <row r="7057" spans="12:13" x14ac:dyDescent="0.2">
      <c r="L7057" s="12"/>
      <c r="M7057" s="13"/>
    </row>
    <row r="7058" spans="12:13" x14ac:dyDescent="0.2">
      <c r="L7058" s="12"/>
      <c r="M7058" s="13"/>
    </row>
    <row r="7059" spans="12:13" x14ac:dyDescent="0.2">
      <c r="L7059" s="12"/>
      <c r="M7059" s="13"/>
    </row>
    <row r="7060" spans="12:13" x14ac:dyDescent="0.2">
      <c r="L7060" s="12"/>
      <c r="M7060" s="13"/>
    </row>
    <row r="7061" spans="12:13" x14ac:dyDescent="0.2">
      <c r="L7061" s="12"/>
      <c r="M7061" s="13"/>
    </row>
    <row r="7062" spans="12:13" x14ac:dyDescent="0.2">
      <c r="L7062" s="12"/>
      <c r="M7062" s="13"/>
    </row>
    <row r="7063" spans="12:13" x14ac:dyDescent="0.2">
      <c r="L7063" s="12"/>
      <c r="M7063" s="13"/>
    </row>
    <row r="7064" spans="12:13" x14ac:dyDescent="0.2">
      <c r="L7064" s="12"/>
      <c r="M7064" s="13"/>
    </row>
    <row r="7065" spans="12:13" x14ac:dyDescent="0.2">
      <c r="L7065" s="12"/>
      <c r="M7065" s="13"/>
    </row>
    <row r="7066" spans="12:13" x14ac:dyDescent="0.2">
      <c r="L7066" s="12"/>
      <c r="M7066" s="13"/>
    </row>
    <row r="7067" spans="12:13" x14ac:dyDescent="0.2">
      <c r="L7067" s="12"/>
      <c r="M7067" s="13"/>
    </row>
    <row r="7068" spans="12:13" x14ac:dyDescent="0.2">
      <c r="L7068" s="12"/>
      <c r="M7068" s="13"/>
    </row>
    <row r="7069" spans="12:13" x14ac:dyDescent="0.2">
      <c r="L7069" s="12"/>
      <c r="M7069" s="13"/>
    </row>
    <row r="7070" spans="12:13" x14ac:dyDescent="0.2">
      <c r="L7070" s="12"/>
      <c r="M7070" s="13"/>
    </row>
    <row r="7071" spans="12:13" x14ac:dyDescent="0.2">
      <c r="L7071" s="12"/>
      <c r="M7071" s="13"/>
    </row>
    <row r="7072" spans="12:13" x14ac:dyDescent="0.2">
      <c r="L7072" s="12"/>
      <c r="M7072" s="13"/>
    </row>
    <row r="7073" spans="12:13" x14ac:dyDescent="0.2">
      <c r="L7073" s="12"/>
      <c r="M7073" s="13"/>
    </row>
    <row r="7074" spans="12:13" x14ac:dyDescent="0.2">
      <c r="L7074" s="12"/>
      <c r="M7074" s="13"/>
    </row>
    <row r="7075" spans="12:13" x14ac:dyDescent="0.2">
      <c r="L7075" s="12"/>
      <c r="M7075" s="13"/>
    </row>
    <row r="7076" spans="12:13" x14ac:dyDescent="0.2">
      <c r="L7076" s="12"/>
      <c r="M7076" s="13"/>
    </row>
    <row r="7077" spans="12:13" x14ac:dyDescent="0.2">
      <c r="L7077" s="12"/>
      <c r="M7077" s="13"/>
    </row>
    <row r="7078" spans="12:13" x14ac:dyDescent="0.2">
      <c r="L7078" s="12"/>
      <c r="M7078" s="13"/>
    </row>
    <row r="7079" spans="12:13" x14ac:dyDescent="0.2">
      <c r="L7079" s="12"/>
      <c r="M7079" s="13"/>
    </row>
    <row r="7080" spans="12:13" x14ac:dyDescent="0.2">
      <c r="L7080" s="12"/>
      <c r="M7080" s="13"/>
    </row>
    <row r="7081" spans="12:13" x14ac:dyDescent="0.2">
      <c r="L7081" s="12"/>
      <c r="M7081" s="13"/>
    </row>
    <row r="7082" spans="12:13" x14ac:dyDescent="0.2">
      <c r="L7082" s="12"/>
      <c r="M7082" s="13"/>
    </row>
    <row r="7083" spans="12:13" x14ac:dyDescent="0.2">
      <c r="L7083" s="12"/>
      <c r="M7083" s="13"/>
    </row>
    <row r="7084" spans="12:13" x14ac:dyDescent="0.2">
      <c r="L7084" s="12"/>
      <c r="M7084" s="13"/>
    </row>
    <row r="7085" spans="12:13" x14ac:dyDescent="0.2">
      <c r="L7085" s="12"/>
      <c r="M7085" s="13"/>
    </row>
    <row r="7086" spans="12:13" x14ac:dyDescent="0.2">
      <c r="L7086" s="12"/>
      <c r="M7086" s="13"/>
    </row>
    <row r="7087" spans="12:13" x14ac:dyDescent="0.2">
      <c r="L7087" s="12"/>
      <c r="M7087" s="13"/>
    </row>
    <row r="7088" spans="12:13" x14ac:dyDescent="0.2">
      <c r="L7088" s="12"/>
      <c r="M7088" s="13"/>
    </row>
    <row r="7089" spans="12:13" x14ac:dyDescent="0.2">
      <c r="L7089" s="12"/>
      <c r="M7089" s="13"/>
    </row>
    <row r="7090" spans="12:13" x14ac:dyDescent="0.2">
      <c r="L7090" s="12"/>
      <c r="M7090" s="13"/>
    </row>
    <row r="7091" spans="12:13" x14ac:dyDescent="0.2">
      <c r="L7091" s="12"/>
      <c r="M7091" s="13"/>
    </row>
    <row r="7092" spans="12:13" x14ac:dyDescent="0.2">
      <c r="L7092" s="12"/>
      <c r="M7092" s="13"/>
    </row>
    <row r="7093" spans="12:13" x14ac:dyDescent="0.2">
      <c r="L7093" s="12"/>
      <c r="M7093" s="13"/>
    </row>
    <row r="7094" spans="12:13" x14ac:dyDescent="0.2">
      <c r="L7094" s="12"/>
      <c r="M7094" s="13"/>
    </row>
    <row r="7095" spans="12:13" x14ac:dyDescent="0.2">
      <c r="L7095" s="12"/>
      <c r="M7095" s="13"/>
    </row>
    <row r="7096" spans="12:13" x14ac:dyDescent="0.2">
      <c r="L7096" s="12"/>
      <c r="M7096" s="13"/>
    </row>
    <row r="7097" spans="12:13" x14ac:dyDescent="0.2">
      <c r="L7097" s="12"/>
      <c r="M7097" s="13"/>
    </row>
    <row r="7098" spans="12:13" x14ac:dyDescent="0.2">
      <c r="L7098" s="12"/>
      <c r="M7098" s="13"/>
    </row>
    <row r="7099" spans="12:13" x14ac:dyDescent="0.2">
      <c r="L7099" s="12"/>
      <c r="M7099" s="13"/>
    </row>
    <row r="7100" spans="12:13" x14ac:dyDescent="0.2">
      <c r="L7100" s="12"/>
      <c r="M7100" s="13"/>
    </row>
    <row r="7101" spans="12:13" x14ac:dyDescent="0.2">
      <c r="L7101" s="12"/>
      <c r="M7101" s="13"/>
    </row>
    <row r="7102" spans="12:13" x14ac:dyDescent="0.2">
      <c r="L7102" s="12"/>
      <c r="M7102" s="13"/>
    </row>
    <row r="7103" spans="12:13" x14ac:dyDescent="0.2">
      <c r="L7103" s="12"/>
      <c r="M7103" s="13"/>
    </row>
    <row r="7104" spans="12:13" x14ac:dyDescent="0.2">
      <c r="L7104" s="12"/>
      <c r="M7104" s="13"/>
    </row>
    <row r="7105" spans="12:13" x14ac:dyDescent="0.2">
      <c r="L7105" s="12"/>
      <c r="M7105" s="13"/>
    </row>
    <row r="7106" spans="12:13" x14ac:dyDescent="0.2">
      <c r="L7106" s="12"/>
      <c r="M7106" s="13"/>
    </row>
    <row r="7107" spans="12:13" x14ac:dyDescent="0.2">
      <c r="L7107" s="12"/>
      <c r="M7107" s="13"/>
    </row>
    <row r="7108" spans="12:13" x14ac:dyDescent="0.2">
      <c r="L7108" s="12"/>
      <c r="M7108" s="13"/>
    </row>
    <row r="7109" spans="12:13" x14ac:dyDescent="0.2">
      <c r="L7109" s="12"/>
      <c r="M7109" s="13"/>
    </row>
    <row r="7110" spans="12:13" x14ac:dyDescent="0.2">
      <c r="L7110" s="12"/>
      <c r="M7110" s="13"/>
    </row>
    <row r="7111" spans="12:13" x14ac:dyDescent="0.2">
      <c r="L7111" s="12"/>
      <c r="M7111" s="13"/>
    </row>
    <row r="7112" spans="12:13" x14ac:dyDescent="0.2">
      <c r="L7112" s="12"/>
      <c r="M7112" s="13"/>
    </row>
    <row r="7113" spans="12:13" x14ac:dyDescent="0.2">
      <c r="L7113" s="12"/>
      <c r="M7113" s="13"/>
    </row>
    <row r="7114" spans="12:13" x14ac:dyDescent="0.2">
      <c r="L7114" s="12"/>
      <c r="M7114" s="13"/>
    </row>
    <row r="7115" spans="12:13" x14ac:dyDescent="0.2">
      <c r="L7115" s="12"/>
      <c r="M7115" s="13"/>
    </row>
    <row r="7116" spans="12:13" x14ac:dyDescent="0.2">
      <c r="L7116" s="12"/>
      <c r="M7116" s="13"/>
    </row>
    <row r="7117" spans="12:13" x14ac:dyDescent="0.2">
      <c r="L7117" s="12"/>
      <c r="M7117" s="13"/>
    </row>
    <row r="7118" spans="12:13" x14ac:dyDescent="0.2">
      <c r="L7118" s="12"/>
      <c r="M7118" s="13"/>
    </row>
    <row r="7119" spans="12:13" x14ac:dyDescent="0.2">
      <c r="L7119" s="12"/>
      <c r="M7119" s="13"/>
    </row>
    <row r="7120" spans="12:13" x14ac:dyDescent="0.2">
      <c r="L7120" s="12"/>
      <c r="M7120" s="13"/>
    </row>
    <row r="7121" spans="12:13" x14ac:dyDescent="0.2">
      <c r="L7121" s="12"/>
      <c r="M7121" s="13"/>
    </row>
    <row r="7122" spans="12:13" x14ac:dyDescent="0.2">
      <c r="L7122" s="12"/>
      <c r="M7122" s="13"/>
    </row>
    <row r="7123" spans="12:13" x14ac:dyDescent="0.2">
      <c r="L7123" s="12"/>
      <c r="M7123" s="13"/>
    </row>
    <row r="7124" spans="12:13" x14ac:dyDescent="0.2">
      <c r="L7124" s="12"/>
      <c r="M7124" s="13"/>
    </row>
    <row r="7125" spans="12:13" x14ac:dyDescent="0.2">
      <c r="L7125" s="12"/>
      <c r="M7125" s="13"/>
    </row>
    <row r="7126" spans="12:13" x14ac:dyDescent="0.2">
      <c r="L7126" s="12"/>
      <c r="M7126" s="13"/>
    </row>
    <row r="7127" spans="12:13" x14ac:dyDescent="0.2">
      <c r="L7127" s="12"/>
      <c r="M7127" s="13"/>
    </row>
    <row r="7128" spans="12:13" x14ac:dyDescent="0.2">
      <c r="L7128" s="12"/>
      <c r="M7128" s="13"/>
    </row>
    <row r="7129" spans="12:13" x14ac:dyDescent="0.2">
      <c r="L7129" s="12"/>
      <c r="M7129" s="13"/>
    </row>
    <row r="7130" spans="12:13" x14ac:dyDescent="0.2">
      <c r="L7130" s="12"/>
      <c r="M7130" s="13"/>
    </row>
    <row r="7131" spans="12:13" x14ac:dyDescent="0.2">
      <c r="L7131" s="12"/>
      <c r="M7131" s="13"/>
    </row>
    <row r="7132" spans="12:13" x14ac:dyDescent="0.2">
      <c r="L7132" s="12"/>
      <c r="M7132" s="13"/>
    </row>
    <row r="7133" spans="12:13" x14ac:dyDescent="0.2">
      <c r="L7133" s="12"/>
      <c r="M7133" s="13"/>
    </row>
    <row r="7134" spans="12:13" x14ac:dyDescent="0.2">
      <c r="L7134" s="12"/>
      <c r="M7134" s="13"/>
    </row>
    <row r="7135" spans="12:13" x14ac:dyDescent="0.2">
      <c r="L7135" s="12"/>
      <c r="M7135" s="13"/>
    </row>
    <row r="7136" spans="12:13" x14ac:dyDescent="0.2">
      <c r="L7136" s="12"/>
      <c r="M7136" s="13"/>
    </row>
    <row r="7137" spans="12:13" x14ac:dyDescent="0.2">
      <c r="L7137" s="12"/>
      <c r="M7137" s="13"/>
    </row>
    <row r="7138" spans="12:13" x14ac:dyDescent="0.2">
      <c r="L7138" s="12"/>
      <c r="M7138" s="13"/>
    </row>
    <row r="7139" spans="12:13" x14ac:dyDescent="0.2">
      <c r="L7139" s="12"/>
      <c r="M7139" s="13"/>
    </row>
    <row r="7140" spans="12:13" x14ac:dyDescent="0.2">
      <c r="L7140" s="12"/>
      <c r="M7140" s="13"/>
    </row>
    <row r="7141" spans="12:13" x14ac:dyDescent="0.2">
      <c r="L7141" s="12"/>
      <c r="M7141" s="13"/>
    </row>
    <row r="7142" spans="12:13" x14ac:dyDescent="0.2">
      <c r="L7142" s="12"/>
      <c r="M7142" s="13"/>
    </row>
    <row r="7143" spans="12:13" x14ac:dyDescent="0.2">
      <c r="L7143" s="12"/>
      <c r="M7143" s="13"/>
    </row>
    <row r="7144" spans="12:13" x14ac:dyDescent="0.2">
      <c r="L7144" s="12"/>
      <c r="M7144" s="13"/>
    </row>
    <row r="7145" spans="12:13" x14ac:dyDescent="0.2">
      <c r="L7145" s="12"/>
      <c r="M7145" s="13"/>
    </row>
    <row r="7146" spans="12:13" x14ac:dyDescent="0.2">
      <c r="L7146" s="12"/>
      <c r="M7146" s="13"/>
    </row>
    <row r="7147" spans="12:13" x14ac:dyDescent="0.2">
      <c r="L7147" s="12"/>
      <c r="M7147" s="13"/>
    </row>
    <row r="7148" spans="12:13" x14ac:dyDescent="0.2">
      <c r="L7148" s="12"/>
      <c r="M7148" s="13"/>
    </row>
    <row r="7149" spans="12:13" x14ac:dyDescent="0.2">
      <c r="L7149" s="12"/>
      <c r="M7149" s="13"/>
    </row>
    <row r="7150" spans="12:13" x14ac:dyDescent="0.2">
      <c r="L7150" s="12"/>
      <c r="M7150" s="13"/>
    </row>
    <row r="7151" spans="12:13" x14ac:dyDescent="0.2">
      <c r="L7151" s="12"/>
      <c r="M7151" s="13"/>
    </row>
    <row r="7152" spans="12:13" x14ac:dyDescent="0.2">
      <c r="L7152" s="12"/>
      <c r="M7152" s="13"/>
    </row>
    <row r="7153" spans="12:13" x14ac:dyDescent="0.2">
      <c r="L7153" s="12"/>
      <c r="M7153" s="13"/>
    </row>
    <row r="7154" spans="12:13" x14ac:dyDescent="0.2">
      <c r="L7154" s="12"/>
      <c r="M7154" s="13"/>
    </row>
    <row r="7155" spans="12:13" x14ac:dyDescent="0.2">
      <c r="L7155" s="12"/>
      <c r="M7155" s="13"/>
    </row>
    <row r="7156" spans="12:13" x14ac:dyDescent="0.2">
      <c r="L7156" s="12"/>
      <c r="M7156" s="13"/>
    </row>
    <row r="7157" spans="12:13" x14ac:dyDescent="0.2">
      <c r="L7157" s="12"/>
      <c r="M7157" s="13"/>
    </row>
    <row r="7158" spans="12:13" x14ac:dyDescent="0.2">
      <c r="L7158" s="12"/>
      <c r="M7158" s="13"/>
    </row>
    <row r="7159" spans="12:13" x14ac:dyDescent="0.2">
      <c r="L7159" s="12"/>
      <c r="M7159" s="13"/>
    </row>
    <row r="7160" spans="12:13" x14ac:dyDescent="0.2">
      <c r="L7160" s="12"/>
      <c r="M7160" s="13"/>
    </row>
    <row r="7161" spans="12:13" x14ac:dyDescent="0.2">
      <c r="L7161" s="12"/>
      <c r="M7161" s="13"/>
    </row>
    <row r="7162" spans="12:13" x14ac:dyDescent="0.2">
      <c r="L7162" s="12"/>
      <c r="M7162" s="13"/>
    </row>
    <row r="7163" spans="12:13" x14ac:dyDescent="0.2">
      <c r="L7163" s="12"/>
      <c r="M7163" s="13"/>
    </row>
    <row r="7164" spans="12:13" x14ac:dyDescent="0.2">
      <c r="L7164" s="12"/>
      <c r="M7164" s="13"/>
    </row>
    <row r="7165" spans="12:13" x14ac:dyDescent="0.2">
      <c r="L7165" s="12"/>
      <c r="M7165" s="13"/>
    </row>
    <row r="7166" spans="12:13" x14ac:dyDescent="0.2">
      <c r="L7166" s="12"/>
      <c r="M7166" s="13"/>
    </row>
    <row r="7167" spans="12:13" x14ac:dyDescent="0.2">
      <c r="L7167" s="12"/>
      <c r="M7167" s="13"/>
    </row>
    <row r="7168" spans="12:13" x14ac:dyDescent="0.2">
      <c r="L7168" s="12"/>
      <c r="M7168" s="13"/>
    </row>
    <row r="7169" spans="12:13" x14ac:dyDescent="0.2">
      <c r="L7169" s="12"/>
      <c r="M7169" s="13"/>
    </row>
    <row r="7170" spans="12:13" x14ac:dyDescent="0.2">
      <c r="L7170" s="17"/>
      <c r="M7170" s="18"/>
    </row>
    <row r="7171" spans="12:13" x14ac:dyDescent="0.2">
      <c r="L7171" s="12"/>
      <c r="M7171" s="13"/>
    </row>
    <row r="7172" spans="12:13" x14ac:dyDescent="0.2">
      <c r="L7172" s="12"/>
      <c r="M7172" s="13"/>
    </row>
    <row r="7173" spans="12:13" x14ac:dyDescent="0.2">
      <c r="L7173" s="12"/>
      <c r="M7173" s="13"/>
    </row>
    <row r="7174" spans="12:13" x14ac:dyDescent="0.2">
      <c r="L7174" s="12"/>
      <c r="M7174" s="13"/>
    </row>
    <row r="7175" spans="12:13" x14ac:dyDescent="0.2">
      <c r="L7175" s="12"/>
      <c r="M7175" s="13"/>
    </row>
    <row r="7176" spans="12:13" x14ac:dyDescent="0.2">
      <c r="L7176" s="12"/>
      <c r="M7176" s="13"/>
    </row>
    <row r="7177" spans="12:13" x14ac:dyDescent="0.2">
      <c r="L7177" s="12"/>
      <c r="M7177" s="13"/>
    </row>
    <row r="7178" spans="12:13" x14ac:dyDescent="0.2">
      <c r="L7178" s="12"/>
      <c r="M7178" s="13"/>
    </row>
    <row r="7179" spans="12:13" x14ac:dyDescent="0.2">
      <c r="L7179" s="12"/>
      <c r="M7179" s="13"/>
    </row>
    <row r="7180" spans="12:13" x14ac:dyDescent="0.2">
      <c r="L7180" s="12"/>
      <c r="M7180" s="13"/>
    </row>
    <row r="7181" spans="12:13" x14ac:dyDescent="0.2">
      <c r="L7181" s="12"/>
      <c r="M7181" s="13"/>
    </row>
    <row r="7182" spans="12:13" x14ac:dyDescent="0.2">
      <c r="L7182" s="12"/>
      <c r="M7182" s="13"/>
    </row>
    <row r="7183" spans="12:13" x14ac:dyDescent="0.2">
      <c r="L7183" s="12"/>
      <c r="M7183" s="13"/>
    </row>
    <row r="7184" spans="12:13" x14ac:dyDescent="0.2">
      <c r="L7184" s="12"/>
      <c r="M7184" s="13"/>
    </row>
    <row r="7185" spans="12:13" x14ac:dyDescent="0.2">
      <c r="L7185" s="12"/>
      <c r="M7185" s="13"/>
    </row>
    <row r="7186" spans="12:13" x14ac:dyDescent="0.2">
      <c r="L7186" s="12"/>
      <c r="M7186" s="13"/>
    </row>
    <row r="7187" spans="12:13" x14ac:dyDescent="0.2">
      <c r="L7187" s="12"/>
      <c r="M7187" s="13"/>
    </row>
    <row r="7188" spans="12:13" x14ac:dyDescent="0.2">
      <c r="L7188" s="12"/>
      <c r="M7188" s="13"/>
    </row>
    <row r="7189" spans="12:13" x14ac:dyDescent="0.2">
      <c r="L7189" s="12"/>
      <c r="M7189" s="13"/>
    </row>
    <row r="7190" spans="12:13" x14ac:dyDescent="0.2">
      <c r="L7190" s="12"/>
      <c r="M7190" s="13"/>
    </row>
    <row r="7191" spans="12:13" x14ac:dyDescent="0.2">
      <c r="L7191" s="12"/>
      <c r="M7191" s="13"/>
    </row>
    <row r="7192" spans="12:13" x14ac:dyDescent="0.2">
      <c r="L7192" s="12"/>
      <c r="M7192" s="13"/>
    </row>
    <row r="7193" spans="12:13" x14ac:dyDescent="0.2">
      <c r="L7193" s="12"/>
      <c r="M7193" s="13"/>
    </row>
    <row r="7194" spans="12:13" x14ac:dyDescent="0.2">
      <c r="L7194" s="12"/>
      <c r="M7194" s="13"/>
    </row>
    <row r="7195" spans="12:13" x14ac:dyDescent="0.2">
      <c r="L7195" s="12"/>
      <c r="M7195" s="13"/>
    </row>
    <row r="7196" spans="12:13" x14ac:dyDescent="0.2">
      <c r="L7196" s="12"/>
      <c r="M7196" s="13"/>
    </row>
    <row r="7197" spans="12:13" x14ac:dyDescent="0.2">
      <c r="L7197" s="12"/>
      <c r="M7197" s="13"/>
    </row>
    <row r="7198" spans="12:13" x14ac:dyDescent="0.2">
      <c r="L7198" s="12"/>
      <c r="M7198" s="13"/>
    </row>
    <row r="7199" spans="12:13" x14ac:dyDescent="0.2">
      <c r="L7199" s="12"/>
      <c r="M7199" s="13"/>
    </row>
    <row r="7200" spans="12:13" x14ac:dyDescent="0.2">
      <c r="L7200" s="12"/>
      <c r="M7200" s="13"/>
    </row>
    <row r="7201" spans="12:13" x14ac:dyDescent="0.2">
      <c r="L7201" s="12"/>
      <c r="M7201" s="13"/>
    </row>
    <row r="7202" spans="12:13" x14ac:dyDescent="0.2">
      <c r="L7202" s="12"/>
      <c r="M7202" s="13"/>
    </row>
    <row r="7203" spans="12:13" x14ac:dyDescent="0.2">
      <c r="L7203" s="12"/>
      <c r="M7203" s="13"/>
    </row>
    <row r="7204" spans="12:13" x14ac:dyDescent="0.2">
      <c r="L7204" s="12"/>
      <c r="M7204" s="13"/>
    </row>
    <row r="7205" spans="12:13" x14ac:dyDescent="0.2">
      <c r="L7205" s="12"/>
      <c r="M7205" s="13"/>
    </row>
    <row r="7206" spans="12:13" x14ac:dyDescent="0.2">
      <c r="L7206" s="12"/>
      <c r="M7206" s="13"/>
    </row>
    <row r="7207" spans="12:13" x14ac:dyDescent="0.2">
      <c r="L7207" s="12"/>
      <c r="M7207" s="13"/>
    </row>
    <row r="7208" spans="12:13" x14ac:dyDescent="0.2">
      <c r="L7208" s="12"/>
      <c r="M7208" s="13"/>
    </row>
    <row r="7209" spans="12:13" x14ac:dyDescent="0.2">
      <c r="L7209" s="12"/>
      <c r="M7209" s="13"/>
    </row>
    <row r="7210" spans="12:13" x14ac:dyDescent="0.2">
      <c r="L7210" s="12"/>
      <c r="M7210" s="13"/>
    </row>
    <row r="7211" spans="12:13" x14ac:dyDescent="0.2">
      <c r="L7211" s="12"/>
      <c r="M7211" s="13"/>
    </row>
    <row r="7212" spans="12:13" x14ac:dyDescent="0.2">
      <c r="L7212" s="12"/>
      <c r="M7212" s="13"/>
    </row>
    <row r="7213" spans="12:13" x14ac:dyDescent="0.2">
      <c r="L7213" s="12"/>
      <c r="M7213" s="13"/>
    </row>
    <row r="7214" spans="12:13" x14ac:dyDescent="0.2">
      <c r="L7214" s="12"/>
      <c r="M7214" s="13"/>
    </row>
    <row r="7215" spans="12:13" x14ac:dyDescent="0.2">
      <c r="L7215" s="12"/>
      <c r="M7215" s="13"/>
    </row>
    <row r="7216" spans="12:13" x14ac:dyDescent="0.2">
      <c r="L7216" s="12"/>
      <c r="M7216" s="13"/>
    </row>
    <row r="7217" spans="12:13" x14ac:dyDescent="0.2">
      <c r="L7217" s="12"/>
      <c r="M7217" s="13"/>
    </row>
    <row r="7218" spans="12:13" x14ac:dyDescent="0.2">
      <c r="L7218" s="12"/>
      <c r="M7218" s="13"/>
    </row>
    <row r="7219" spans="12:13" x14ac:dyDescent="0.2">
      <c r="L7219" s="12"/>
      <c r="M7219" s="13"/>
    </row>
    <row r="7220" spans="12:13" x14ac:dyDescent="0.2">
      <c r="L7220" s="12"/>
      <c r="M7220" s="13"/>
    </row>
    <row r="7221" spans="12:13" x14ac:dyDescent="0.2">
      <c r="L7221" s="12"/>
      <c r="M7221" s="13"/>
    </row>
    <row r="7222" spans="12:13" x14ac:dyDescent="0.2">
      <c r="L7222" s="12"/>
      <c r="M7222" s="13"/>
    </row>
    <row r="7223" spans="12:13" x14ac:dyDescent="0.2">
      <c r="L7223" s="12"/>
      <c r="M7223" s="13"/>
    </row>
    <row r="7224" spans="12:13" x14ac:dyDescent="0.2">
      <c r="L7224" s="12"/>
      <c r="M7224" s="13"/>
    </row>
    <row r="7225" spans="12:13" x14ac:dyDescent="0.2">
      <c r="L7225" s="12"/>
      <c r="M7225" s="13"/>
    </row>
    <row r="7226" spans="12:13" x14ac:dyDescent="0.2">
      <c r="L7226" s="12"/>
      <c r="M7226" s="13"/>
    </row>
    <row r="7227" spans="12:13" x14ac:dyDescent="0.2">
      <c r="L7227" s="12"/>
      <c r="M7227" s="13"/>
    </row>
    <row r="7228" spans="12:13" x14ac:dyDescent="0.2">
      <c r="L7228" s="12"/>
      <c r="M7228" s="13"/>
    </row>
    <row r="7229" spans="12:13" x14ac:dyDescent="0.2">
      <c r="L7229" s="12"/>
      <c r="M7229" s="13"/>
    </row>
    <row r="7230" spans="12:13" x14ac:dyDescent="0.2">
      <c r="L7230" s="12"/>
      <c r="M7230" s="13"/>
    </row>
    <row r="7231" spans="12:13" x14ac:dyDescent="0.2">
      <c r="L7231" s="12"/>
      <c r="M7231" s="13"/>
    </row>
    <row r="7232" spans="12:13" x14ac:dyDescent="0.2">
      <c r="L7232" s="12"/>
      <c r="M7232" s="13"/>
    </row>
    <row r="7233" spans="12:13" x14ac:dyDescent="0.2">
      <c r="L7233" s="12"/>
      <c r="M7233" s="13"/>
    </row>
    <row r="7234" spans="12:13" x14ac:dyDescent="0.2">
      <c r="L7234" s="12"/>
      <c r="M7234" s="13"/>
    </row>
    <row r="7235" spans="12:13" x14ac:dyDescent="0.2">
      <c r="L7235" s="12"/>
      <c r="M7235" s="13"/>
    </row>
    <row r="7236" spans="12:13" x14ac:dyDescent="0.2">
      <c r="L7236" s="12"/>
      <c r="M7236" s="13"/>
    </row>
    <row r="7237" spans="12:13" x14ac:dyDescent="0.2">
      <c r="L7237" s="12"/>
      <c r="M7237" s="13"/>
    </row>
    <row r="7238" spans="12:13" x14ac:dyDescent="0.2">
      <c r="L7238" s="12"/>
      <c r="M7238" s="13"/>
    </row>
    <row r="7239" spans="12:13" x14ac:dyDescent="0.2">
      <c r="L7239" s="12"/>
      <c r="M7239" s="13"/>
    </row>
    <row r="7240" spans="12:13" x14ac:dyDescent="0.2">
      <c r="L7240" s="12"/>
      <c r="M7240" s="13"/>
    </row>
    <row r="7241" spans="12:13" x14ac:dyDescent="0.2">
      <c r="L7241" s="12"/>
      <c r="M7241" s="13"/>
    </row>
    <row r="7242" spans="12:13" x14ac:dyDescent="0.2">
      <c r="L7242" s="12"/>
      <c r="M7242" s="13"/>
    </row>
    <row r="7243" spans="12:13" x14ac:dyDescent="0.2">
      <c r="L7243" s="12"/>
      <c r="M7243" s="13"/>
    </row>
    <row r="7244" spans="12:13" x14ac:dyDescent="0.2">
      <c r="L7244" s="12"/>
      <c r="M7244" s="13"/>
    </row>
    <row r="7245" spans="12:13" x14ac:dyDescent="0.2">
      <c r="L7245" s="12"/>
      <c r="M7245" s="13"/>
    </row>
    <row r="7246" spans="12:13" x14ac:dyDescent="0.2">
      <c r="L7246" s="12"/>
      <c r="M7246" s="13"/>
    </row>
    <row r="7247" spans="12:13" x14ac:dyDescent="0.2">
      <c r="L7247" s="12"/>
      <c r="M7247" s="13"/>
    </row>
    <row r="7248" spans="12:13" x14ac:dyDescent="0.2">
      <c r="L7248" s="12"/>
      <c r="M7248" s="13"/>
    </row>
    <row r="7249" spans="12:13" x14ac:dyDescent="0.2">
      <c r="L7249" s="12"/>
      <c r="M7249" s="13"/>
    </row>
    <row r="7250" spans="12:13" x14ac:dyDescent="0.2">
      <c r="L7250" s="12"/>
      <c r="M7250" s="13"/>
    </row>
    <row r="7251" spans="12:13" x14ac:dyDescent="0.2">
      <c r="L7251" s="12"/>
      <c r="M7251" s="13"/>
    </row>
    <row r="7252" spans="12:13" x14ac:dyDescent="0.2">
      <c r="L7252" s="12"/>
      <c r="M7252" s="13"/>
    </row>
    <row r="7253" spans="12:13" x14ac:dyDescent="0.2">
      <c r="L7253" s="12"/>
      <c r="M7253" s="13"/>
    </row>
    <row r="7254" spans="12:13" x14ac:dyDescent="0.2">
      <c r="L7254" s="12"/>
      <c r="M7254" s="13"/>
    </row>
    <row r="7255" spans="12:13" x14ac:dyDescent="0.2">
      <c r="L7255" s="12"/>
      <c r="M7255" s="13"/>
    </row>
    <row r="7256" spans="12:13" x14ac:dyDescent="0.2">
      <c r="L7256" s="12"/>
      <c r="M7256" s="13"/>
    </row>
    <row r="7257" spans="12:13" x14ac:dyDescent="0.2">
      <c r="L7257" s="12"/>
      <c r="M7257" s="13"/>
    </row>
    <row r="7258" spans="12:13" x14ac:dyDescent="0.2">
      <c r="L7258" s="12"/>
      <c r="M7258" s="13"/>
    </row>
    <row r="7259" spans="12:13" x14ac:dyDescent="0.2">
      <c r="L7259" s="12"/>
      <c r="M7259" s="13"/>
    </row>
    <row r="7260" spans="12:13" x14ac:dyDescent="0.2">
      <c r="L7260" s="12"/>
      <c r="M7260" s="13"/>
    </row>
    <row r="7261" spans="12:13" x14ac:dyDescent="0.2">
      <c r="L7261" s="12"/>
      <c r="M7261" s="13"/>
    </row>
    <row r="7262" spans="12:13" x14ac:dyDescent="0.2">
      <c r="L7262" s="12"/>
      <c r="M7262" s="13"/>
    </row>
    <row r="7263" spans="12:13" x14ac:dyDescent="0.2">
      <c r="L7263" s="12"/>
      <c r="M7263" s="13"/>
    </row>
    <row r="7264" spans="12:13" x14ac:dyDescent="0.2">
      <c r="L7264" s="12"/>
      <c r="M7264" s="13"/>
    </row>
    <row r="7265" spans="12:13" x14ac:dyDescent="0.2">
      <c r="L7265" s="12"/>
      <c r="M7265" s="13"/>
    </row>
    <row r="7266" spans="12:13" x14ac:dyDescent="0.2">
      <c r="L7266" s="12"/>
      <c r="M7266" s="13"/>
    </row>
    <row r="7267" spans="12:13" x14ac:dyDescent="0.2">
      <c r="L7267" s="12"/>
      <c r="M7267" s="13"/>
    </row>
    <row r="7268" spans="12:13" x14ac:dyDescent="0.2">
      <c r="L7268" s="12"/>
      <c r="M7268" s="13"/>
    </row>
    <row r="7269" spans="12:13" x14ac:dyDescent="0.2">
      <c r="L7269" s="12"/>
      <c r="M7269" s="13"/>
    </row>
    <row r="7270" spans="12:13" x14ac:dyDescent="0.2">
      <c r="L7270" s="12"/>
      <c r="M7270" s="13"/>
    </row>
    <row r="7271" spans="12:13" x14ac:dyDescent="0.2">
      <c r="L7271" s="12"/>
      <c r="M7271" s="13"/>
    </row>
    <row r="7272" spans="12:13" x14ac:dyDescent="0.2">
      <c r="L7272" s="12"/>
      <c r="M7272" s="13"/>
    </row>
    <row r="7273" spans="12:13" x14ac:dyDescent="0.2">
      <c r="L7273" s="12"/>
      <c r="M7273" s="13"/>
    </row>
    <row r="7274" spans="12:13" x14ac:dyDescent="0.2">
      <c r="L7274" s="12"/>
      <c r="M7274" s="13"/>
    </row>
    <row r="7275" spans="12:13" x14ac:dyDescent="0.2">
      <c r="L7275" s="12"/>
      <c r="M7275" s="13"/>
    </row>
    <row r="7276" spans="12:13" x14ac:dyDescent="0.2">
      <c r="L7276" s="12"/>
      <c r="M7276" s="13"/>
    </row>
    <row r="7277" spans="12:13" x14ac:dyDescent="0.2">
      <c r="L7277" s="12"/>
      <c r="M7277" s="13"/>
    </row>
    <row r="7278" spans="12:13" x14ac:dyDescent="0.2">
      <c r="L7278" s="12"/>
      <c r="M7278" s="13"/>
    </row>
    <row r="7279" spans="12:13" x14ac:dyDescent="0.2">
      <c r="L7279" s="12"/>
      <c r="M7279" s="13"/>
    </row>
    <row r="7280" spans="12:13" x14ac:dyDescent="0.2">
      <c r="L7280" s="12"/>
      <c r="M7280" s="13"/>
    </row>
    <row r="7281" spans="12:13" x14ac:dyDescent="0.2">
      <c r="L7281" s="12"/>
      <c r="M7281" s="13"/>
    </row>
    <row r="7282" spans="12:13" x14ac:dyDescent="0.2">
      <c r="L7282" s="12"/>
      <c r="M7282" s="13"/>
    </row>
    <row r="7283" spans="12:13" x14ac:dyDescent="0.2">
      <c r="L7283" s="12"/>
      <c r="M7283" s="13"/>
    </row>
    <row r="7284" spans="12:13" x14ac:dyDescent="0.2">
      <c r="L7284" s="12"/>
      <c r="M7284" s="13"/>
    </row>
    <row r="7285" spans="12:13" x14ac:dyDescent="0.2">
      <c r="L7285" s="12"/>
      <c r="M7285" s="13"/>
    </row>
    <row r="7286" spans="12:13" x14ac:dyDescent="0.2">
      <c r="L7286" s="12"/>
      <c r="M7286" s="13"/>
    </row>
    <row r="7287" spans="12:13" x14ac:dyDescent="0.2">
      <c r="L7287" s="12"/>
      <c r="M7287" s="13"/>
    </row>
    <row r="7288" spans="12:13" x14ac:dyDescent="0.2">
      <c r="L7288" s="12"/>
      <c r="M7288" s="13"/>
    </row>
    <row r="7289" spans="12:13" x14ac:dyDescent="0.2">
      <c r="L7289" s="12"/>
      <c r="M7289" s="13"/>
    </row>
    <row r="7290" spans="12:13" x14ac:dyDescent="0.2">
      <c r="L7290" s="12"/>
      <c r="M7290" s="13"/>
    </row>
    <row r="7291" spans="12:13" x14ac:dyDescent="0.2">
      <c r="L7291" s="12"/>
      <c r="M7291" s="13"/>
    </row>
    <row r="7292" spans="12:13" x14ac:dyDescent="0.2">
      <c r="L7292" s="12"/>
      <c r="M7292" s="13"/>
    </row>
    <row r="7293" spans="12:13" x14ac:dyDescent="0.2">
      <c r="L7293" s="12"/>
      <c r="M7293" s="13"/>
    </row>
    <row r="7294" spans="12:13" x14ac:dyDescent="0.2">
      <c r="L7294" s="12"/>
      <c r="M7294" s="13"/>
    </row>
    <row r="7295" spans="12:13" x14ac:dyDescent="0.2">
      <c r="L7295" s="12"/>
      <c r="M7295" s="13"/>
    </row>
    <row r="7296" spans="12:13" x14ac:dyDescent="0.2">
      <c r="L7296" s="12"/>
      <c r="M7296" s="13"/>
    </row>
    <row r="7297" spans="12:13" x14ac:dyDescent="0.2">
      <c r="L7297" s="12"/>
      <c r="M7297" s="13"/>
    </row>
    <row r="7298" spans="12:13" x14ac:dyDescent="0.2">
      <c r="L7298" s="12"/>
      <c r="M7298" s="13"/>
    </row>
    <row r="7299" spans="12:13" x14ac:dyDescent="0.2">
      <c r="L7299" s="12"/>
      <c r="M7299" s="13"/>
    </row>
    <row r="7300" spans="12:13" x14ac:dyDescent="0.2">
      <c r="L7300" s="12"/>
      <c r="M7300" s="13"/>
    </row>
    <row r="7301" spans="12:13" x14ac:dyDescent="0.2">
      <c r="L7301" s="12"/>
      <c r="M7301" s="13"/>
    </row>
    <row r="7302" spans="12:13" x14ac:dyDescent="0.2">
      <c r="L7302" s="12"/>
      <c r="M7302" s="13"/>
    </row>
    <row r="7303" spans="12:13" x14ac:dyDescent="0.2">
      <c r="L7303" s="12"/>
      <c r="M7303" s="13"/>
    </row>
    <row r="7304" spans="12:13" x14ac:dyDescent="0.2">
      <c r="L7304" s="12"/>
      <c r="M7304" s="13"/>
    </row>
    <row r="7305" spans="12:13" x14ac:dyDescent="0.2">
      <c r="L7305" s="12"/>
      <c r="M7305" s="13"/>
    </row>
    <row r="7306" spans="12:13" x14ac:dyDescent="0.2">
      <c r="L7306" s="12"/>
      <c r="M7306" s="13"/>
    </row>
    <row r="7307" spans="12:13" x14ac:dyDescent="0.2">
      <c r="L7307" s="12"/>
      <c r="M7307" s="13"/>
    </row>
    <row r="7308" spans="12:13" x14ac:dyDescent="0.2">
      <c r="L7308" s="12"/>
      <c r="M7308" s="13"/>
    </row>
    <row r="7309" spans="12:13" x14ac:dyDescent="0.2">
      <c r="L7309" s="12"/>
      <c r="M7309" s="13"/>
    </row>
    <row r="7310" spans="12:13" x14ac:dyDescent="0.2">
      <c r="L7310" s="12"/>
      <c r="M7310" s="13"/>
    </row>
    <row r="7311" spans="12:13" x14ac:dyDescent="0.2">
      <c r="L7311" s="12"/>
      <c r="M7311" s="13"/>
    </row>
    <row r="7312" spans="12:13" x14ac:dyDescent="0.2">
      <c r="L7312" s="12"/>
      <c r="M7312" s="13"/>
    </row>
    <row r="7313" spans="12:13" x14ac:dyDescent="0.2">
      <c r="L7313" s="12"/>
      <c r="M7313" s="13"/>
    </row>
    <row r="7314" spans="12:13" x14ac:dyDescent="0.2">
      <c r="L7314" s="12"/>
      <c r="M7314" s="13"/>
    </row>
    <row r="7315" spans="12:13" x14ac:dyDescent="0.2">
      <c r="L7315" s="12"/>
      <c r="M7315" s="13"/>
    </row>
    <row r="7316" spans="12:13" x14ac:dyDescent="0.2">
      <c r="L7316" s="12"/>
      <c r="M7316" s="13"/>
    </row>
    <row r="7317" spans="12:13" x14ac:dyDescent="0.2">
      <c r="L7317" s="12"/>
      <c r="M7317" s="13"/>
    </row>
    <row r="7318" spans="12:13" x14ac:dyDescent="0.2">
      <c r="L7318" s="12"/>
      <c r="M7318" s="13"/>
    </row>
    <row r="7319" spans="12:13" x14ac:dyDescent="0.2">
      <c r="L7319" s="12"/>
      <c r="M7319" s="13"/>
    </row>
    <row r="7320" spans="12:13" x14ac:dyDescent="0.2">
      <c r="L7320" s="12"/>
      <c r="M7320" s="13"/>
    </row>
    <row r="7321" spans="12:13" x14ac:dyDescent="0.2">
      <c r="L7321" s="12"/>
      <c r="M7321" s="13"/>
    </row>
    <row r="7322" spans="12:13" x14ac:dyDescent="0.2">
      <c r="L7322" s="12"/>
      <c r="M7322" s="13"/>
    </row>
    <row r="7323" spans="12:13" x14ac:dyDescent="0.2">
      <c r="L7323" s="12"/>
      <c r="M7323" s="13"/>
    </row>
    <row r="7324" spans="12:13" x14ac:dyDescent="0.2">
      <c r="L7324" s="12"/>
      <c r="M7324" s="13"/>
    </row>
    <row r="7325" spans="12:13" x14ac:dyDescent="0.2">
      <c r="L7325" s="12"/>
      <c r="M7325" s="13"/>
    </row>
    <row r="7326" spans="12:13" x14ac:dyDescent="0.2">
      <c r="L7326" s="12"/>
      <c r="M7326" s="13"/>
    </row>
    <row r="7327" spans="12:13" x14ac:dyDescent="0.2">
      <c r="L7327" s="12"/>
      <c r="M7327" s="13"/>
    </row>
    <row r="7328" spans="12:13" x14ac:dyDescent="0.2">
      <c r="L7328" s="12"/>
      <c r="M7328" s="13"/>
    </row>
    <row r="7329" spans="12:13" x14ac:dyDescent="0.2">
      <c r="L7329" s="12"/>
      <c r="M7329" s="13"/>
    </row>
    <row r="7330" spans="12:13" x14ac:dyDescent="0.2">
      <c r="L7330" s="12"/>
      <c r="M7330" s="13"/>
    </row>
    <row r="7331" spans="12:13" x14ac:dyDescent="0.2">
      <c r="L7331" s="12"/>
      <c r="M7331" s="13"/>
    </row>
    <row r="7332" spans="12:13" x14ac:dyDescent="0.2">
      <c r="L7332" s="12"/>
      <c r="M7332" s="13"/>
    </row>
    <row r="7333" spans="12:13" x14ac:dyDescent="0.2">
      <c r="L7333" s="12"/>
      <c r="M7333" s="13"/>
    </row>
    <row r="7334" spans="12:13" x14ac:dyDescent="0.2">
      <c r="L7334" s="12"/>
      <c r="M7334" s="13"/>
    </row>
    <row r="7335" spans="12:13" x14ac:dyDescent="0.2">
      <c r="L7335" s="12"/>
      <c r="M7335" s="13"/>
    </row>
    <row r="7336" spans="12:13" x14ac:dyDescent="0.2">
      <c r="L7336" s="12"/>
      <c r="M7336" s="13"/>
    </row>
    <row r="7337" spans="12:13" x14ac:dyDescent="0.2">
      <c r="L7337" s="12"/>
      <c r="M7337" s="13"/>
    </row>
    <row r="7338" spans="12:13" x14ac:dyDescent="0.2">
      <c r="L7338" s="12"/>
      <c r="M7338" s="13"/>
    </row>
    <row r="7339" spans="12:13" x14ac:dyDescent="0.2">
      <c r="L7339" s="12"/>
      <c r="M7339" s="13"/>
    </row>
    <row r="7340" spans="12:13" x14ac:dyDescent="0.2">
      <c r="L7340" s="12"/>
      <c r="M7340" s="13"/>
    </row>
    <row r="7341" spans="12:13" x14ac:dyDescent="0.2">
      <c r="L7341" s="12"/>
      <c r="M7341" s="13"/>
    </row>
    <row r="7342" spans="12:13" x14ac:dyDescent="0.2">
      <c r="L7342" s="12"/>
      <c r="M7342" s="13"/>
    </row>
    <row r="7343" spans="12:13" x14ac:dyDescent="0.2">
      <c r="L7343" s="12"/>
      <c r="M7343" s="13"/>
    </row>
    <row r="7344" spans="12:13" x14ac:dyDescent="0.2">
      <c r="L7344" s="12"/>
      <c r="M7344" s="13"/>
    </row>
    <row r="7345" spans="12:13" x14ac:dyDescent="0.2">
      <c r="L7345" s="12"/>
      <c r="M7345" s="13"/>
    </row>
    <row r="7346" spans="12:13" x14ac:dyDescent="0.2">
      <c r="L7346" s="12"/>
      <c r="M7346" s="13"/>
    </row>
    <row r="7347" spans="12:13" x14ac:dyDescent="0.2">
      <c r="L7347" s="12"/>
      <c r="M7347" s="13"/>
    </row>
    <row r="7348" spans="12:13" x14ac:dyDescent="0.2">
      <c r="L7348" s="12"/>
      <c r="M7348" s="13"/>
    </row>
    <row r="7349" spans="12:13" x14ac:dyDescent="0.2">
      <c r="L7349" s="12"/>
      <c r="M7349" s="13"/>
    </row>
    <row r="7350" spans="12:13" x14ac:dyDescent="0.2">
      <c r="L7350" s="12"/>
      <c r="M7350" s="13"/>
    </row>
    <row r="7351" spans="12:13" x14ac:dyDescent="0.2">
      <c r="L7351" s="12"/>
      <c r="M7351" s="13"/>
    </row>
    <row r="7352" spans="12:13" x14ac:dyDescent="0.2">
      <c r="L7352" s="12"/>
      <c r="M7352" s="13"/>
    </row>
    <row r="7353" spans="12:13" x14ac:dyDescent="0.2">
      <c r="L7353" s="12"/>
      <c r="M7353" s="13"/>
    </row>
    <row r="7354" spans="12:13" x14ac:dyDescent="0.2">
      <c r="L7354" s="12"/>
      <c r="M7354" s="13"/>
    </row>
    <row r="7355" spans="12:13" x14ac:dyDescent="0.2">
      <c r="L7355" s="12"/>
      <c r="M7355" s="13"/>
    </row>
    <row r="7356" spans="12:13" x14ac:dyDescent="0.2">
      <c r="L7356" s="12"/>
      <c r="M7356" s="13"/>
    </row>
    <row r="7357" spans="12:13" x14ac:dyDescent="0.2">
      <c r="L7357" s="12"/>
      <c r="M7357" s="13"/>
    </row>
    <row r="7358" spans="12:13" x14ac:dyDescent="0.2">
      <c r="L7358" s="12"/>
      <c r="M7358" s="13"/>
    </row>
    <row r="7359" spans="12:13" x14ac:dyDescent="0.2">
      <c r="L7359" s="12"/>
      <c r="M7359" s="13"/>
    </row>
    <row r="7360" spans="12:13" x14ac:dyDescent="0.2">
      <c r="L7360" s="12"/>
      <c r="M7360" s="13"/>
    </row>
    <row r="7361" spans="12:13" x14ac:dyDescent="0.2">
      <c r="L7361" s="12"/>
      <c r="M7361" s="13"/>
    </row>
    <row r="7362" spans="12:13" x14ac:dyDescent="0.2">
      <c r="L7362" s="12"/>
      <c r="M7362" s="13"/>
    </row>
    <row r="7363" spans="12:13" x14ac:dyDescent="0.2">
      <c r="L7363" s="12"/>
      <c r="M7363" s="13"/>
    </row>
    <row r="7364" spans="12:13" x14ac:dyDescent="0.2">
      <c r="L7364" s="12"/>
      <c r="M7364" s="13"/>
    </row>
    <row r="7365" spans="12:13" x14ac:dyDescent="0.2">
      <c r="L7365" s="12"/>
      <c r="M7365" s="13"/>
    </row>
    <row r="7366" spans="12:13" x14ac:dyDescent="0.2">
      <c r="L7366" s="12"/>
      <c r="M7366" s="13"/>
    </row>
    <row r="7367" spans="12:13" x14ac:dyDescent="0.2">
      <c r="L7367" s="12"/>
      <c r="M7367" s="13"/>
    </row>
    <row r="7368" spans="12:13" x14ac:dyDescent="0.2">
      <c r="L7368" s="12"/>
      <c r="M7368" s="13"/>
    </row>
    <row r="7369" spans="12:13" x14ac:dyDescent="0.2">
      <c r="L7369" s="12"/>
      <c r="M7369" s="13"/>
    </row>
    <row r="7370" spans="12:13" x14ac:dyDescent="0.2">
      <c r="L7370" s="12"/>
      <c r="M7370" s="13"/>
    </row>
    <row r="7371" spans="12:13" x14ac:dyDescent="0.2">
      <c r="L7371" s="12"/>
      <c r="M7371" s="13"/>
    </row>
    <row r="7372" spans="12:13" x14ac:dyDescent="0.2">
      <c r="L7372" s="12"/>
      <c r="M7372" s="13"/>
    </row>
    <row r="7373" spans="12:13" x14ac:dyDescent="0.2">
      <c r="L7373" s="12"/>
      <c r="M7373" s="13"/>
    </row>
    <row r="7374" spans="12:13" x14ac:dyDescent="0.2">
      <c r="L7374" s="12"/>
      <c r="M7374" s="13"/>
    </row>
    <row r="7375" spans="12:13" x14ac:dyDescent="0.2">
      <c r="L7375" s="12"/>
      <c r="M7375" s="13"/>
    </row>
    <row r="7376" spans="12:13" x14ac:dyDescent="0.2">
      <c r="L7376" s="12"/>
      <c r="M7376" s="13"/>
    </row>
    <row r="7377" spans="12:13" x14ac:dyDescent="0.2">
      <c r="L7377" s="12"/>
      <c r="M7377" s="13"/>
    </row>
    <row r="7378" spans="12:13" x14ac:dyDescent="0.2">
      <c r="L7378" s="12"/>
      <c r="M7378" s="13"/>
    </row>
    <row r="7379" spans="12:13" x14ac:dyDescent="0.2">
      <c r="L7379" s="12"/>
      <c r="M7379" s="13"/>
    </row>
    <row r="7380" spans="12:13" x14ac:dyDescent="0.2">
      <c r="L7380" s="12"/>
      <c r="M7380" s="13"/>
    </row>
    <row r="7381" spans="12:13" x14ac:dyDescent="0.2">
      <c r="L7381" s="12"/>
      <c r="M7381" s="13"/>
    </row>
    <row r="7382" spans="12:13" x14ac:dyDescent="0.2">
      <c r="L7382" s="12"/>
      <c r="M7382" s="13"/>
    </row>
    <row r="7383" spans="12:13" x14ac:dyDescent="0.2">
      <c r="L7383" s="12"/>
      <c r="M7383" s="13"/>
    </row>
    <row r="7384" spans="12:13" x14ac:dyDescent="0.2">
      <c r="L7384" s="12"/>
      <c r="M7384" s="13"/>
    </row>
    <row r="7385" spans="12:13" x14ac:dyDescent="0.2">
      <c r="L7385" s="12"/>
      <c r="M7385" s="13"/>
    </row>
    <row r="7386" spans="12:13" x14ac:dyDescent="0.2">
      <c r="L7386" s="12"/>
      <c r="M7386" s="13"/>
    </row>
    <row r="7387" spans="12:13" x14ac:dyDescent="0.2">
      <c r="L7387" s="12"/>
      <c r="M7387" s="13"/>
    </row>
    <row r="7388" spans="12:13" x14ac:dyDescent="0.2">
      <c r="L7388" s="12"/>
      <c r="M7388" s="13"/>
    </row>
    <row r="7389" spans="12:13" x14ac:dyDescent="0.2">
      <c r="L7389" s="12"/>
      <c r="M7389" s="13"/>
    </row>
    <row r="7390" spans="12:13" x14ac:dyDescent="0.2">
      <c r="L7390" s="12"/>
      <c r="M7390" s="13"/>
    </row>
    <row r="7391" spans="12:13" x14ac:dyDescent="0.2">
      <c r="L7391" s="12"/>
      <c r="M7391" s="13"/>
    </row>
    <row r="7392" spans="12:13" x14ac:dyDescent="0.2">
      <c r="L7392" s="12"/>
      <c r="M7392" s="13"/>
    </row>
    <row r="7393" spans="12:13" x14ac:dyDescent="0.2">
      <c r="L7393" s="12"/>
      <c r="M7393" s="13"/>
    </row>
    <row r="7394" spans="12:13" x14ac:dyDescent="0.2">
      <c r="L7394" s="12"/>
      <c r="M7394" s="13"/>
    </row>
    <row r="7395" spans="12:13" x14ac:dyDescent="0.2">
      <c r="L7395" s="12"/>
      <c r="M7395" s="13"/>
    </row>
    <row r="7396" spans="12:13" x14ac:dyDescent="0.2">
      <c r="L7396" s="12"/>
      <c r="M7396" s="13"/>
    </row>
    <row r="7397" spans="12:13" x14ac:dyDescent="0.2">
      <c r="L7397" s="12"/>
      <c r="M7397" s="13"/>
    </row>
    <row r="7398" spans="12:13" x14ac:dyDescent="0.2">
      <c r="L7398" s="12"/>
      <c r="M7398" s="13"/>
    </row>
    <row r="7399" spans="12:13" x14ac:dyDescent="0.2">
      <c r="L7399" s="12"/>
      <c r="M7399" s="13"/>
    </row>
    <row r="7400" spans="12:13" x14ac:dyDescent="0.2">
      <c r="L7400" s="12"/>
      <c r="M7400" s="13"/>
    </row>
    <row r="7401" spans="12:13" x14ac:dyDescent="0.2">
      <c r="L7401" s="12"/>
      <c r="M7401" s="13"/>
    </row>
    <row r="7402" spans="12:13" x14ac:dyDescent="0.2">
      <c r="L7402" s="12"/>
      <c r="M7402" s="13"/>
    </row>
    <row r="7403" spans="12:13" x14ac:dyDescent="0.2">
      <c r="L7403" s="12"/>
      <c r="M7403" s="13"/>
    </row>
    <row r="7404" spans="12:13" x14ac:dyDescent="0.2">
      <c r="L7404" s="12"/>
      <c r="M7404" s="13"/>
    </row>
    <row r="7405" spans="12:13" x14ac:dyDescent="0.2">
      <c r="L7405" s="12"/>
      <c r="M7405" s="13"/>
    </row>
    <row r="7406" spans="12:13" x14ac:dyDescent="0.2">
      <c r="L7406" s="12"/>
      <c r="M7406" s="13"/>
    </row>
    <row r="7407" spans="12:13" x14ac:dyDescent="0.2">
      <c r="L7407" s="12"/>
      <c r="M7407" s="13"/>
    </row>
    <row r="7408" spans="12:13" x14ac:dyDescent="0.2">
      <c r="L7408" s="12"/>
      <c r="M7408" s="13"/>
    </row>
    <row r="7409" spans="12:13" x14ac:dyDescent="0.2">
      <c r="L7409" s="12"/>
      <c r="M7409" s="13"/>
    </row>
    <row r="7410" spans="12:13" x14ac:dyDescent="0.2">
      <c r="L7410" s="12"/>
      <c r="M7410" s="13"/>
    </row>
    <row r="7411" spans="12:13" x14ac:dyDescent="0.2">
      <c r="L7411" s="12"/>
      <c r="M7411" s="13"/>
    </row>
    <row r="7412" spans="12:13" x14ac:dyDescent="0.2">
      <c r="L7412" s="12"/>
      <c r="M7412" s="13"/>
    </row>
    <row r="7413" spans="12:13" x14ac:dyDescent="0.2">
      <c r="L7413" s="12"/>
      <c r="M7413" s="13"/>
    </row>
    <row r="7414" spans="12:13" x14ac:dyDescent="0.2">
      <c r="L7414" s="12"/>
      <c r="M7414" s="13"/>
    </row>
    <row r="7415" spans="12:13" x14ac:dyDescent="0.2">
      <c r="L7415" s="12"/>
      <c r="M7415" s="13"/>
    </row>
    <row r="7416" spans="12:13" x14ac:dyDescent="0.2">
      <c r="L7416" s="12"/>
      <c r="M7416" s="13"/>
    </row>
    <row r="7417" spans="12:13" x14ac:dyDescent="0.2">
      <c r="L7417" s="12"/>
      <c r="M7417" s="13"/>
    </row>
    <row r="7418" spans="12:13" x14ac:dyDescent="0.2">
      <c r="L7418" s="12"/>
      <c r="M7418" s="13"/>
    </row>
    <row r="7419" spans="12:13" x14ac:dyDescent="0.2">
      <c r="L7419" s="12"/>
      <c r="M7419" s="13"/>
    </row>
    <row r="7420" spans="12:13" x14ac:dyDescent="0.2">
      <c r="L7420" s="12"/>
      <c r="M7420" s="13"/>
    </row>
    <row r="7421" spans="12:13" x14ac:dyDescent="0.2">
      <c r="L7421" s="12"/>
      <c r="M7421" s="13"/>
    </row>
    <row r="7422" spans="12:13" x14ac:dyDescent="0.2">
      <c r="L7422" s="12"/>
      <c r="M7422" s="13"/>
    </row>
    <row r="7423" spans="12:13" x14ac:dyDescent="0.2">
      <c r="L7423" s="12"/>
      <c r="M7423" s="13"/>
    </row>
    <row r="7424" spans="12:13" x14ac:dyDescent="0.2">
      <c r="L7424" s="12"/>
      <c r="M7424" s="13"/>
    </row>
    <row r="7425" spans="12:13" x14ac:dyDescent="0.2">
      <c r="L7425" s="12"/>
      <c r="M7425" s="13"/>
    </row>
    <row r="7426" spans="12:13" x14ac:dyDescent="0.2">
      <c r="L7426" s="17"/>
      <c r="M7426" s="18"/>
    </row>
    <row r="7427" spans="12:13" x14ac:dyDescent="0.2">
      <c r="L7427" s="12"/>
      <c r="M7427" s="13"/>
    </row>
    <row r="7428" spans="12:13" x14ac:dyDescent="0.2">
      <c r="L7428" s="12"/>
      <c r="M7428" s="13"/>
    </row>
    <row r="7429" spans="12:13" x14ac:dyDescent="0.2">
      <c r="L7429" s="12"/>
      <c r="M7429" s="13"/>
    </row>
    <row r="7430" spans="12:13" x14ac:dyDescent="0.2">
      <c r="L7430" s="12"/>
      <c r="M7430" s="13"/>
    </row>
    <row r="7431" spans="12:13" x14ac:dyDescent="0.2">
      <c r="L7431" s="12"/>
      <c r="M7431" s="13"/>
    </row>
    <row r="7432" spans="12:13" x14ac:dyDescent="0.2">
      <c r="L7432" s="12"/>
      <c r="M7432" s="13"/>
    </row>
    <row r="7433" spans="12:13" x14ac:dyDescent="0.2">
      <c r="L7433" s="12"/>
      <c r="M7433" s="13"/>
    </row>
    <row r="7434" spans="12:13" x14ac:dyDescent="0.2">
      <c r="L7434" s="12"/>
      <c r="M7434" s="13"/>
    </row>
    <row r="7435" spans="12:13" x14ac:dyDescent="0.2">
      <c r="L7435" s="12"/>
      <c r="M7435" s="13"/>
    </row>
    <row r="7436" spans="12:13" x14ac:dyDescent="0.2">
      <c r="L7436" s="12"/>
      <c r="M7436" s="13"/>
    </row>
    <row r="7437" spans="12:13" x14ac:dyDescent="0.2">
      <c r="L7437" s="12"/>
      <c r="M7437" s="13"/>
    </row>
    <row r="7438" spans="12:13" x14ac:dyDescent="0.2">
      <c r="L7438" s="12"/>
      <c r="M7438" s="13"/>
    </row>
    <row r="7439" spans="12:13" x14ac:dyDescent="0.2">
      <c r="L7439" s="12"/>
      <c r="M7439" s="13"/>
    </row>
    <row r="7440" spans="12:13" x14ac:dyDescent="0.2">
      <c r="L7440" s="12"/>
      <c r="M7440" s="13"/>
    </row>
    <row r="7441" spans="12:13" x14ac:dyDescent="0.2">
      <c r="L7441" s="12"/>
      <c r="M7441" s="13"/>
    </row>
    <row r="7442" spans="12:13" x14ac:dyDescent="0.2">
      <c r="L7442" s="12"/>
      <c r="M7442" s="13"/>
    </row>
    <row r="7443" spans="12:13" x14ac:dyDescent="0.2">
      <c r="L7443" s="12"/>
      <c r="M7443" s="13"/>
    </row>
    <row r="7444" spans="12:13" x14ac:dyDescent="0.2">
      <c r="L7444" s="12"/>
      <c r="M7444" s="13"/>
    </row>
    <row r="7445" spans="12:13" x14ac:dyDescent="0.2">
      <c r="L7445" s="12"/>
      <c r="M7445" s="13"/>
    </row>
    <row r="7446" spans="12:13" x14ac:dyDescent="0.2">
      <c r="L7446" s="12"/>
      <c r="M7446" s="13"/>
    </row>
    <row r="7447" spans="12:13" x14ac:dyDescent="0.2">
      <c r="L7447" s="12"/>
      <c r="M7447" s="13"/>
    </row>
    <row r="7448" spans="12:13" x14ac:dyDescent="0.2">
      <c r="L7448" s="12"/>
      <c r="M7448" s="13"/>
    </row>
    <row r="7449" spans="12:13" x14ac:dyDescent="0.2">
      <c r="L7449" s="12"/>
      <c r="M7449" s="13"/>
    </row>
    <row r="7450" spans="12:13" x14ac:dyDescent="0.2">
      <c r="L7450" s="12"/>
      <c r="M7450" s="13"/>
    </row>
    <row r="7451" spans="12:13" x14ac:dyDescent="0.2">
      <c r="L7451" s="12"/>
      <c r="M7451" s="13"/>
    </row>
    <row r="7452" spans="12:13" x14ac:dyDescent="0.2">
      <c r="L7452" s="12"/>
      <c r="M7452" s="13"/>
    </row>
    <row r="7453" spans="12:13" x14ac:dyDescent="0.2">
      <c r="L7453" s="12"/>
      <c r="M7453" s="13"/>
    </row>
    <row r="7454" spans="12:13" x14ac:dyDescent="0.2">
      <c r="L7454" s="12"/>
      <c r="M7454" s="13"/>
    </row>
    <row r="7455" spans="12:13" x14ac:dyDescent="0.2">
      <c r="L7455" s="12"/>
      <c r="M7455" s="13"/>
    </row>
    <row r="7456" spans="12:13" x14ac:dyDescent="0.2">
      <c r="L7456" s="12"/>
      <c r="M7456" s="13"/>
    </row>
    <row r="7457" spans="12:13" x14ac:dyDescent="0.2">
      <c r="L7457" s="12"/>
      <c r="M7457" s="13"/>
    </row>
    <row r="7458" spans="12:13" x14ac:dyDescent="0.2">
      <c r="L7458" s="12"/>
      <c r="M7458" s="13"/>
    </row>
    <row r="7459" spans="12:13" x14ac:dyDescent="0.2">
      <c r="L7459" s="12"/>
      <c r="M7459" s="13"/>
    </row>
    <row r="7460" spans="12:13" x14ac:dyDescent="0.2">
      <c r="L7460" s="12"/>
      <c r="M7460" s="13"/>
    </row>
    <row r="7461" spans="12:13" x14ac:dyDescent="0.2">
      <c r="L7461" s="12"/>
      <c r="M7461" s="13"/>
    </row>
    <row r="7462" spans="12:13" x14ac:dyDescent="0.2">
      <c r="L7462" s="12"/>
      <c r="M7462" s="13"/>
    </row>
    <row r="7463" spans="12:13" x14ac:dyDescent="0.2">
      <c r="L7463" s="12"/>
      <c r="M7463" s="13"/>
    </row>
    <row r="7464" spans="12:13" x14ac:dyDescent="0.2">
      <c r="L7464" s="12"/>
      <c r="M7464" s="13"/>
    </row>
    <row r="7465" spans="12:13" x14ac:dyDescent="0.2">
      <c r="L7465" s="12"/>
      <c r="M7465" s="13"/>
    </row>
    <row r="7466" spans="12:13" x14ac:dyDescent="0.2">
      <c r="L7466" s="12"/>
      <c r="M7466" s="13"/>
    </row>
    <row r="7467" spans="12:13" x14ac:dyDescent="0.2">
      <c r="L7467" s="12"/>
      <c r="M7467" s="13"/>
    </row>
    <row r="7468" spans="12:13" x14ac:dyDescent="0.2">
      <c r="L7468" s="12"/>
      <c r="M7468" s="13"/>
    </row>
    <row r="7469" spans="12:13" x14ac:dyDescent="0.2">
      <c r="L7469" s="12"/>
      <c r="M7469" s="13"/>
    </row>
    <row r="7470" spans="12:13" x14ac:dyDescent="0.2">
      <c r="L7470" s="12"/>
      <c r="M7470" s="13"/>
    </row>
    <row r="7471" spans="12:13" x14ac:dyDescent="0.2">
      <c r="L7471" s="12"/>
      <c r="M7471" s="13"/>
    </row>
    <row r="7472" spans="12:13" x14ac:dyDescent="0.2">
      <c r="L7472" s="12"/>
      <c r="M7472" s="13"/>
    </row>
    <row r="7473" spans="12:13" x14ac:dyDescent="0.2">
      <c r="L7473" s="12"/>
      <c r="M7473" s="13"/>
    </row>
    <row r="7474" spans="12:13" x14ac:dyDescent="0.2">
      <c r="L7474" s="12"/>
      <c r="M7474" s="13"/>
    </row>
    <row r="7475" spans="12:13" x14ac:dyDescent="0.2">
      <c r="L7475" s="12"/>
      <c r="M7475" s="13"/>
    </row>
    <row r="7476" spans="12:13" x14ac:dyDescent="0.2">
      <c r="L7476" s="12"/>
      <c r="M7476" s="13"/>
    </row>
    <row r="7477" spans="12:13" x14ac:dyDescent="0.2">
      <c r="L7477" s="12"/>
      <c r="M7477" s="13"/>
    </row>
    <row r="7478" spans="12:13" x14ac:dyDescent="0.2">
      <c r="L7478" s="12"/>
      <c r="M7478" s="13"/>
    </row>
    <row r="7479" spans="12:13" x14ac:dyDescent="0.2">
      <c r="L7479" s="12"/>
      <c r="M7479" s="13"/>
    </row>
    <row r="7480" spans="12:13" x14ac:dyDescent="0.2">
      <c r="L7480" s="12"/>
      <c r="M7480" s="13"/>
    </row>
    <row r="7481" spans="12:13" x14ac:dyDescent="0.2">
      <c r="L7481" s="12"/>
      <c r="M7481" s="13"/>
    </row>
    <row r="7482" spans="12:13" x14ac:dyDescent="0.2">
      <c r="L7482" s="12"/>
      <c r="M7482" s="13"/>
    </row>
    <row r="7483" spans="12:13" x14ac:dyDescent="0.2">
      <c r="L7483" s="12"/>
      <c r="M7483" s="13"/>
    </row>
    <row r="7484" spans="12:13" x14ac:dyDescent="0.2">
      <c r="L7484" s="12"/>
      <c r="M7484" s="13"/>
    </row>
    <row r="7485" spans="12:13" x14ac:dyDescent="0.2">
      <c r="L7485" s="12"/>
      <c r="M7485" s="13"/>
    </row>
    <row r="7486" spans="12:13" x14ac:dyDescent="0.2">
      <c r="L7486" s="12"/>
      <c r="M7486" s="13"/>
    </row>
    <row r="7487" spans="12:13" x14ac:dyDescent="0.2">
      <c r="L7487" s="12"/>
      <c r="M7487" s="13"/>
    </row>
    <row r="7488" spans="12:13" x14ac:dyDescent="0.2">
      <c r="L7488" s="12"/>
      <c r="M7488" s="13"/>
    </row>
    <row r="7489" spans="12:13" x14ac:dyDescent="0.2">
      <c r="L7489" s="12"/>
      <c r="M7489" s="13"/>
    </row>
    <row r="7490" spans="12:13" x14ac:dyDescent="0.2">
      <c r="L7490" s="12"/>
      <c r="M7490" s="13"/>
    </row>
    <row r="7491" spans="12:13" x14ac:dyDescent="0.2">
      <c r="L7491" s="12"/>
      <c r="M7491" s="13"/>
    </row>
    <row r="7492" spans="12:13" x14ac:dyDescent="0.2">
      <c r="L7492" s="12"/>
      <c r="M7492" s="13"/>
    </row>
    <row r="7493" spans="12:13" x14ac:dyDescent="0.2">
      <c r="L7493" s="12"/>
      <c r="M7493" s="13"/>
    </row>
    <row r="7494" spans="12:13" x14ac:dyDescent="0.2">
      <c r="L7494" s="12"/>
      <c r="M7494" s="13"/>
    </row>
    <row r="7495" spans="12:13" x14ac:dyDescent="0.2">
      <c r="L7495" s="12"/>
      <c r="M7495" s="13"/>
    </row>
    <row r="7496" spans="12:13" x14ac:dyDescent="0.2">
      <c r="L7496" s="12"/>
      <c r="M7496" s="13"/>
    </row>
    <row r="7497" spans="12:13" x14ac:dyDescent="0.2">
      <c r="L7497" s="12"/>
      <c r="M7497" s="13"/>
    </row>
    <row r="7498" spans="12:13" x14ac:dyDescent="0.2">
      <c r="L7498" s="12"/>
      <c r="M7498" s="13"/>
    </row>
    <row r="7499" spans="12:13" x14ac:dyDescent="0.2">
      <c r="L7499" s="12"/>
      <c r="M7499" s="13"/>
    </row>
    <row r="7500" spans="12:13" x14ac:dyDescent="0.2">
      <c r="L7500" s="12"/>
      <c r="M7500" s="13"/>
    </row>
    <row r="7501" spans="12:13" x14ac:dyDescent="0.2">
      <c r="L7501" s="12"/>
      <c r="M7501" s="13"/>
    </row>
    <row r="7502" spans="12:13" x14ac:dyDescent="0.2">
      <c r="L7502" s="12"/>
      <c r="M7502" s="13"/>
    </row>
    <row r="7503" spans="12:13" x14ac:dyDescent="0.2">
      <c r="L7503" s="12"/>
      <c r="M7503" s="13"/>
    </row>
    <row r="7504" spans="12:13" x14ac:dyDescent="0.2">
      <c r="L7504" s="12"/>
      <c r="M7504" s="13"/>
    </row>
    <row r="7505" spans="12:13" x14ac:dyDescent="0.2">
      <c r="L7505" s="12"/>
      <c r="M7505" s="13"/>
    </row>
    <row r="7506" spans="12:13" x14ac:dyDescent="0.2">
      <c r="L7506" s="12"/>
      <c r="M7506" s="13"/>
    </row>
    <row r="7507" spans="12:13" x14ac:dyDescent="0.2">
      <c r="L7507" s="12"/>
      <c r="M7507" s="13"/>
    </row>
    <row r="7508" spans="12:13" x14ac:dyDescent="0.2">
      <c r="L7508" s="12"/>
      <c r="M7508" s="13"/>
    </row>
    <row r="7509" spans="12:13" x14ac:dyDescent="0.2">
      <c r="L7509" s="12"/>
      <c r="M7509" s="13"/>
    </row>
    <row r="7510" spans="12:13" x14ac:dyDescent="0.2">
      <c r="L7510" s="12"/>
      <c r="M7510" s="13"/>
    </row>
    <row r="7511" spans="12:13" x14ac:dyDescent="0.2">
      <c r="L7511" s="12"/>
      <c r="M7511" s="13"/>
    </row>
    <row r="7512" spans="12:13" x14ac:dyDescent="0.2">
      <c r="L7512" s="12"/>
      <c r="M7512" s="13"/>
    </row>
    <row r="7513" spans="12:13" x14ac:dyDescent="0.2">
      <c r="L7513" s="12"/>
      <c r="M7513" s="13"/>
    </row>
    <row r="7514" spans="12:13" x14ac:dyDescent="0.2">
      <c r="L7514" s="12"/>
      <c r="M7514" s="13"/>
    </row>
    <row r="7515" spans="12:13" x14ac:dyDescent="0.2">
      <c r="L7515" s="12"/>
      <c r="M7515" s="13"/>
    </row>
    <row r="7516" spans="12:13" x14ac:dyDescent="0.2">
      <c r="L7516" s="12"/>
      <c r="M7516" s="13"/>
    </row>
    <row r="7517" spans="12:13" x14ac:dyDescent="0.2">
      <c r="L7517" s="12"/>
      <c r="M7517" s="13"/>
    </row>
    <row r="7518" spans="12:13" x14ac:dyDescent="0.2">
      <c r="L7518" s="12"/>
      <c r="M7518" s="13"/>
    </row>
    <row r="7519" spans="12:13" x14ac:dyDescent="0.2">
      <c r="L7519" s="12"/>
      <c r="M7519" s="13"/>
    </row>
    <row r="7520" spans="12:13" x14ac:dyDescent="0.2">
      <c r="L7520" s="12"/>
      <c r="M7520" s="13"/>
    </row>
    <row r="7521" spans="12:13" x14ac:dyDescent="0.2">
      <c r="L7521" s="12"/>
      <c r="M7521" s="13"/>
    </row>
    <row r="7522" spans="12:13" x14ac:dyDescent="0.2">
      <c r="L7522" s="12"/>
      <c r="M7522" s="13"/>
    </row>
    <row r="7523" spans="12:13" x14ac:dyDescent="0.2">
      <c r="L7523" s="12"/>
      <c r="M7523" s="13"/>
    </row>
    <row r="7524" spans="12:13" x14ac:dyDescent="0.2">
      <c r="L7524" s="12"/>
      <c r="M7524" s="13"/>
    </row>
    <row r="7525" spans="12:13" x14ac:dyDescent="0.2">
      <c r="L7525" s="12"/>
      <c r="M7525" s="13"/>
    </row>
    <row r="7526" spans="12:13" x14ac:dyDescent="0.2">
      <c r="L7526" s="12"/>
      <c r="M7526" s="13"/>
    </row>
    <row r="7527" spans="12:13" x14ac:dyDescent="0.2">
      <c r="L7527" s="12"/>
      <c r="M7527" s="13"/>
    </row>
    <row r="7528" spans="12:13" x14ac:dyDescent="0.2">
      <c r="L7528" s="12"/>
      <c r="M7528" s="13"/>
    </row>
    <row r="7529" spans="12:13" x14ac:dyDescent="0.2">
      <c r="L7529" s="12"/>
      <c r="M7529" s="13"/>
    </row>
    <row r="7530" spans="12:13" x14ac:dyDescent="0.2">
      <c r="L7530" s="12"/>
      <c r="M7530" s="13"/>
    </row>
    <row r="7531" spans="12:13" x14ac:dyDescent="0.2">
      <c r="L7531" s="12"/>
      <c r="M7531" s="13"/>
    </row>
    <row r="7532" spans="12:13" x14ac:dyDescent="0.2">
      <c r="L7532" s="12"/>
      <c r="M7532" s="13"/>
    </row>
    <row r="7533" spans="12:13" x14ac:dyDescent="0.2">
      <c r="L7533" s="12"/>
      <c r="M7533" s="13"/>
    </row>
    <row r="7534" spans="12:13" x14ac:dyDescent="0.2">
      <c r="L7534" s="12"/>
      <c r="M7534" s="13"/>
    </row>
    <row r="7535" spans="12:13" x14ac:dyDescent="0.2">
      <c r="L7535" s="12"/>
      <c r="M7535" s="13"/>
    </row>
    <row r="7536" spans="12:13" x14ac:dyDescent="0.2">
      <c r="L7536" s="12"/>
      <c r="M7536" s="13"/>
    </row>
    <row r="7537" spans="12:13" x14ac:dyDescent="0.2">
      <c r="L7537" s="12"/>
      <c r="M7537" s="13"/>
    </row>
    <row r="7538" spans="12:13" x14ac:dyDescent="0.2">
      <c r="L7538" s="12"/>
      <c r="M7538" s="13"/>
    </row>
    <row r="7539" spans="12:13" x14ac:dyDescent="0.2">
      <c r="L7539" s="12"/>
      <c r="M7539" s="13"/>
    </row>
    <row r="7540" spans="12:13" x14ac:dyDescent="0.2">
      <c r="L7540" s="12"/>
      <c r="M7540" s="13"/>
    </row>
    <row r="7541" spans="12:13" x14ac:dyDescent="0.2">
      <c r="L7541" s="12"/>
      <c r="M7541" s="13"/>
    </row>
    <row r="7542" spans="12:13" x14ac:dyDescent="0.2">
      <c r="L7542" s="12"/>
      <c r="M7542" s="13"/>
    </row>
    <row r="7543" spans="12:13" x14ac:dyDescent="0.2">
      <c r="L7543" s="12"/>
      <c r="M7543" s="13"/>
    </row>
    <row r="7544" spans="12:13" x14ac:dyDescent="0.2">
      <c r="L7544" s="12"/>
      <c r="M7544" s="13"/>
    </row>
    <row r="7545" spans="12:13" x14ac:dyDescent="0.2">
      <c r="L7545" s="12"/>
      <c r="M7545" s="13"/>
    </row>
    <row r="7546" spans="12:13" x14ac:dyDescent="0.2">
      <c r="L7546" s="12"/>
      <c r="M7546" s="13"/>
    </row>
    <row r="7547" spans="12:13" x14ac:dyDescent="0.2">
      <c r="L7547" s="12"/>
      <c r="M7547" s="13"/>
    </row>
    <row r="7548" spans="12:13" x14ac:dyDescent="0.2">
      <c r="L7548" s="12"/>
      <c r="M7548" s="13"/>
    </row>
    <row r="7549" spans="12:13" x14ac:dyDescent="0.2">
      <c r="L7549" s="12"/>
      <c r="M7549" s="13"/>
    </row>
    <row r="7550" spans="12:13" x14ac:dyDescent="0.2">
      <c r="L7550" s="12"/>
      <c r="M7550" s="13"/>
    </row>
    <row r="7551" spans="12:13" x14ac:dyDescent="0.2">
      <c r="L7551" s="12"/>
      <c r="M7551" s="13"/>
    </row>
    <row r="7552" spans="12:13" x14ac:dyDescent="0.2">
      <c r="L7552" s="12"/>
      <c r="M7552" s="13"/>
    </row>
    <row r="7553" spans="12:13" x14ac:dyDescent="0.2">
      <c r="L7553" s="12"/>
      <c r="M7553" s="13"/>
    </row>
    <row r="7554" spans="12:13" x14ac:dyDescent="0.2">
      <c r="L7554" s="12"/>
      <c r="M7554" s="13"/>
    </row>
    <row r="7555" spans="12:13" x14ac:dyDescent="0.2">
      <c r="L7555" s="12"/>
      <c r="M7555" s="13"/>
    </row>
    <row r="7556" spans="12:13" x14ac:dyDescent="0.2">
      <c r="L7556" s="12"/>
      <c r="M7556" s="13"/>
    </row>
    <row r="7557" spans="12:13" x14ac:dyDescent="0.2">
      <c r="L7557" s="12"/>
      <c r="M7557" s="13"/>
    </row>
    <row r="7558" spans="12:13" x14ac:dyDescent="0.2">
      <c r="L7558" s="12"/>
      <c r="M7558" s="13"/>
    </row>
    <row r="7559" spans="12:13" x14ac:dyDescent="0.2">
      <c r="L7559" s="12"/>
      <c r="M7559" s="13"/>
    </row>
    <row r="7560" spans="12:13" x14ac:dyDescent="0.2">
      <c r="L7560" s="12"/>
      <c r="M7560" s="13"/>
    </row>
    <row r="7561" spans="12:13" x14ac:dyDescent="0.2">
      <c r="L7561" s="12"/>
      <c r="M7561" s="13"/>
    </row>
    <row r="7562" spans="12:13" x14ac:dyDescent="0.2">
      <c r="L7562" s="12"/>
      <c r="M7562" s="13"/>
    </row>
    <row r="7563" spans="12:13" x14ac:dyDescent="0.2">
      <c r="L7563" s="12"/>
      <c r="M7563" s="13"/>
    </row>
    <row r="7564" spans="12:13" x14ac:dyDescent="0.2">
      <c r="L7564" s="12"/>
      <c r="M7564" s="13"/>
    </row>
    <row r="7565" spans="12:13" x14ac:dyDescent="0.2">
      <c r="L7565" s="12"/>
      <c r="M7565" s="13"/>
    </row>
    <row r="7566" spans="12:13" x14ac:dyDescent="0.2">
      <c r="L7566" s="12"/>
      <c r="M7566" s="13"/>
    </row>
    <row r="7567" spans="12:13" x14ac:dyDescent="0.2">
      <c r="L7567" s="12"/>
      <c r="M7567" s="13"/>
    </row>
    <row r="7568" spans="12:13" x14ac:dyDescent="0.2">
      <c r="L7568" s="12"/>
      <c r="M7568" s="13"/>
    </row>
    <row r="7569" spans="12:13" x14ac:dyDescent="0.2">
      <c r="L7569" s="12"/>
      <c r="M7569" s="13"/>
    </row>
    <row r="7570" spans="12:13" x14ac:dyDescent="0.2">
      <c r="L7570" s="12"/>
      <c r="M7570" s="13"/>
    </row>
    <row r="7571" spans="12:13" x14ac:dyDescent="0.2">
      <c r="L7571" s="12"/>
      <c r="M7571" s="13"/>
    </row>
    <row r="7572" spans="12:13" x14ac:dyDescent="0.2">
      <c r="L7572" s="12"/>
      <c r="M7572" s="13"/>
    </row>
    <row r="7573" spans="12:13" x14ac:dyDescent="0.2">
      <c r="L7573" s="12"/>
      <c r="M7573" s="13"/>
    </row>
    <row r="7574" spans="12:13" x14ac:dyDescent="0.2">
      <c r="L7574" s="12"/>
      <c r="M7574" s="13"/>
    </row>
    <row r="7575" spans="12:13" x14ac:dyDescent="0.2">
      <c r="L7575" s="12"/>
      <c r="M7575" s="13"/>
    </row>
    <row r="7576" spans="12:13" x14ac:dyDescent="0.2">
      <c r="L7576" s="12"/>
      <c r="M7576" s="13"/>
    </row>
    <row r="7577" spans="12:13" x14ac:dyDescent="0.2">
      <c r="L7577" s="12"/>
      <c r="M7577" s="13"/>
    </row>
    <row r="7578" spans="12:13" x14ac:dyDescent="0.2">
      <c r="L7578" s="12"/>
      <c r="M7578" s="13"/>
    </row>
    <row r="7579" spans="12:13" x14ac:dyDescent="0.2">
      <c r="L7579" s="12"/>
      <c r="M7579" s="13"/>
    </row>
    <row r="7580" spans="12:13" x14ac:dyDescent="0.2">
      <c r="L7580" s="12"/>
      <c r="M7580" s="13"/>
    </row>
    <row r="7581" spans="12:13" x14ac:dyDescent="0.2">
      <c r="L7581" s="12"/>
      <c r="M7581" s="13"/>
    </row>
    <row r="7582" spans="12:13" x14ac:dyDescent="0.2">
      <c r="L7582" s="12"/>
      <c r="M7582" s="13"/>
    </row>
    <row r="7583" spans="12:13" x14ac:dyDescent="0.2">
      <c r="L7583" s="12"/>
      <c r="M7583" s="13"/>
    </row>
    <row r="7584" spans="12:13" x14ac:dyDescent="0.2">
      <c r="L7584" s="12"/>
      <c r="M7584" s="13"/>
    </row>
    <row r="7585" spans="12:13" x14ac:dyDescent="0.2">
      <c r="L7585" s="12"/>
      <c r="M7585" s="13"/>
    </row>
    <row r="7586" spans="12:13" x14ac:dyDescent="0.2">
      <c r="L7586" s="12"/>
      <c r="M7586" s="13"/>
    </row>
    <row r="7587" spans="12:13" x14ac:dyDescent="0.2">
      <c r="L7587" s="12"/>
      <c r="M7587" s="13"/>
    </row>
    <row r="7588" spans="12:13" x14ac:dyDescent="0.2">
      <c r="L7588" s="12"/>
      <c r="M7588" s="13"/>
    </row>
    <row r="7589" spans="12:13" x14ac:dyDescent="0.2">
      <c r="L7589" s="12"/>
      <c r="M7589" s="13"/>
    </row>
    <row r="7590" spans="12:13" x14ac:dyDescent="0.2">
      <c r="L7590" s="12"/>
      <c r="M7590" s="13"/>
    </row>
    <row r="7591" spans="12:13" x14ac:dyDescent="0.2">
      <c r="L7591" s="12"/>
      <c r="M7591" s="13"/>
    </row>
    <row r="7592" spans="12:13" x14ac:dyDescent="0.2">
      <c r="L7592" s="12"/>
      <c r="M7592" s="13"/>
    </row>
    <row r="7593" spans="12:13" x14ac:dyDescent="0.2">
      <c r="L7593" s="12"/>
      <c r="M7593" s="13"/>
    </row>
    <row r="7594" spans="12:13" x14ac:dyDescent="0.2">
      <c r="L7594" s="12"/>
      <c r="M7594" s="13"/>
    </row>
    <row r="7595" spans="12:13" x14ac:dyDescent="0.2">
      <c r="L7595" s="12"/>
      <c r="M7595" s="13"/>
    </row>
    <row r="7596" spans="12:13" x14ac:dyDescent="0.2">
      <c r="L7596" s="12"/>
      <c r="M7596" s="13"/>
    </row>
    <row r="7597" spans="12:13" x14ac:dyDescent="0.2">
      <c r="L7597" s="12"/>
      <c r="M7597" s="13"/>
    </row>
    <row r="7598" spans="12:13" x14ac:dyDescent="0.2">
      <c r="L7598" s="12"/>
      <c r="M7598" s="13"/>
    </row>
    <row r="7599" spans="12:13" x14ac:dyDescent="0.2">
      <c r="L7599" s="12"/>
      <c r="M7599" s="13"/>
    </row>
    <row r="7600" spans="12:13" x14ac:dyDescent="0.2">
      <c r="L7600" s="12"/>
      <c r="M7600" s="13"/>
    </row>
    <row r="7601" spans="12:13" x14ac:dyDescent="0.2">
      <c r="L7601" s="12"/>
      <c r="M7601" s="13"/>
    </row>
    <row r="7602" spans="12:13" x14ac:dyDescent="0.2">
      <c r="L7602" s="12"/>
      <c r="M7602" s="13"/>
    </row>
    <row r="7603" spans="12:13" x14ac:dyDescent="0.2">
      <c r="L7603" s="12"/>
      <c r="M7603" s="13"/>
    </row>
    <row r="7604" spans="12:13" x14ac:dyDescent="0.2">
      <c r="L7604" s="12"/>
      <c r="M7604" s="13"/>
    </row>
    <row r="7605" spans="12:13" x14ac:dyDescent="0.2">
      <c r="L7605" s="12"/>
      <c r="M7605" s="13"/>
    </row>
    <row r="7606" spans="12:13" x14ac:dyDescent="0.2">
      <c r="L7606" s="12"/>
      <c r="M7606" s="13"/>
    </row>
    <row r="7607" spans="12:13" x14ac:dyDescent="0.2">
      <c r="L7607" s="12"/>
      <c r="M7607" s="13"/>
    </row>
    <row r="7608" spans="12:13" x14ac:dyDescent="0.2">
      <c r="L7608" s="12"/>
      <c r="M7608" s="13"/>
    </row>
    <row r="7609" spans="12:13" x14ac:dyDescent="0.2">
      <c r="L7609" s="12"/>
      <c r="M7609" s="13"/>
    </row>
    <row r="7610" spans="12:13" x14ac:dyDescent="0.2">
      <c r="L7610" s="12"/>
      <c r="M7610" s="13"/>
    </row>
    <row r="7611" spans="12:13" x14ac:dyDescent="0.2">
      <c r="L7611" s="12"/>
      <c r="M7611" s="13"/>
    </row>
    <row r="7612" spans="12:13" x14ac:dyDescent="0.2">
      <c r="L7612" s="12"/>
      <c r="M7612" s="13"/>
    </row>
    <row r="7613" spans="12:13" x14ac:dyDescent="0.2">
      <c r="L7613" s="12"/>
      <c r="M7613" s="13"/>
    </row>
    <row r="7614" spans="12:13" x14ac:dyDescent="0.2">
      <c r="L7614" s="12"/>
      <c r="M7614" s="13"/>
    </row>
    <row r="7615" spans="12:13" x14ac:dyDescent="0.2">
      <c r="L7615" s="12"/>
      <c r="M7615" s="13"/>
    </row>
    <row r="7616" spans="12:13" x14ac:dyDescent="0.2">
      <c r="L7616" s="12"/>
      <c r="M7616" s="13"/>
    </row>
    <row r="7617" spans="12:13" x14ac:dyDescent="0.2">
      <c r="L7617" s="12"/>
      <c r="M7617" s="13"/>
    </row>
    <row r="7618" spans="12:13" x14ac:dyDescent="0.2">
      <c r="L7618" s="12"/>
      <c r="M7618" s="13"/>
    </row>
    <row r="7619" spans="12:13" x14ac:dyDescent="0.2">
      <c r="L7619" s="12"/>
      <c r="M7619" s="13"/>
    </row>
    <row r="7620" spans="12:13" x14ac:dyDescent="0.2">
      <c r="L7620" s="12"/>
      <c r="M7620" s="13"/>
    </row>
    <row r="7621" spans="12:13" x14ac:dyDescent="0.2">
      <c r="L7621" s="12"/>
      <c r="M7621" s="13"/>
    </row>
    <row r="7622" spans="12:13" x14ac:dyDescent="0.2">
      <c r="L7622" s="12"/>
      <c r="M7622" s="13"/>
    </row>
    <row r="7623" spans="12:13" x14ac:dyDescent="0.2">
      <c r="L7623" s="12"/>
      <c r="M7623" s="13"/>
    </row>
    <row r="7624" spans="12:13" x14ac:dyDescent="0.2">
      <c r="L7624" s="12"/>
      <c r="M7624" s="13"/>
    </row>
    <row r="7625" spans="12:13" x14ac:dyDescent="0.2">
      <c r="L7625" s="12"/>
      <c r="M7625" s="13"/>
    </row>
    <row r="7626" spans="12:13" x14ac:dyDescent="0.2">
      <c r="L7626" s="12"/>
      <c r="M7626" s="13"/>
    </row>
    <row r="7627" spans="12:13" x14ac:dyDescent="0.2">
      <c r="L7627" s="12"/>
      <c r="M7627" s="13"/>
    </row>
    <row r="7628" spans="12:13" x14ac:dyDescent="0.2">
      <c r="L7628" s="12"/>
      <c r="M7628" s="13"/>
    </row>
    <row r="7629" spans="12:13" x14ac:dyDescent="0.2">
      <c r="L7629" s="12"/>
      <c r="M7629" s="13"/>
    </row>
    <row r="7630" spans="12:13" x14ac:dyDescent="0.2">
      <c r="L7630" s="12"/>
      <c r="M7630" s="13"/>
    </row>
    <row r="7631" spans="12:13" x14ac:dyDescent="0.2">
      <c r="L7631" s="12"/>
      <c r="M7631" s="13"/>
    </row>
    <row r="7632" spans="12:13" x14ac:dyDescent="0.2">
      <c r="L7632" s="12"/>
      <c r="M7632" s="13"/>
    </row>
    <row r="7633" spans="12:13" x14ac:dyDescent="0.2">
      <c r="L7633" s="12"/>
      <c r="M7633" s="13"/>
    </row>
    <row r="7634" spans="12:13" x14ac:dyDescent="0.2">
      <c r="L7634" s="12"/>
      <c r="M7634" s="13"/>
    </row>
    <row r="7635" spans="12:13" x14ac:dyDescent="0.2">
      <c r="L7635" s="12"/>
      <c r="M7635" s="13"/>
    </row>
    <row r="7636" spans="12:13" x14ac:dyDescent="0.2">
      <c r="L7636" s="12"/>
      <c r="M7636" s="13"/>
    </row>
    <row r="7637" spans="12:13" x14ac:dyDescent="0.2">
      <c r="L7637" s="12"/>
      <c r="M7637" s="13"/>
    </row>
    <row r="7638" spans="12:13" x14ac:dyDescent="0.2">
      <c r="L7638" s="12"/>
      <c r="M7638" s="13"/>
    </row>
    <row r="7639" spans="12:13" x14ac:dyDescent="0.2">
      <c r="L7639" s="12"/>
      <c r="M7639" s="13"/>
    </row>
    <row r="7640" spans="12:13" x14ac:dyDescent="0.2">
      <c r="L7640" s="12"/>
      <c r="M7640" s="13"/>
    </row>
    <row r="7641" spans="12:13" x14ac:dyDescent="0.2">
      <c r="L7641" s="12"/>
      <c r="M7641" s="13"/>
    </row>
    <row r="7642" spans="12:13" x14ac:dyDescent="0.2">
      <c r="L7642" s="12"/>
      <c r="M7642" s="13"/>
    </row>
    <row r="7643" spans="12:13" x14ac:dyDescent="0.2">
      <c r="L7643" s="12"/>
      <c r="M7643" s="13"/>
    </row>
    <row r="7644" spans="12:13" x14ac:dyDescent="0.2">
      <c r="L7644" s="12"/>
      <c r="M7644" s="13"/>
    </row>
    <row r="7645" spans="12:13" x14ac:dyDescent="0.2">
      <c r="L7645" s="12"/>
      <c r="M7645" s="13"/>
    </row>
    <row r="7646" spans="12:13" x14ac:dyDescent="0.2">
      <c r="L7646" s="12"/>
      <c r="M7646" s="13"/>
    </row>
    <row r="7647" spans="12:13" x14ac:dyDescent="0.2">
      <c r="L7647" s="12"/>
      <c r="M7647" s="13"/>
    </row>
    <row r="7648" spans="12:13" x14ac:dyDescent="0.2">
      <c r="L7648" s="12"/>
      <c r="M7648" s="13"/>
    </row>
    <row r="7649" spans="12:13" x14ac:dyDescent="0.2">
      <c r="L7649" s="12"/>
      <c r="M7649" s="13"/>
    </row>
    <row r="7650" spans="12:13" x14ac:dyDescent="0.2">
      <c r="L7650" s="12"/>
      <c r="M7650" s="13"/>
    </row>
    <row r="7651" spans="12:13" x14ac:dyDescent="0.2">
      <c r="L7651" s="12"/>
      <c r="M7651" s="13"/>
    </row>
    <row r="7652" spans="12:13" x14ac:dyDescent="0.2">
      <c r="L7652" s="12"/>
      <c r="M7652" s="13"/>
    </row>
    <row r="7653" spans="12:13" x14ac:dyDescent="0.2">
      <c r="L7653" s="12"/>
      <c r="M7653" s="13"/>
    </row>
    <row r="7654" spans="12:13" x14ac:dyDescent="0.2">
      <c r="L7654" s="12"/>
      <c r="M7654" s="13"/>
    </row>
    <row r="7655" spans="12:13" x14ac:dyDescent="0.2">
      <c r="L7655" s="12"/>
      <c r="M7655" s="13"/>
    </row>
    <row r="7656" spans="12:13" x14ac:dyDescent="0.2">
      <c r="L7656" s="12"/>
      <c r="M7656" s="13"/>
    </row>
    <row r="7657" spans="12:13" x14ac:dyDescent="0.2">
      <c r="L7657" s="12"/>
      <c r="M7657" s="13"/>
    </row>
    <row r="7658" spans="12:13" x14ac:dyDescent="0.2">
      <c r="L7658" s="12"/>
      <c r="M7658" s="13"/>
    </row>
    <row r="7659" spans="12:13" x14ac:dyDescent="0.2">
      <c r="L7659" s="12"/>
      <c r="M7659" s="13"/>
    </row>
    <row r="7660" spans="12:13" x14ac:dyDescent="0.2">
      <c r="L7660" s="12"/>
      <c r="M7660" s="13"/>
    </row>
    <row r="7661" spans="12:13" x14ac:dyDescent="0.2">
      <c r="L7661" s="12"/>
      <c r="M7661" s="13"/>
    </row>
    <row r="7662" spans="12:13" x14ac:dyDescent="0.2">
      <c r="L7662" s="12"/>
      <c r="M7662" s="13"/>
    </row>
    <row r="7663" spans="12:13" x14ac:dyDescent="0.2">
      <c r="L7663" s="12"/>
      <c r="M7663" s="13"/>
    </row>
    <row r="7664" spans="12:13" x14ac:dyDescent="0.2">
      <c r="L7664" s="12"/>
      <c r="M7664" s="13"/>
    </row>
    <row r="7665" spans="12:13" x14ac:dyDescent="0.2">
      <c r="L7665" s="12"/>
      <c r="M7665" s="13"/>
    </row>
    <row r="7666" spans="12:13" x14ac:dyDescent="0.2">
      <c r="L7666" s="12"/>
      <c r="M7666" s="13"/>
    </row>
    <row r="7667" spans="12:13" x14ac:dyDescent="0.2">
      <c r="L7667" s="12"/>
      <c r="M7667" s="13"/>
    </row>
    <row r="7668" spans="12:13" x14ac:dyDescent="0.2">
      <c r="L7668" s="12"/>
      <c r="M7668" s="13"/>
    </row>
    <row r="7669" spans="12:13" x14ac:dyDescent="0.2">
      <c r="L7669" s="12"/>
      <c r="M7669" s="13"/>
    </row>
    <row r="7670" spans="12:13" x14ac:dyDescent="0.2">
      <c r="L7670" s="12"/>
      <c r="M7670" s="13"/>
    </row>
    <row r="7671" spans="12:13" x14ac:dyDescent="0.2">
      <c r="L7671" s="12"/>
      <c r="M7671" s="13"/>
    </row>
    <row r="7672" spans="12:13" x14ac:dyDescent="0.2">
      <c r="L7672" s="12"/>
      <c r="M7672" s="13"/>
    </row>
    <row r="7673" spans="12:13" x14ac:dyDescent="0.2">
      <c r="L7673" s="12"/>
      <c r="M7673" s="13"/>
    </row>
    <row r="7674" spans="12:13" x14ac:dyDescent="0.2">
      <c r="L7674" s="12"/>
      <c r="M7674" s="13"/>
    </row>
    <row r="7675" spans="12:13" x14ac:dyDescent="0.2">
      <c r="L7675" s="12"/>
      <c r="M7675" s="13"/>
    </row>
    <row r="7676" spans="12:13" x14ac:dyDescent="0.2">
      <c r="L7676" s="12"/>
      <c r="M7676" s="13"/>
    </row>
    <row r="7677" spans="12:13" x14ac:dyDescent="0.2">
      <c r="L7677" s="12"/>
      <c r="M7677" s="13"/>
    </row>
    <row r="7678" spans="12:13" x14ac:dyDescent="0.2">
      <c r="L7678" s="12"/>
      <c r="M7678" s="13"/>
    </row>
    <row r="7679" spans="12:13" x14ac:dyDescent="0.2">
      <c r="L7679" s="12"/>
      <c r="M7679" s="13"/>
    </row>
    <row r="7680" spans="12:13" x14ac:dyDescent="0.2">
      <c r="L7680" s="12"/>
      <c r="M7680" s="13"/>
    </row>
    <row r="7681" spans="12:13" x14ac:dyDescent="0.2">
      <c r="L7681" s="12"/>
      <c r="M7681" s="13"/>
    </row>
    <row r="7682" spans="12:13" x14ac:dyDescent="0.2">
      <c r="L7682" s="17"/>
      <c r="M7682" s="18"/>
    </row>
    <row r="7683" spans="12:13" x14ac:dyDescent="0.2">
      <c r="L7683" s="12"/>
      <c r="M7683" s="13"/>
    </row>
    <row r="7684" spans="12:13" x14ac:dyDescent="0.2">
      <c r="L7684" s="12"/>
      <c r="M7684" s="13"/>
    </row>
    <row r="7685" spans="12:13" x14ac:dyDescent="0.2">
      <c r="L7685" s="12"/>
      <c r="M7685" s="13"/>
    </row>
    <row r="7686" spans="12:13" x14ac:dyDescent="0.2">
      <c r="L7686" s="12"/>
      <c r="M7686" s="13"/>
    </row>
    <row r="7687" spans="12:13" x14ac:dyDescent="0.2">
      <c r="L7687" s="12"/>
      <c r="M7687" s="13"/>
    </row>
    <row r="7688" spans="12:13" x14ac:dyDescent="0.2">
      <c r="L7688" s="12"/>
      <c r="M7688" s="13"/>
    </row>
    <row r="7689" spans="12:13" x14ac:dyDescent="0.2">
      <c r="L7689" s="12"/>
      <c r="M7689" s="13"/>
    </row>
    <row r="7690" spans="12:13" x14ac:dyDescent="0.2">
      <c r="L7690" s="12"/>
      <c r="M7690" s="13"/>
    </row>
    <row r="7691" spans="12:13" x14ac:dyDescent="0.2">
      <c r="L7691" s="12"/>
      <c r="M7691" s="13"/>
    </row>
    <row r="7692" spans="12:13" x14ac:dyDescent="0.2">
      <c r="L7692" s="12"/>
      <c r="M7692" s="13"/>
    </row>
    <row r="7693" spans="12:13" x14ac:dyDescent="0.2">
      <c r="L7693" s="12"/>
      <c r="M7693" s="13"/>
    </row>
    <row r="7694" spans="12:13" x14ac:dyDescent="0.2">
      <c r="L7694" s="12"/>
      <c r="M7694" s="13"/>
    </row>
    <row r="7695" spans="12:13" x14ac:dyDescent="0.2">
      <c r="L7695" s="12"/>
      <c r="M7695" s="13"/>
    </row>
    <row r="7696" spans="12:13" x14ac:dyDescent="0.2">
      <c r="L7696" s="12"/>
      <c r="M7696" s="13"/>
    </row>
    <row r="7697" spans="12:13" x14ac:dyDescent="0.2">
      <c r="L7697" s="12"/>
      <c r="M7697" s="13"/>
    </row>
    <row r="7698" spans="12:13" x14ac:dyDescent="0.2">
      <c r="L7698" s="12"/>
      <c r="M7698" s="13"/>
    </row>
    <row r="7699" spans="12:13" x14ac:dyDescent="0.2">
      <c r="L7699" s="12"/>
      <c r="M7699" s="13"/>
    </row>
    <row r="7700" spans="12:13" x14ac:dyDescent="0.2">
      <c r="L7700" s="12"/>
      <c r="M7700" s="13"/>
    </row>
    <row r="7701" spans="12:13" x14ac:dyDescent="0.2">
      <c r="L7701" s="12"/>
      <c r="M7701" s="13"/>
    </row>
    <row r="7702" spans="12:13" x14ac:dyDescent="0.2">
      <c r="L7702" s="12"/>
      <c r="M7702" s="13"/>
    </row>
    <row r="7703" spans="12:13" x14ac:dyDescent="0.2">
      <c r="L7703" s="12"/>
      <c r="M7703" s="13"/>
    </row>
    <row r="7704" spans="12:13" x14ac:dyDescent="0.2">
      <c r="L7704" s="12"/>
      <c r="M7704" s="13"/>
    </row>
    <row r="7705" spans="12:13" x14ac:dyDescent="0.2">
      <c r="L7705" s="12"/>
      <c r="M7705" s="13"/>
    </row>
    <row r="7706" spans="12:13" x14ac:dyDescent="0.2">
      <c r="L7706" s="12"/>
      <c r="M7706" s="13"/>
    </row>
    <row r="7707" spans="12:13" x14ac:dyDescent="0.2">
      <c r="L7707" s="12"/>
      <c r="M7707" s="13"/>
    </row>
    <row r="7708" spans="12:13" x14ac:dyDescent="0.2">
      <c r="L7708" s="12"/>
      <c r="M7708" s="13"/>
    </row>
    <row r="7709" spans="12:13" x14ac:dyDescent="0.2">
      <c r="L7709" s="12"/>
      <c r="M7709" s="13"/>
    </row>
    <row r="7710" spans="12:13" x14ac:dyDescent="0.2">
      <c r="L7710" s="12"/>
      <c r="M7710" s="13"/>
    </row>
    <row r="7711" spans="12:13" x14ac:dyDescent="0.2">
      <c r="L7711" s="12"/>
      <c r="M7711" s="13"/>
    </row>
    <row r="7712" spans="12:13" x14ac:dyDescent="0.2">
      <c r="L7712" s="12"/>
      <c r="M7712" s="13"/>
    </row>
    <row r="7713" spans="12:13" x14ac:dyDescent="0.2">
      <c r="L7713" s="12"/>
      <c r="M7713" s="13"/>
    </row>
    <row r="7714" spans="12:13" x14ac:dyDescent="0.2">
      <c r="L7714" s="12"/>
      <c r="M7714" s="13"/>
    </row>
    <row r="7715" spans="12:13" x14ac:dyDescent="0.2">
      <c r="L7715" s="12"/>
      <c r="M7715" s="13"/>
    </row>
    <row r="7716" spans="12:13" x14ac:dyDescent="0.2">
      <c r="L7716" s="12"/>
      <c r="M7716" s="13"/>
    </row>
    <row r="7717" spans="12:13" x14ac:dyDescent="0.2">
      <c r="L7717" s="12"/>
      <c r="M7717" s="13"/>
    </row>
    <row r="7718" spans="12:13" x14ac:dyDescent="0.2">
      <c r="L7718" s="12"/>
      <c r="M7718" s="13"/>
    </row>
    <row r="7719" spans="12:13" x14ac:dyDescent="0.2">
      <c r="L7719" s="12"/>
      <c r="M7719" s="13"/>
    </row>
    <row r="7720" spans="12:13" x14ac:dyDescent="0.2">
      <c r="L7720" s="12"/>
      <c r="M7720" s="13"/>
    </row>
    <row r="7721" spans="12:13" x14ac:dyDescent="0.2">
      <c r="L7721" s="12"/>
      <c r="M7721" s="13"/>
    </row>
    <row r="7722" spans="12:13" x14ac:dyDescent="0.2">
      <c r="L7722" s="12"/>
      <c r="M7722" s="13"/>
    </row>
    <row r="7723" spans="12:13" x14ac:dyDescent="0.2">
      <c r="L7723" s="12"/>
      <c r="M7723" s="13"/>
    </row>
    <row r="7724" spans="12:13" x14ac:dyDescent="0.2">
      <c r="L7724" s="12"/>
      <c r="M7724" s="13"/>
    </row>
    <row r="7725" spans="12:13" x14ac:dyDescent="0.2">
      <c r="L7725" s="12"/>
      <c r="M7725" s="13"/>
    </row>
    <row r="7726" spans="12:13" x14ac:dyDescent="0.2">
      <c r="L7726" s="12"/>
      <c r="M7726" s="13"/>
    </row>
    <row r="7727" spans="12:13" x14ac:dyDescent="0.2">
      <c r="L7727" s="12"/>
      <c r="M7727" s="13"/>
    </row>
    <row r="7728" spans="12:13" x14ac:dyDescent="0.2">
      <c r="L7728" s="12"/>
      <c r="M7728" s="13"/>
    </row>
    <row r="7729" spans="12:13" x14ac:dyDescent="0.2">
      <c r="L7729" s="12"/>
      <c r="M7729" s="13"/>
    </row>
    <row r="7730" spans="12:13" x14ac:dyDescent="0.2">
      <c r="L7730" s="12"/>
      <c r="M7730" s="13"/>
    </row>
    <row r="7731" spans="12:13" x14ac:dyDescent="0.2">
      <c r="L7731" s="12"/>
      <c r="M7731" s="13"/>
    </row>
    <row r="7732" spans="12:13" x14ac:dyDescent="0.2">
      <c r="L7732" s="12"/>
      <c r="M7732" s="13"/>
    </row>
    <row r="7733" spans="12:13" x14ac:dyDescent="0.2">
      <c r="L7733" s="12"/>
      <c r="M7733" s="13"/>
    </row>
    <row r="7734" spans="12:13" x14ac:dyDescent="0.2">
      <c r="L7734" s="12"/>
      <c r="M7734" s="13"/>
    </row>
    <row r="7735" spans="12:13" x14ac:dyDescent="0.2">
      <c r="L7735" s="12"/>
      <c r="M7735" s="13"/>
    </row>
    <row r="7736" spans="12:13" x14ac:dyDescent="0.2">
      <c r="L7736" s="12"/>
      <c r="M7736" s="13"/>
    </row>
    <row r="7737" spans="12:13" x14ac:dyDescent="0.2">
      <c r="L7737" s="12"/>
      <c r="M7737" s="13"/>
    </row>
    <row r="7738" spans="12:13" x14ac:dyDescent="0.2">
      <c r="L7738" s="12"/>
      <c r="M7738" s="13"/>
    </row>
    <row r="7739" spans="12:13" x14ac:dyDescent="0.2">
      <c r="L7739" s="12"/>
      <c r="M7739" s="13"/>
    </row>
    <row r="7740" spans="12:13" x14ac:dyDescent="0.2">
      <c r="L7740" s="12"/>
      <c r="M7740" s="13"/>
    </row>
    <row r="7741" spans="12:13" x14ac:dyDescent="0.2">
      <c r="L7741" s="12"/>
      <c r="M7741" s="13"/>
    </row>
    <row r="7742" spans="12:13" x14ac:dyDescent="0.2">
      <c r="L7742" s="12"/>
      <c r="M7742" s="13"/>
    </row>
    <row r="7743" spans="12:13" x14ac:dyDescent="0.2">
      <c r="L7743" s="12"/>
      <c r="M7743" s="13"/>
    </row>
    <row r="7744" spans="12:13" x14ac:dyDescent="0.2">
      <c r="L7744" s="12"/>
      <c r="M7744" s="13"/>
    </row>
    <row r="7745" spans="12:13" x14ac:dyDescent="0.2">
      <c r="L7745" s="12"/>
      <c r="M7745" s="13"/>
    </row>
    <row r="7746" spans="12:13" x14ac:dyDescent="0.2">
      <c r="L7746" s="12"/>
      <c r="M7746" s="13"/>
    </row>
    <row r="7747" spans="12:13" x14ac:dyDescent="0.2">
      <c r="L7747" s="12"/>
      <c r="M7747" s="13"/>
    </row>
    <row r="7748" spans="12:13" x14ac:dyDescent="0.2">
      <c r="L7748" s="12"/>
      <c r="M7748" s="13"/>
    </row>
    <row r="7749" spans="12:13" x14ac:dyDescent="0.2">
      <c r="L7749" s="12"/>
      <c r="M7749" s="13"/>
    </row>
    <row r="7750" spans="12:13" x14ac:dyDescent="0.2">
      <c r="L7750" s="12"/>
      <c r="M7750" s="13"/>
    </row>
    <row r="7751" spans="12:13" x14ac:dyDescent="0.2">
      <c r="L7751" s="12"/>
      <c r="M7751" s="13"/>
    </row>
    <row r="7752" spans="12:13" x14ac:dyDescent="0.2">
      <c r="L7752" s="12"/>
      <c r="M7752" s="13"/>
    </row>
    <row r="7753" spans="12:13" x14ac:dyDescent="0.2">
      <c r="L7753" s="12"/>
      <c r="M7753" s="13"/>
    </row>
    <row r="7754" spans="12:13" x14ac:dyDescent="0.2">
      <c r="L7754" s="12"/>
      <c r="M7754" s="13"/>
    </row>
    <row r="7755" spans="12:13" x14ac:dyDescent="0.2">
      <c r="L7755" s="12"/>
      <c r="M7755" s="13"/>
    </row>
    <row r="7756" spans="12:13" x14ac:dyDescent="0.2">
      <c r="L7756" s="12"/>
      <c r="M7756" s="13"/>
    </row>
    <row r="7757" spans="12:13" x14ac:dyDescent="0.2">
      <c r="L7757" s="12"/>
      <c r="M7757" s="13"/>
    </row>
    <row r="7758" spans="12:13" x14ac:dyDescent="0.2">
      <c r="L7758" s="12"/>
      <c r="M7758" s="13"/>
    </row>
    <row r="7759" spans="12:13" x14ac:dyDescent="0.2">
      <c r="L7759" s="12"/>
      <c r="M7759" s="13"/>
    </row>
    <row r="7760" spans="12:13" x14ac:dyDescent="0.2">
      <c r="L7760" s="12"/>
      <c r="M7760" s="13"/>
    </row>
    <row r="7761" spans="12:13" x14ac:dyDescent="0.2">
      <c r="L7761" s="12"/>
      <c r="M7761" s="13"/>
    </row>
    <row r="7762" spans="12:13" x14ac:dyDescent="0.2">
      <c r="L7762" s="12"/>
      <c r="M7762" s="13"/>
    </row>
    <row r="7763" spans="12:13" x14ac:dyDescent="0.2">
      <c r="L7763" s="12"/>
      <c r="M7763" s="13"/>
    </row>
    <row r="7764" spans="12:13" x14ac:dyDescent="0.2">
      <c r="L7764" s="12"/>
      <c r="M7764" s="13"/>
    </row>
    <row r="7765" spans="12:13" x14ac:dyDescent="0.2">
      <c r="L7765" s="12"/>
      <c r="M7765" s="13"/>
    </row>
    <row r="7766" spans="12:13" x14ac:dyDescent="0.2">
      <c r="L7766" s="12"/>
      <c r="M7766" s="13"/>
    </row>
    <row r="7767" spans="12:13" x14ac:dyDescent="0.2">
      <c r="L7767" s="12"/>
      <c r="M7767" s="13"/>
    </row>
    <row r="7768" spans="12:13" x14ac:dyDescent="0.2">
      <c r="L7768" s="12"/>
      <c r="M7768" s="13"/>
    </row>
    <row r="7769" spans="12:13" x14ac:dyDescent="0.2">
      <c r="L7769" s="12"/>
      <c r="M7769" s="13"/>
    </row>
    <row r="7770" spans="12:13" x14ac:dyDescent="0.2">
      <c r="L7770" s="12"/>
      <c r="M7770" s="13"/>
    </row>
    <row r="7771" spans="12:13" x14ac:dyDescent="0.2">
      <c r="L7771" s="12"/>
      <c r="M7771" s="13"/>
    </row>
    <row r="7772" spans="12:13" x14ac:dyDescent="0.2">
      <c r="L7772" s="12"/>
      <c r="M7772" s="13"/>
    </row>
    <row r="7773" spans="12:13" x14ac:dyDescent="0.2">
      <c r="L7773" s="12"/>
      <c r="M7773" s="13"/>
    </row>
    <row r="7774" spans="12:13" x14ac:dyDescent="0.2">
      <c r="L7774" s="12"/>
      <c r="M7774" s="13"/>
    </row>
    <row r="7775" spans="12:13" x14ac:dyDescent="0.2">
      <c r="L7775" s="12"/>
      <c r="M7775" s="13"/>
    </row>
    <row r="7776" spans="12:13" x14ac:dyDescent="0.2">
      <c r="L7776" s="12"/>
      <c r="M7776" s="13"/>
    </row>
    <row r="7777" spans="12:13" x14ac:dyDescent="0.2">
      <c r="L7777" s="12"/>
      <c r="M7777" s="13"/>
    </row>
    <row r="7778" spans="12:13" x14ac:dyDescent="0.2">
      <c r="L7778" s="12"/>
      <c r="M7778" s="13"/>
    </row>
    <row r="7779" spans="12:13" x14ac:dyDescent="0.2">
      <c r="L7779" s="12"/>
      <c r="M7779" s="13"/>
    </row>
    <row r="7780" spans="12:13" x14ac:dyDescent="0.2">
      <c r="L7780" s="12"/>
      <c r="M7780" s="13"/>
    </row>
    <row r="7781" spans="12:13" x14ac:dyDescent="0.2">
      <c r="L7781" s="12"/>
      <c r="M7781" s="13"/>
    </row>
    <row r="7782" spans="12:13" x14ac:dyDescent="0.2">
      <c r="L7782" s="12"/>
      <c r="M7782" s="13"/>
    </row>
    <row r="7783" spans="12:13" x14ac:dyDescent="0.2">
      <c r="L7783" s="12"/>
      <c r="M7783" s="13"/>
    </row>
    <row r="7784" spans="12:13" x14ac:dyDescent="0.2">
      <c r="L7784" s="12"/>
      <c r="M7784" s="13"/>
    </row>
    <row r="7785" spans="12:13" x14ac:dyDescent="0.2">
      <c r="L7785" s="12"/>
      <c r="M7785" s="13"/>
    </row>
    <row r="7786" spans="12:13" x14ac:dyDescent="0.2">
      <c r="L7786" s="12"/>
      <c r="M7786" s="13"/>
    </row>
    <row r="7787" spans="12:13" x14ac:dyDescent="0.2">
      <c r="L7787" s="12"/>
      <c r="M7787" s="13"/>
    </row>
    <row r="7788" spans="12:13" x14ac:dyDescent="0.2">
      <c r="L7788" s="12"/>
      <c r="M7788" s="13"/>
    </row>
    <row r="7789" spans="12:13" x14ac:dyDescent="0.2">
      <c r="L7789" s="12"/>
      <c r="M7789" s="13"/>
    </row>
    <row r="7790" spans="12:13" x14ac:dyDescent="0.2">
      <c r="L7790" s="12"/>
      <c r="M7790" s="13"/>
    </row>
    <row r="7791" spans="12:13" x14ac:dyDescent="0.2">
      <c r="L7791" s="12"/>
      <c r="M7791" s="13"/>
    </row>
    <row r="7792" spans="12:13" x14ac:dyDescent="0.2">
      <c r="L7792" s="12"/>
      <c r="M7792" s="13"/>
    </row>
    <row r="7793" spans="12:13" x14ac:dyDescent="0.2">
      <c r="L7793" s="12"/>
      <c r="M7793" s="13"/>
    </row>
    <row r="7794" spans="12:13" x14ac:dyDescent="0.2">
      <c r="L7794" s="12"/>
      <c r="M7794" s="13"/>
    </row>
    <row r="7795" spans="12:13" x14ac:dyDescent="0.2">
      <c r="L7795" s="12"/>
      <c r="M7795" s="13"/>
    </row>
    <row r="7796" spans="12:13" x14ac:dyDescent="0.2">
      <c r="L7796" s="12"/>
      <c r="M7796" s="13"/>
    </row>
    <row r="7797" spans="12:13" x14ac:dyDescent="0.2">
      <c r="L7797" s="12"/>
      <c r="M7797" s="13"/>
    </row>
    <row r="7798" spans="12:13" x14ac:dyDescent="0.2">
      <c r="L7798" s="12"/>
      <c r="M7798" s="13"/>
    </row>
    <row r="7799" spans="12:13" x14ac:dyDescent="0.2">
      <c r="L7799" s="12"/>
      <c r="M7799" s="13"/>
    </row>
    <row r="7800" spans="12:13" x14ac:dyDescent="0.2">
      <c r="L7800" s="12"/>
      <c r="M7800" s="13"/>
    </row>
    <row r="7801" spans="12:13" x14ac:dyDescent="0.2">
      <c r="L7801" s="12"/>
      <c r="M7801" s="13"/>
    </row>
    <row r="7802" spans="12:13" x14ac:dyDescent="0.2">
      <c r="L7802" s="12"/>
      <c r="M7802" s="13"/>
    </row>
    <row r="7803" spans="12:13" x14ac:dyDescent="0.2">
      <c r="L7803" s="12"/>
      <c r="M7803" s="13"/>
    </row>
    <row r="7804" spans="12:13" x14ac:dyDescent="0.2">
      <c r="L7804" s="12"/>
      <c r="M7804" s="13"/>
    </row>
    <row r="7805" spans="12:13" x14ac:dyDescent="0.2">
      <c r="L7805" s="12"/>
      <c r="M7805" s="13"/>
    </row>
    <row r="7806" spans="12:13" x14ac:dyDescent="0.2">
      <c r="L7806" s="12"/>
      <c r="M7806" s="13"/>
    </row>
    <row r="7807" spans="12:13" x14ac:dyDescent="0.2">
      <c r="L7807" s="12"/>
      <c r="M7807" s="13"/>
    </row>
    <row r="7808" spans="12:13" x14ac:dyDescent="0.2">
      <c r="L7808" s="12"/>
      <c r="M7808" s="13"/>
    </row>
    <row r="7809" spans="12:13" x14ac:dyDescent="0.2">
      <c r="L7809" s="12"/>
      <c r="M7809" s="13"/>
    </row>
    <row r="7810" spans="12:13" x14ac:dyDescent="0.2">
      <c r="L7810" s="12"/>
      <c r="M7810" s="13"/>
    </row>
    <row r="7811" spans="12:13" x14ac:dyDescent="0.2">
      <c r="L7811" s="12"/>
      <c r="M7811" s="13"/>
    </row>
    <row r="7812" spans="12:13" x14ac:dyDescent="0.2">
      <c r="L7812" s="12"/>
      <c r="M7812" s="13"/>
    </row>
    <row r="7813" spans="12:13" x14ac:dyDescent="0.2">
      <c r="L7813" s="12"/>
      <c r="M7813" s="13"/>
    </row>
    <row r="7814" spans="12:13" x14ac:dyDescent="0.2">
      <c r="L7814" s="12"/>
      <c r="M7814" s="13"/>
    </row>
    <row r="7815" spans="12:13" x14ac:dyDescent="0.2">
      <c r="L7815" s="12"/>
      <c r="M7815" s="13"/>
    </row>
    <row r="7816" spans="12:13" x14ac:dyDescent="0.2">
      <c r="L7816" s="12"/>
      <c r="M7816" s="13"/>
    </row>
    <row r="7817" spans="12:13" x14ac:dyDescent="0.2">
      <c r="L7817" s="12"/>
      <c r="M7817" s="13"/>
    </row>
    <row r="7818" spans="12:13" x14ac:dyDescent="0.2">
      <c r="L7818" s="12"/>
      <c r="M7818" s="13"/>
    </row>
    <row r="7819" spans="12:13" x14ac:dyDescent="0.2">
      <c r="L7819" s="12"/>
      <c r="M7819" s="13"/>
    </row>
    <row r="7820" spans="12:13" x14ac:dyDescent="0.2">
      <c r="L7820" s="12"/>
      <c r="M7820" s="13"/>
    </row>
    <row r="7821" spans="12:13" x14ac:dyDescent="0.2">
      <c r="L7821" s="12"/>
      <c r="M7821" s="13"/>
    </row>
    <row r="7822" spans="12:13" x14ac:dyDescent="0.2">
      <c r="L7822" s="12"/>
      <c r="M7822" s="13"/>
    </row>
    <row r="7823" spans="12:13" x14ac:dyDescent="0.2">
      <c r="L7823" s="12"/>
      <c r="M7823" s="13"/>
    </row>
    <row r="7824" spans="12:13" x14ac:dyDescent="0.2">
      <c r="L7824" s="12"/>
      <c r="M7824" s="13"/>
    </row>
    <row r="7825" spans="12:13" x14ac:dyDescent="0.2">
      <c r="L7825" s="12"/>
      <c r="M7825" s="13"/>
    </row>
    <row r="7826" spans="12:13" x14ac:dyDescent="0.2">
      <c r="L7826" s="12"/>
      <c r="M7826" s="13"/>
    </row>
    <row r="7827" spans="12:13" x14ac:dyDescent="0.2">
      <c r="L7827" s="12"/>
      <c r="M7827" s="13"/>
    </row>
    <row r="7828" spans="12:13" x14ac:dyDescent="0.2">
      <c r="L7828" s="12"/>
      <c r="M7828" s="13"/>
    </row>
    <row r="7829" spans="12:13" x14ac:dyDescent="0.2">
      <c r="L7829" s="12"/>
      <c r="M7829" s="13"/>
    </row>
    <row r="7830" spans="12:13" x14ac:dyDescent="0.2">
      <c r="L7830" s="12"/>
      <c r="M7830" s="13"/>
    </row>
    <row r="7831" spans="12:13" x14ac:dyDescent="0.2">
      <c r="L7831" s="12"/>
      <c r="M7831" s="13"/>
    </row>
    <row r="7832" spans="12:13" x14ac:dyDescent="0.2">
      <c r="L7832" s="12"/>
      <c r="M7832" s="13"/>
    </row>
    <row r="7833" spans="12:13" x14ac:dyDescent="0.2">
      <c r="L7833" s="12"/>
      <c r="M7833" s="13"/>
    </row>
    <row r="7834" spans="12:13" x14ac:dyDescent="0.2">
      <c r="L7834" s="12"/>
      <c r="M7834" s="13"/>
    </row>
    <row r="7835" spans="12:13" x14ac:dyDescent="0.2">
      <c r="L7835" s="12"/>
      <c r="M7835" s="13"/>
    </row>
    <row r="7836" spans="12:13" x14ac:dyDescent="0.2">
      <c r="L7836" s="12"/>
      <c r="M7836" s="13"/>
    </row>
    <row r="7837" spans="12:13" x14ac:dyDescent="0.2">
      <c r="L7837" s="12"/>
      <c r="M7837" s="13"/>
    </row>
    <row r="7838" spans="12:13" x14ac:dyDescent="0.2">
      <c r="L7838" s="12"/>
      <c r="M7838" s="13"/>
    </row>
    <row r="7839" spans="12:13" x14ac:dyDescent="0.2">
      <c r="L7839" s="12"/>
      <c r="M7839" s="13"/>
    </row>
    <row r="7840" spans="12:13" x14ac:dyDescent="0.2">
      <c r="L7840" s="12"/>
      <c r="M7840" s="13"/>
    </row>
    <row r="7841" spans="12:13" x14ac:dyDescent="0.2">
      <c r="L7841" s="12"/>
      <c r="M7841" s="13"/>
    </row>
    <row r="7842" spans="12:13" x14ac:dyDescent="0.2">
      <c r="L7842" s="12"/>
      <c r="M7842" s="13"/>
    </row>
    <row r="7843" spans="12:13" x14ac:dyDescent="0.2">
      <c r="L7843" s="12"/>
      <c r="M7843" s="13"/>
    </row>
    <row r="7844" spans="12:13" x14ac:dyDescent="0.2">
      <c r="L7844" s="12"/>
      <c r="M7844" s="13"/>
    </row>
    <row r="7845" spans="12:13" x14ac:dyDescent="0.2">
      <c r="L7845" s="12"/>
      <c r="M7845" s="13"/>
    </row>
    <row r="7846" spans="12:13" x14ac:dyDescent="0.2">
      <c r="L7846" s="12"/>
      <c r="M7846" s="13"/>
    </row>
    <row r="7847" spans="12:13" x14ac:dyDescent="0.2">
      <c r="L7847" s="12"/>
      <c r="M7847" s="13"/>
    </row>
    <row r="7848" spans="12:13" x14ac:dyDescent="0.2">
      <c r="L7848" s="12"/>
      <c r="M7848" s="13"/>
    </row>
    <row r="7849" spans="12:13" x14ac:dyDescent="0.2">
      <c r="L7849" s="12"/>
      <c r="M7849" s="13"/>
    </row>
    <row r="7850" spans="12:13" x14ac:dyDescent="0.2">
      <c r="L7850" s="12"/>
      <c r="M7850" s="13"/>
    </row>
    <row r="7851" spans="12:13" x14ac:dyDescent="0.2">
      <c r="L7851" s="12"/>
      <c r="M7851" s="13"/>
    </row>
    <row r="7852" spans="12:13" x14ac:dyDescent="0.2">
      <c r="L7852" s="12"/>
      <c r="M7852" s="13"/>
    </row>
    <row r="7853" spans="12:13" x14ac:dyDescent="0.2">
      <c r="L7853" s="12"/>
      <c r="M7853" s="13"/>
    </row>
    <row r="7854" spans="12:13" x14ac:dyDescent="0.2">
      <c r="L7854" s="12"/>
      <c r="M7854" s="13"/>
    </row>
    <row r="7855" spans="12:13" x14ac:dyDescent="0.2">
      <c r="L7855" s="12"/>
      <c r="M7855" s="13"/>
    </row>
    <row r="7856" spans="12:13" x14ac:dyDescent="0.2">
      <c r="L7856" s="12"/>
      <c r="M7856" s="13"/>
    </row>
    <row r="7857" spans="12:13" x14ac:dyDescent="0.2">
      <c r="L7857" s="12"/>
      <c r="M7857" s="13"/>
    </row>
    <row r="7858" spans="12:13" x14ac:dyDescent="0.2">
      <c r="L7858" s="12"/>
      <c r="M7858" s="13"/>
    </row>
    <row r="7859" spans="12:13" x14ac:dyDescent="0.2">
      <c r="L7859" s="12"/>
      <c r="M7859" s="13"/>
    </row>
    <row r="7860" spans="12:13" x14ac:dyDescent="0.2">
      <c r="L7860" s="12"/>
      <c r="M7860" s="13"/>
    </row>
    <row r="7861" spans="12:13" x14ac:dyDescent="0.2">
      <c r="L7861" s="12"/>
      <c r="M7861" s="13"/>
    </row>
    <row r="7862" spans="12:13" x14ac:dyDescent="0.2">
      <c r="L7862" s="12"/>
      <c r="M7862" s="13"/>
    </row>
    <row r="7863" spans="12:13" x14ac:dyDescent="0.2">
      <c r="L7863" s="12"/>
      <c r="M7863" s="13"/>
    </row>
    <row r="7864" spans="12:13" x14ac:dyDescent="0.2">
      <c r="L7864" s="12"/>
      <c r="M7864" s="13"/>
    </row>
    <row r="7865" spans="12:13" x14ac:dyDescent="0.2">
      <c r="L7865" s="12"/>
      <c r="M7865" s="13"/>
    </row>
    <row r="7866" spans="12:13" x14ac:dyDescent="0.2">
      <c r="L7866" s="12"/>
      <c r="M7866" s="13"/>
    </row>
    <row r="7867" spans="12:13" x14ac:dyDescent="0.2">
      <c r="L7867" s="12"/>
      <c r="M7867" s="13"/>
    </row>
    <row r="7868" spans="12:13" x14ac:dyDescent="0.2">
      <c r="L7868" s="12"/>
      <c r="M7868" s="13"/>
    </row>
    <row r="7869" spans="12:13" x14ac:dyDescent="0.2">
      <c r="L7869" s="12"/>
      <c r="M7869" s="13"/>
    </row>
    <row r="7870" spans="12:13" x14ac:dyDescent="0.2">
      <c r="L7870" s="12"/>
      <c r="M7870" s="13"/>
    </row>
    <row r="7871" spans="12:13" x14ac:dyDescent="0.2">
      <c r="L7871" s="12"/>
      <c r="M7871" s="13"/>
    </row>
    <row r="7872" spans="12:13" x14ac:dyDescent="0.2">
      <c r="L7872" s="12"/>
      <c r="M7872" s="13"/>
    </row>
    <row r="7873" spans="12:13" x14ac:dyDescent="0.2">
      <c r="L7873" s="12"/>
      <c r="M7873" s="13"/>
    </row>
    <row r="7874" spans="12:13" x14ac:dyDescent="0.2">
      <c r="L7874" s="12"/>
      <c r="M7874" s="13"/>
    </row>
    <row r="7875" spans="12:13" x14ac:dyDescent="0.2">
      <c r="L7875" s="12"/>
      <c r="M7875" s="13"/>
    </row>
    <row r="7876" spans="12:13" x14ac:dyDescent="0.2">
      <c r="L7876" s="12"/>
      <c r="M7876" s="13"/>
    </row>
    <row r="7877" spans="12:13" x14ac:dyDescent="0.2">
      <c r="L7877" s="12"/>
      <c r="M7877" s="13"/>
    </row>
    <row r="7878" spans="12:13" x14ac:dyDescent="0.2">
      <c r="L7878" s="12"/>
      <c r="M7878" s="13"/>
    </row>
    <row r="7879" spans="12:13" x14ac:dyDescent="0.2">
      <c r="L7879" s="12"/>
      <c r="M7879" s="13"/>
    </row>
    <row r="7880" spans="12:13" x14ac:dyDescent="0.2">
      <c r="L7880" s="12"/>
      <c r="M7880" s="13"/>
    </row>
    <row r="7881" spans="12:13" x14ac:dyDescent="0.2">
      <c r="L7881" s="12"/>
      <c r="M7881" s="13"/>
    </row>
    <row r="7882" spans="12:13" x14ac:dyDescent="0.2">
      <c r="L7882" s="12"/>
      <c r="M7882" s="13"/>
    </row>
    <row r="7883" spans="12:13" x14ac:dyDescent="0.2">
      <c r="L7883" s="12"/>
      <c r="M7883" s="13"/>
    </row>
    <row r="7884" spans="12:13" x14ac:dyDescent="0.2">
      <c r="L7884" s="12"/>
      <c r="M7884" s="13"/>
    </row>
    <row r="7885" spans="12:13" x14ac:dyDescent="0.2">
      <c r="L7885" s="12"/>
      <c r="M7885" s="13"/>
    </row>
    <row r="7886" spans="12:13" x14ac:dyDescent="0.2">
      <c r="L7886" s="12"/>
      <c r="M7886" s="13"/>
    </row>
    <row r="7887" spans="12:13" x14ac:dyDescent="0.2">
      <c r="L7887" s="12"/>
      <c r="M7887" s="13"/>
    </row>
    <row r="7888" spans="12:13" x14ac:dyDescent="0.2">
      <c r="L7888" s="12"/>
      <c r="M7888" s="13"/>
    </row>
    <row r="7889" spans="12:13" x14ac:dyDescent="0.2">
      <c r="L7889" s="12"/>
      <c r="M7889" s="13"/>
    </row>
    <row r="7890" spans="12:13" x14ac:dyDescent="0.2">
      <c r="L7890" s="12"/>
      <c r="M7890" s="13"/>
    </row>
    <row r="7891" spans="12:13" x14ac:dyDescent="0.2">
      <c r="L7891" s="12"/>
      <c r="M7891" s="13"/>
    </row>
    <row r="7892" spans="12:13" x14ac:dyDescent="0.2">
      <c r="L7892" s="12"/>
      <c r="M7892" s="13"/>
    </row>
    <row r="7893" spans="12:13" x14ac:dyDescent="0.2">
      <c r="L7893" s="12"/>
      <c r="M7893" s="13"/>
    </row>
    <row r="7894" spans="12:13" x14ac:dyDescent="0.2">
      <c r="L7894" s="12"/>
      <c r="M7894" s="13"/>
    </row>
    <row r="7895" spans="12:13" x14ac:dyDescent="0.2">
      <c r="L7895" s="12"/>
      <c r="M7895" s="13"/>
    </row>
    <row r="7896" spans="12:13" x14ac:dyDescent="0.2">
      <c r="L7896" s="12"/>
      <c r="M7896" s="13"/>
    </row>
    <row r="7897" spans="12:13" x14ac:dyDescent="0.2">
      <c r="L7897" s="12"/>
      <c r="M7897" s="13"/>
    </row>
    <row r="7898" spans="12:13" x14ac:dyDescent="0.2">
      <c r="L7898" s="12"/>
      <c r="M7898" s="13"/>
    </row>
    <row r="7899" spans="12:13" x14ac:dyDescent="0.2">
      <c r="L7899" s="12"/>
      <c r="M7899" s="13"/>
    </row>
    <row r="7900" spans="12:13" x14ac:dyDescent="0.2">
      <c r="L7900" s="12"/>
      <c r="M7900" s="13"/>
    </row>
    <row r="7901" spans="12:13" x14ac:dyDescent="0.2">
      <c r="L7901" s="12"/>
      <c r="M7901" s="13"/>
    </row>
    <row r="7902" spans="12:13" x14ac:dyDescent="0.2">
      <c r="L7902" s="12"/>
      <c r="M7902" s="13"/>
    </row>
    <row r="7903" spans="12:13" x14ac:dyDescent="0.2">
      <c r="L7903" s="12"/>
      <c r="M7903" s="13"/>
    </row>
    <row r="7904" spans="12:13" x14ac:dyDescent="0.2">
      <c r="L7904" s="12"/>
      <c r="M7904" s="13"/>
    </row>
    <row r="7905" spans="12:13" x14ac:dyDescent="0.2">
      <c r="L7905" s="12"/>
      <c r="M7905" s="13"/>
    </row>
    <row r="7906" spans="12:13" x14ac:dyDescent="0.2">
      <c r="L7906" s="12"/>
      <c r="M7906" s="13"/>
    </row>
    <row r="7907" spans="12:13" x14ac:dyDescent="0.2">
      <c r="L7907" s="12"/>
      <c r="M7907" s="13"/>
    </row>
    <row r="7908" spans="12:13" x14ac:dyDescent="0.2">
      <c r="L7908" s="12"/>
      <c r="M7908" s="13"/>
    </row>
    <row r="7909" spans="12:13" x14ac:dyDescent="0.2">
      <c r="L7909" s="12"/>
      <c r="M7909" s="13"/>
    </row>
    <row r="7910" spans="12:13" x14ac:dyDescent="0.2">
      <c r="L7910" s="12"/>
      <c r="M7910" s="13"/>
    </row>
    <row r="7911" spans="12:13" x14ac:dyDescent="0.2">
      <c r="L7911" s="12"/>
      <c r="M7911" s="13"/>
    </row>
    <row r="7912" spans="12:13" x14ac:dyDescent="0.2">
      <c r="L7912" s="12"/>
      <c r="M7912" s="13"/>
    </row>
    <row r="7913" spans="12:13" x14ac:dyDescent="0.2">
      <c r="L7913" s="12"/>
      <c r="M7913" s="13"/>
    </row>
    <row r="7914" spans="12:13" x14ac:dyDescent="0.2">
      <c r="L7914" s="12"/>
      <c r="M7914" s="13"/>
    </row>
    <row r="7915" spans="12:13" x14ac:dyDescent="0.2">
      <c r="L7915" s="12"/>
      <c r="M7915" s="13"/>
    </row>
    <row r="7916" spans="12:13" x14ac:dyDescent="0.2">
      <c r="L7916" s="12"/>
      <c r="M7916" s="13"/>
    </row>
    <row r="7917" spans="12:13" x14ac:dyDescent="0.2">
      <c r="L7917" s="12"/>
      <c r="M7917" s="13"/>
    </row>
    <row r="7918" spans="12:13" x14ac:dyDescent="0.2">
      <c r="L7918" s="12"/>
      <c r="M7918" s="13"/>
    </row>
    <row r="7919" spans="12:13" x14ac:dyDescent="0.2">
      <c r="L7919" s="12"/>
      <c r="M7919" s="13"/>
    </row>
    <row r="7920" spans="12:13" x14ac:dyDescent="0.2">
      <c r="L7920" s="12"/>
      <c r="M7920" s="13"/>
    </row>
    <row r="7921" spans="12:13" x14ac:dyDescent="0.2">
      <c r="L7921" s="12"/>
      <c r="M7921" s="13"/>
    </row>
    <row r="7922" spans="12:13" x14ac:dyDescent="0.2">
      <c r="L7922" s="12"/>
      <c r="M7922" s="13"/>
    </row>
    <row r="7923" spans="12:13" x14ac:dyDescent="0.2">
      <c r="L7923" s="12"/>
      <c r="M7923" s="13"/>
    </row>
    <row r="7924" spans="12:13" x14ac:dyDescent="0.2">
      <c r="L7924" s="12"/>
      <c r="M7924" s="13"/>
    </row>
    <row r="7925" spans="12:13" x14ac:dyDescent="0.2">
      <c r="L7925" s="12"/>
      <c r="M7925" s="13"/>
    </row>
    <row r="7926" spans="12:13" x14ac:dyDescent="0.2">
      <c r="L7926" s="12"/>
      <c r="M7926" s="13"/>
    </row>
    <row r="7927" spans="12:13" x14ac:dyDescent="0.2">
      <c r="L7927" s="12"/>
      <c r="M7927" s="13"/>
    </row>
    <row r="7928" spans="12:13" x14ac:dyDescent="0.2">
      <c r="L7928" s="12"/>
      <c r="M7928" s="13"/>
    </row>
    <row r="7929" spans="12:13" x14ac:dyDescent="0.2">
      <c r="L7929" s="12"/>
      <c r="M7929" s="13"/>
    </row>
    <row r="7930" spans="12:13" x14ac:dyDescent="0.2">
      <c r="L7930" s="12"/>
      <c r="M7930" s="13"/>
    </row>
    <row r="7931" spans="12:13" x14ac:dyDescent="0.2">
      <c r="L7931" s="12"/>
      <c r="M7931" s="13"/>
    </row>
    <row r="7932" spans="12:13" x14ac:dyDescent="0.2">
      <c r="L7932" s="12"/>
      <c r="M7932" s="13"/>
    </row>
    <row r="7933" spans="12:13" x14ac:dyDescent="0.2">
      <c r="L7933" s="12"/>
      <c r="M7933" s="13"/>
    </row>
    <row r="7934" spans="12:13" x14ac:dyDescent="0.2">
      <c r="L7934" s="12"/>
      <c r="M7934" s="13"/>
    </row>
    <row r="7935" spans="12:13" x14ac:dyDescent="0.2">
      <c r="L7935" s="12"/>
      <c r="M7935" s="13"/>
    </row>
    <row r="7936" spans="12:13" x14ac:dyDescent="0.2">
      <c r="L7936" s="12"/>
      <c r="M7936" s="13"/>
    </row>
    <row r="7937" spans="12:13" x14ac:dyDescent="0.2">
      <c r="L7937" s="12"/>
      <c r="M7937" s="13"/>
    </row>
    <row r="7938" spans="12:13" x14ac:dyDescent="0.2">
      <c r="L7938" s="17"/>
      <c r="M7938" s="18"/>
    </row>
    <row r="7939" spans="12:13" x14ac:dyDescent="0.2">
      <c r="L7939" s="12"/>
      <c r="M7939" s="13"/>
    </row>
    <row r="7940" spans="12:13" x14ac:dyDescent="0.2">
      <c r="L7940" s="12"/>
      <c r="M7940" s="13"/>
    </row>
    <row r="7941" spans="12:13" x14ac:dyDescent="0.2">
      <c r="L7941" s="12"/>
      <c r="M7941" s="13"/>
    </row>
    <row r="7942" spans="12:13" x14ac:dyDescent="0.2">
      <c r="L7942" s="12"/>
      <c r="M7942" s="13"/>
    </row>
    <row r="7943" spans="12:13" x14ac:dyDescent="0.2">
      <c r="L7943" s="12"/>
      <c r="M7943" s="13"/>
    </row>
    <row r="7944" spans="12:13" x14ac:dyDescent="0.2">
      <c r="L7944" s="12"/>
      <c r="M7944" s="13"/>
    </row>
    <row r="7945" spans="12:13" x14ac:dyDescent="0.2">
      <c r="L7945" s="12"/>
      <c r="M7945" s="13"/>
    </row>
    <row r="7946" spans="12:13" x14ac:dyDescent="0.2">
      <c r="L7946" s="12"/>
      <c r="M7946" s="13"/>
    </row>
    <row r="7947" spans="12:13" x14ac:dyDescent="0.2">
      <c r="L7947" s="12"/>
      <c r="M7947" s="13"/>
    </row>
    <row r="7948" spans="12:13" x14ac:dyDescent="0.2">
      <c r="L7948" s="12"/>
      <c r="M7948" s="13"/>
    </row>
    <row r="7949" spans="12:13" x14ac:dyDescent="0.2">
      <c r="L7949" s="12"/>
      <c r="M7949" s="13"/>
    </row>
    <row r="7950" spans="12:13" x14ac:dyDescent="0.2">
      <c r="L7950" s="12"/>
      <c r="M7950" s="13"/>
    </row>
    <row r="7951" spans="12:13" x14ac:dyDescent="0.2">
      <c r="L7951" s="12"/>
      <c r="M7951" s="13"/>
    </row>
    <row r="7952" spans="12:13" x14ac:dyDescent="0.2">
      <c r="L7952" s="12"/>
      <c r="M7952" s="13"/>
    </row>
    <row r="7953" spans="12:13" x14ac:dyDescent="0.2">
      <c r="L7953" s="12"/>
      <c r="M7953" s="13"/>
    </row>
    <row r="7954" spans="12:13" x14ac:dyDescent="0.2">
      <c r="L7954" s="12"/>
      <c r="M7954" s="13"/>
    </row>
    <row r="7955" spans="12:13" x14ac:dyDescent="0.2">
      <c r="L7955" s="12"/>
      <c r="M7955" s="13"/>
    </row>
    <row r="7956" spans="12:13" x14ac:dyDescent="0.2">
      <c r="L7956" s="12"/>
      <c r="M7956" s="13"/>
    </row>
    <row r="7957" spans="12:13" x14ac:dyDescent="0.2">
      <c r="L7957" s="12"/>
      <c r="M7957" s="13"/>
    </row>
    <row r="7958" spans="12:13" x14ac:dyDescent="0.2">
      <c r="L7958" s="12"/>
      <c r="M7958" s="13"/>
    </row>
    <row r="7959" spans="12:13" x14ac:dyDescent="0.2">
      <c r="L7959" s="12"/>
      <c r="M7959" s="13"/>
    </row>
    <row r="7960" spans="12:13" x14ac:dyDescent="0.2">
      <c r="L7960" s="12"/>
      <c r="M7960" s="13"/>
    </row>
    <row r="7961" spans="12:13" x14ac:dyDescent="0.2">
      <c r="L7961" s="12"/>
      <c r="M7961" s="13"/>
    </row>
    <row r="7962" spans="12:13" x14ac:dyDescent="0.2">
      <c r="L7962" s="12"/>
      <c r="M7962" s="13"/>
    </row>
    <row r="7963" spans="12:13" x14ac:dyDescent="0.2">
      <c r="L7963" s="12"/>
      <c r="M7963" s="13"/>
    </row>
    <row r="7964" spans="12:13" x14ac:dyDescent="0.2">
      <c r="L7964" s="12"/>
      <c r="M7964" s="13"/>
    </row>
    <row r="7965" spans="12:13" x14ac:dyDescent="0.2">
      <c r="L7965" s="12"/>
      <c r="M7965" s="13"/>
    </row>
    <row r="7966" spans="12:13" x14ac:dyDescent="0.2">
      <c r="L7966" s="12"/>
      <c r="M7966" s="13"/>
    </row>
    <row r="7967" spans="12:13" x14ac:dyDescent="0.2">
      <c r="L7967" s="12"/>
      <c r="M7967" s="13"/>
    </row>
    <row r="7968" spans="12:13" x14ac:dyDescent="0.2">
      <c r="L7968" s="12"/>
      <c r="M7968" s="13"/>
    </row>
    <row r="7969" spans="12:13" x14ac:dyDescent="0.2">
      <c r="L7969" s="12"/>
      <c r="M7969" s="13"/>
    </row>
    <row r="7970" spans="12:13" x14ac:dyDescent="0.2">
      <c r="L7970" s="12"/>
      <c r="M7970" s="13"/>
    </row>
    <row r="7971" spans="12:13" x14ac:dyDescent="0.2">
      <c r="L7971" s="12"/>
      <c r="M7971" s="13"/>
    </row>
    <row r="7972" spans="12:13" x14ac:dyDescent="0.2">
      <c r="L7972" s="12"/>
      <c r="M7972" s="13"/>
    </row>
    <row r="7973" spans="12:13" x14ac:dyDescent="0.2">
      <c r="L7973" s="12"/>
      <c r="M7973" s="13"/>
    </row>
    <row r="7974" spans="12:13" x14ac:dyDescent="0.2">
      <c r="L7974" s="12"/>
      <c r="M7974" s="13"/>
    </row>
    <row r="7975" spans="12:13" x14ac:dyDescent="0.2">
      <c r="L7975" s="12"/>
      <c r="M7975" s="13"/>
    </row>
    <row r="7976" spans="12:13" x14ac:dyDescent="0.2">
      <c r="L7976" s="12"/>
      <c r="M7976" s="13"/>
    </row>
    <row r="7977" spans="12:13" x14ac:dyDescent="0.2">
      <c r="L7977" s="12"/>
      <c r="M7977" s="13"/>
    </row>
    <row r="7978" spans="12:13" x14ac:dyDescent="0.2">
      <c r="L7978" s="12"/>
      <c r="M7978" s="13"/>
    </row>
    <row r="7979" spans="12:13" x14ac:dyDescent="0.2">
      <c r="L7979" s="12"/>
      <c r="M7979" s="13"/>
    </row>
    <row r="7980" spans="12:13" x14ac:dyDescent="0.2">
      <c r="L7980" s="12"/>
      <c r="M7980" s="13"/>
    </row>
    <row r="7981" spans="12:13" x14ac:dyDescent="0.2">
      <c r="L7981" s="12"/>
      <c r="M7981" s="13"/>
    </row>
    <row r="7982" spans="12:13" x14ac:dyDescent="0.2">
      <c r="L7982" s="12"/>
      <c r="M7982" s="13"/>
    </row>
    <row r="7983" spans="12:13" x14ac:dyDescent="0.2">
      <c r="L7983" s="12"/>
      <c r="M7983" s="13"/>
    </row>
    <row r="7984" spans="12:13" x14ac:dyDescent="0.2">
      <c r="L7984" s="12"/>
      <c r="M7984" s="13"/>
    </row>
    <row r="7985" spans="12:13" x14ac:dyDescent="0.2">
      <c r="L7985" s="12"/>
      <c r="M7985" s="13"/>
    </row>
    <row r="7986" spans="12:13" x14ac:dyDescent="0.2">
      <c r="L7986" s="12"/>
      <c r="M7986" s="13"/>
    </row>
    <row r="7987" spans="12:13" x14ac:dyDescent="0.2">
      <c r="L7987" s="12"/>
      <c r="M7987" s="13"/>
    </row>
    <row r="7988" spans="12:13" x14ac:dyDescent="0.2">
      <c r="L7988" s="12"/>
      <c r="M7988" s="13"/>
    </row>
    <row r="7989" spans="12:13" x14ac:dyDescent="0.2">
      <c r="L7989" s="12"/>
      <c r="M7989" s="13"/>
    </row>
    <row r="7990" spans="12:13" x14ac:dyDescent="0.2">
      <c r="L7990" s="12"/>
      <c r="M7990" s="13"/>
    </row>
    <row r="7991" spans="12:13" x14ac:dyDescent="0.2">
      <c r="L7991" s="12"/>
      <c r="M7991" s="13"/>
    </row>
    <row r="7992" spans="12:13" x14ac:dyDescent="0.2">
      <c r="L7992" s="12"/>
      <c r="M7992" s="13"/>
    </row>
    <row r="7993" spans="12:13" x14ac:dyDescent="0.2">
      <c r="L7993" s="12"/>
      <c r="M7993" s="13"/>
    </row>
    <row r="7994" spans="12:13" x14ac:dyDescent="0.2">
      <c r="L7994" s="12"/>
      <c r="M7994" s="13"/>
    </row>
    <row r="7995" spans="12:13" x14ac:dyDescent="0.2">
      <c r="L7995" s="12"/>
      <c r="M7995" s="13"/>
    </row>
    <row r="7996" spans="12:13" x14ac:dyDescent="0.2">
      <c r="L7996" s="12"/>
      <c r="M7996" s="13"/>
    </row>
    <row r="7997" spans="12:13" x14ac:dyDescent="0.2">
      <c r="L7997" s="12"/>
      <c r="M7997" s="13"/>
    </row>
    <row r="7998" spans="12:13" x14ac:dyDescent="0.2">
      <c r="L7998" s="12"/>
      <c r="M7998" s="13"/>
    </row>
    <row r="7999" spans="12:13" x14ac:dyDescent="0.2">
      <c r="L7999" s="12"/>
      <c r="M7999" s="13"/>
    </row>
    <row r="8000" spans="12:13" x14ac:dyDescent="0.2">
      <c r="L8000" s="12"/>
      <c r="M8000" s="13"/>
    </row>
    <row r="8001" spans="12:13" x14ac:dyDescent="0.2">
      <c r="L8001" s="12"/>
      <c r="M8001" s="13"/>
    </row>
    <row r="8002" spans="12:13" x14ac:dyDescent="0.2">
      <c r="L8002" s="12"/>
      <c r="M8002" s="13"/>
    </row>
    <row r="8003" spans="12:13" x14ac:dyDescent="0.2">
      <c r="L8003" s="12"/>
      <c r="M8003" s="13"/>
    </row>
    <row r="8004" spans="12:13" x14ac:dyDescent="0.2">
      <c r="L8004" s="12"/>
      <c r="M8004" s="13"/>
    </row>
    <row r="8005" spans="12:13" x14ac:dyDescent="0.2">
      <c r="L8005" s="12"/>
      <c r="M8005" s="13"/>
    </row>
    <row r="8006" spans="12:13" x14ac:dyDescent="0.2">
      <c r="L8006" s="12"/>
      <c r="M8006" s="13"/>
    </row>
    <row r="8007" spans="12:13" x14ac:dyDescent="0.2">
      <c r="L8007" s="12"/>
      <c r="M8007" s="13"/>
    </row>
    <row r="8008" spans="12:13" x14ac:dyDescent="0.2">
      <c r="L8008" s="12"/>
      <c r="M8008" s="13"/>
    </row>
    <row r="8009" spans="12:13" x14ac:dyDescent="0.2">
      <c r="L8009" s="12"/>
      <c r="M8009" s="13"/>
    </row>
    <row r="8010" spans="12:13" x14ac:dyDescent="0.2">
      <c r="L8010" s="12"/>
      <c r="M8010" s="13"/>
    </row>
    <row r="8011" spans="12:13" x14ac:dyDescent="0.2">
      <c r="L8011" s="12"/>
      <c r="M8011" s="13"/>
    </row>
    <row r="8012" spans="12:13" x14ac:dyDescent="0.2">
      <c r="L8012" s="12"/>
      <c r="M8012" s="13"/>
    </row>
    <row r="8013" spans="12:13" x14ac:dyDescent="0.2">
      <c r="L8013" s="12"/>
      <c r="M8013" s="13"/>
    </row>
    <row r="8014" spans="12:13" x14ac:dyDescent="0.2">
      <c r="L8014" s="12"/>
      <c r="M8014" s="13"/>
    </row>
    <row r="8015" spans="12:13" x14ac:dyDescent="0.2">
      <c r="L8015" s="12"/>
      <c r="M8015" s="13"/>
    </row>
    <row r="8016" spans="12:13" x14ac:dyDescent="0.2">
      <c r="L8016" s="12"/>
      <c r="M8016" s="13"/>
    </row>
    <row r="8017" spans="12:13" x14ac:dyDescent="0.2">
      <c r="L8017" s="12"/>
      <c r="M8017" s="13"/>
    </row>
    <row r="8018" spans="12:13" x14ac:dyDescent="0.2">
      <c r="L8018" s="12"/>
      <c r="M8018" s="13"/>
    </row>
    <row r="8019" spans="12:13" x14ac:dyDescent="0.2">
      <c r="L8019" s="12"/>
      <c r="M8019" s="13"/>
    </row>
    <row r="8020" spans="12:13" x14ac:dyDescent="0.2">
      <c r="L8020" s="12"/>
      <c r="M8020" s="13"/>
    </row>
    <row r="8021" spans="12:13" x14ac:dyDescent="0.2">
      <c r="L8021" s="12"/>
      <c r="M8021" s="13"/>
    </row>
    <row r="8022" spans="12:13" x14ac:dyDescent="0.2">
      <c r="L8022" s="12"/>
      <c r="M8022" s="13"/>
    </row>
    <row r="8023" spans="12:13" x14ac:dyDescent="0.2">
      <c r="L8023" s="12"/>
      <c r="M8023" s="13"/>
    </row>
    <row r="8024" spans="12:13" x14ac:dyDescent="0.2">
      <c r="L8024" s="12"/>
      <c r="M8024" s="13"/>
    </row>
    <row r="8025" spans="12:13" x14ac:dyDescent="0.2">
      <c r="L8025" s="12"/>
      <c r="M8025" s="13"/>
    </row>
    <row r="8026" spans="12:13" x14ac:dyDescent="0.2">
      <c r="L8026" s="12"/>
      <c r="M8026" s="13"/>
    </row>
    <row r="8027" spans="12:13" x14ac:dyDescent="0.2">
      <c r="L8027" s="12"/>
      <c r="M8027" s="13"/>
    </row>
    <row r="8028" spans="12:13" x14ac:dyDescent="0.2">
      <c r="L8028" s="12"/>
      <c r="M8028" s="13"/>
    </row>
    <row r="8029" spans="12:13" x14ac:dyDescent="0.2">
      <c r="L8029" s="12"/>
      <c r="M8029" s="13"/>
    </row>
    <row r="8030" spans="12:13" x14ac:dyDescent="0.2">
      <c r="L8030" s="12"/>
      <c r="M8030" s="13"/>
    </row>
    <row r="8031" spans="12:13" x14ac:dyDescent="0.2">
      <c r="L8031" s="12"/>
      <c r="M8031" s="13"/>
    </row>
    <row r="8032" spans="12:13" x14ac:dyDescent="0.2">
      <c r="L8032" s="12"/>
      <c r="M8032" s="13"/>
    </row>
    <row r="8033" spans="12:13" x14ac:dyDescent="0.2">
      <c r="L8033" s="12"/>
      <c r="M8033" s="13"/>
    </row>
    <row r="8034" spans="12:13" x14ac:dyDescent="0.2">
      <c r="L8034" s="12"/>
      <c r="M8034" s="13"/>
    </row>
    <row r="8035" spans="12:13" x14ac:dyDescent="0.2">
      <c r="L8035" s="12"/>
      <c r="M8035" s="13"/>
    </row>
    <row r="8036" spans="12:13" x14ac:dyDescent="0.2">
      <c r="L8036" s="12"/>
      <c r="M8036" s="13"/>
    </row>
    <row r="8037" spans="12:13" x14ac:dyDescent="0.2">
      <c r="L8037" s="12"/>
      <c r="M8037" s="13"/>
    </row>
    <row r="8038" spans="12:13" x14ac:dyDescent="0.2">
      <c r="L8038" s="12"/>
      <c r="M8038" s="13"/>
    </row>
    <row r="8039" spans="12:13" x14ac:dyDescent="0.2">
      <c r="L8039" s="12"/>
      <c r="M8039" s="13"/>
    </row>
    <row r="8040" spans="12:13" x14ac:dyDescent="0.2">
      <c r="L8040" s="12"/>
      <c r="M8040" s="13"/>
    </row>
    <row r="8041" spans="12:13" x14ac:dyDescent="0.2">
      <c r="L8041" s="12"/>
      <c r="M8041" s="13"/>
    </row>
    <row r="8042" spans="12:13" x14ac:dyDescent="0.2">
      <c r="L8042" s="12"/>
      <c r="M8042" s="13"/>
    </row>
    <row r="8043" spans="12:13" x14ac:dyDescent="0.2">
      <c r="L8043" s="12"/>
      <c r="M8043" s="13"/>
    </row>
    <row r="8044" spans="12:13" x14ac:dyDescent="0.2">
      <c r="L8044" s="12"/>
      <c r="M8044" s="13"/>
    </row>
    <row r="8045" spans="12:13" x14ac:dyDescent="0.2">
      <c r="L8045" s="12"/>
      <c r="M8045" s="13"/>
    </row>
    <row r="8046" spans="12:13" x14ac:dyDescent="0.2">
      <c r="L8046" s="12"/>
      <c r="M8046" s="13"/>
    </row>
    <row r="8047" spans="12:13" x14ac:dyDescent="0.2">
      <c r="L8047" s="12"/>
      <c r="M8047" s="13"/>
    </row>
    <row r="8048" spans="12:13" x14ac:dyDescent="0.2">
      <c r="L8048" s="12"/>
      <c r="M8048" s="13"/>
    </row>
    <row r="8049" spans="12:13" x14ac:dyDescent="0.2">
      <c r="L8049" s="12"/>
      <c r="M8049" s="13"/>
    </row>
    <row r="8050" spans="12:13" x14ac:dyDescent="0.2">
      <c r="L8050" s="12"/>
      <c r="M8050" s="13"/>
    </row>
    <row r="8051" spans="12:13" x14ac:dyDescent="0.2">
      <c r="L8051" s="12"/>
      <c r="M8051" s="13"/>
    </row>
    <row r="8052" spans="12:13" x14ac:dyDescent="0.2">
      <c r="L8052" s="12"/>
      <c r="M8052" s="13"/>
    </row>
    <row r="8053" spans="12:13" x14ac:dyDescent="0.2">
      <c r="L8053" s="12"/>
      <c r="M8053" s="13"/>
    </row>
    <row r="8054" spans="12:13" x14ac:dyDescent="0.2">
      <c r="L8054" s="12"/>
      <c r="M8054" s="13"/>
    </row>
    <row r="8055" spans="12:13" x14ac:dyDescent="0.2">
      <c r="L8055" s="12"/>
      <c r="M8055" s="13"/>
    </row>
    <row r="8056" spans="12:13" x14ac:dyDescent="0.2">
      <c r="L8056" s="12"/>
      <c r="M8056" s="13"/>
    </row>
    <row r="8057" spans="12:13" x14ac:dyDescent="0.2">
      <c r="L8057" s="12"/>
      <c r="M8057" s="13"/>
    </row>
    <row r="8058" spans="12:13" x14ac:dyDescent="0.2">
      <c r="L8058" s="12"/>
      <c r="M8058" s="13"/>
    </row>
    <row r="8059" spans="12:13" x14ac:dyDescent="0.2">
      <c r="L8059" s="12"/>
      <c r="M8059" s="13"/>
    </row>
    <row r="8060" spans="12:13" x14ac:dyDescent="0.2">
      <c r="L8060" s="12"/>
      <c r="M8060" s="13"/>
    </row>
    <row r="8061" spans="12:13" x14ac:dyDescent="0.2">
      <c r="L8061" s="12"/>
      <c r="M8061" s="13"/>
    </row>
    <row r="8062" spans="12:13" x14ac:dyDescent="0.2">
      <c r="L8062" s="12"/>
      <c r="M8062" s="13"/>
    </row>
    <row r="8063" spans="12:13" x14ac:dyDescent="0.2">
      <c r="L8063" s="12"/>
      <c r="M8063" s="13"/>
    </row>
    <row r="8064" spans="12:13" x14ac:dyDescent="0.2">
      <c r="L8064" s="12"/>
      <c r="M8064" s="13"/>
    </row>
    <row r="8065" spans="12:13" x14ac:dyDescent="0.2">
      <c r="L8065" s="12"/>
      <c r="M8065" s="13"/>
    </row>
    <row r="8066" spans="12:13" x14ac:dyDescent="0.2">
      <c r="L8066" s="12"/>
      <c r="M8066" s="13"/>
    </row>
    <row r="8067" spans="12:13" x14ac:dyDescent="0.2">
      <c r="L8067" s="12"/>
      <c r="M8067" s="13"/>
    </row>
    <row r="8068" spans="12:13" x14ac:dyDescent="0.2">
      <c r="L8068" s="12"/>
      <c r="M8068" s="13"/>
    </row>
    <row r="8069" spans="12:13" x14ac:dyDescent="0.2">
      <c r="L8069" s="12"/>
      <c r="M8069" s="13"/>
    </row>
    <row r="8070" spans="12:13" x14ac:dyDescent="0.2">
      <c r="L8070" s="12"/>
      <c r="M8070" s="13"/>
    </row>
    <row r="8071" spans="12:13" x14ac:dyDescent="0.2">
      <c r="L8071" s="12"/>
      <c r="M8071" s="13"/>
    </row>
    <row r="8072" spans="12:13" x14ac:dyDescent="0.2">
      <c r="L8072" s="12"/>
      <c r="M8072" s="13"/>
    </row>
    <row r="8073" spans="12:13" x14ac:dyDescent="0.2">
      <c r="L8073" s="12"/>
      <c r="M8073" s="13"/>
    </row>
    <row r="8074" spans="12:13" x14ac:dyDescent="0.2">
      <c r="L8074" s="12"/>
      <c r="M8074" s="13"/>
    </row>
    <row r="8075" spans="12:13" x14ac:dyDescent="0.2">
      <c r="L8075" s="12"/>
      <c r="M8075" s="13"/>
    </row>
    <row r="8076" spans="12:13" x14ac:dyDescent="0.2">
      <c r="L8076" s="12"/>
      <c r="M8076" s="13"/>
    </row>
    <row r="8077" spans="12:13" x14ac:dyDescent="0.2">
      <c r="L8077" s="12"/>
      <c r="M8077" s="13"/>
    </row>
    <row r="8078" spans="12:13" x14ac:dyDescent="0.2">
      <c r="L8078" s="12"/>
      <c r="M8078" s="13"/>
    </row>
    <row r="8079" spans="12:13" x14ac:dyDescent="0.2">
      <c r="L8079" s="12"/>
      <c r="M8079" s="13"/>
    </row>
    <row r="8080" spans="12:13" x14ac:dyDescent="0.2">
      <c r="L8080" s="12"/>
      <c r="M8080" s="13"/>
    </row>
    <row r="8081" spans="12:13" x14ac:dyDescent="0.2">
      <c r="L8081" s="12"/>
      <c r="M8081" s="13"/>
    </row>
    <row r="8082" spans="12:13" x14ac:dyDescent="0.2">
      <c r="L8082" s="12"/>
      <c r="M8082" s="13"/>
    </row>
    <row r="8083" spans="12:13" x14ac:dyDescent="0.2">
      <c r="L8083" s="12"/>
      <c r="M8083" s="13"/>
    </row>
    <row r="8084" spans="12:13" x14ac:dyDescent="0.2">
      <c r="L8084" s="12"/>
      <c r="M8084" s="13"/>
    </row>
    <row r="8085" spans="12:13" x14ac:dyDescent="0.2">
      <c r="L8085" s="12"/>
      <c r="M8085" s="13"/>
    </row>
    <row r="8086" spans="12:13" x14ac:dyDescent="0.2">
      <c r="L8086" s="12"/>
      <c r="M8086" s="13"/>
    </row>
    <row r="8087" spans="12:13" x14ac:dyDescent="0.2">
      <c r="L8087" s="12"/>
      <c r="M8087" s="13"/>
    </row>
    <row r="8088" spans="12:13" x14ac:dyDescent="0.2">
      <c r="L8088" s="12"/>
      <c r="M8088" s="13"/>
    </row>
    <row r="8089" spans="12:13" x14ac:dyDescent="0.2">
      <c r="L8089" s="12"/>
      <c r="M8089" s="13"/>
    </row>
    <row r="8090" spans="12:13" x14ac:dyDescent="0.2">
      <c r="L8090" s="12"/>
      <c r="M8090" s="13"/>
    </row>
    <row r="8091" spans="12:13" x14ac:dyDescent="0.2">
      <c r="L8091" s="12"/>
      <c r="M8091" s="13"/>
    </row>
    <row r="8092" spans="12:13" x14ac:dyDescent="0.2">
      <c r="L8092" s="12"/>
      <c r="M8092" s="13"/>
    </row>
    <row r="8093" spans="12:13" x14ac:dyDescent="0.2">
      <c r="L8093" s="12"/>
      <c r="M8093" s="13"/>
    </row>
    <row r="8094" spans="12:13" x14ac:dyDescent="0.2">
      <c r="L8094" s="12"/>
      <c r="M8094" s="13"/>
    </row>
    <row r="8095" spans="12:13" x14ac:dyDescent="0.2">
      <c r="L8095" s="12"/>
      <c r="M8095" s="13"/>
    </row>
    <row r="8096" spans="12:13" x14ac:dyDescent="0.2">
      <c r="L8096" s="12"/>
      <c r="M8096" s="13"/>
    </row>
    <row r="8097" spans="12:13" x14ac:dyDescent="0.2">
      <c r="L8097" s="12"/>
      <c r="M8097" s="13"/>
    </row>
    <row r="8098" spans="12:13" x14ac:dyDescent="0.2">
      <c r="L8098" s="12"/>
      <c r="M8098" s="13"/>
    </row>
    <row r="8099" spans="12:13" x14ac:dyDescent="0.2">
      <c r="L8099" s="12"/>
      <c r="M8099" s="13"/>
    </row>
    <row r="8100" spans="12:13" x14ac:dyDescent="0.2">
      <c r="L8100" s="12"/>
      <c r="M8100" s="13"/>
    </row>
    <row r="8101" spans="12:13" x14ac:dyDescent="0.2">
      <c r="L8101" s="12"/>
      <c r="M8101" s="13"/>
    </row>
    <row r="8102" spans="12:13" x14ac:dyDescent="0.2">
      <c r="L8102" s="12"/>
      <c r="M8102" s="13"/>
    </row>
    <row r="8103" spans="12:13" x14ac:dyDescent="0.2">
      <c r="L8103" s="12"/>
      <c r="M8103" s="13"/>
    </row>
    <row r="8104" spans="12:13" x14ac:dyDescent="0.2">
      <c r="L8104" s="12"/>
      <c r="M8104" s="13"/>
    </row>
    <row r="8105" spans="12:13" x14ac:dyDescent="0.2">
      <c r="L8105" s="12"/>
      <c r="M8105" s="13"/>
    </row>
    <row r="8106" spans="12:13" x14ac:dyDescent="0.2">
      <c r="L8106" s="12"/>
      <c r="M8106" s="13"/>
    </row>
    <row r="8107" spans="12:13" x14ac:dyDescent="0.2">
      <c r="L8107" s="12"/>
      <c r="M8107" s="13"/>
    </row>
    <row r="8108" spans="12:13" x14ac:dyDescent="0.2">
      <c r="L8108" s="12"/>
      <c r="M8108" s="13"/>
    </row>
    <row r="8109" spans="12:13" x14ac:dyDescent="0.2">
      <c r="L8109" s="12"/>
      <c r="M8109" s="13"/>
    </row>
    <row r="8110" spans="12:13" x14ac:dyDescent="0.2">
      <c r="L8110" s="12"/>
      <c r="M8110" s="13"/>
    </row>
    <row r="8111" spans="12:13" x14ac:dyDescent="0.2">
      <c r="L8111" s="12"/>
      <c r="M8111" s="13"/>
    </row>
    <row r="8112" spans="12:13" x14ac:dyDescent="0.2">
      <c r="L8112" s="12"/>
      <c r="M8112" s="13"/>
    </row>
    <row r="8113" spans="12:13" x14ac:dyDescent="0.2">
      <c r="L8113" s="12"/>
      <c r="M8113" s="13"/>
    </row>
    <row r="8114" spans="12:13" x14ac:dyDescent="0.2">
      <c r="L8114" s="12"/>
      <c r="M8114" s="13"/>
    </row>
    <row r="8115" spans="12:13" x14ac:dyDescent="0.2">
      <c r="L8115" s="12"/>
      <c r="M8115" s="13"/>
    </row>
    <row r="8116" spans="12:13" x14ac:dyDescent="0.2">
      <c r="L8116" s="12"/>
      <c r="M8116" s="13"/>
    </row>
    <row r="8117" spans="12:13" x14ac:dyDescent="0.2">
      <c r="L8117" s="12"/>
      <c r="M8117" s="13"/>
    </row>
    <row r="8118" spans="12:13" x14ac:dyDescent="0.2">
      <c r="L8118" s="12"/>
      <c r="M8118" s="13"/>
    </row>
    <row r="8119" spans="12:13" x14ac:dyDescent="0.2">
      <c r="L8119" s="12"/>
      <c r="M8119" s="13"/>
    </row>
    <row r="8120" spans="12:13" x14ac:dyDescent="0.2">
      <c r="L8120" s="12"/>
      <c r="M8120" s="13"/>
    </row>
    <row r="8121" spans="12:13" x14ac:dyDescent="0.2">
      <c r="L8121" s="12"/>
      <c r="M8121" s="13"/>
    </row>
    <row r="8122" spans="12:13" x14ac:dyDescent="0.2">
      <c r="L8122" s="12"/>
      <c r="M8122" s="13"/>
    </row>
    <row r="8123" spans="12:13" x14ac:dyDescent="0.2">
      <c r="L8123" s="12"/>
      <c r="M8123" s="13"/>
    </row>
    <row r="8124" spans="12:13" x14ac:dyDescent="0.2">
      <c r="L8124" s="12"/>
      <c r="M8124" s="13"/>
    </row>
    <row r="8125" spans="12:13" x14ac:dyDescent="0.2">
      <c r="L8125" s="12"/>
      <c r="M8125" s="13"/>
    </row>
    <row r="8126" spans="12:13" x14ac:dyDescent="0.2">
      <c r="L8126" s="12"/>
      <c r="M8126" s="13"/>
    </row>
    <row r="8127" spans="12:13" x14ac:dyDescent="0.2">
      <c r="L8127" s="12"/>
      <c r="M8127" s="13"/>
    </row>
    <row r="8128" spans="12:13" x14ac:dyDescent="0.2">
      <c r="L8128" s="12"/>
      <c r="M8128" s="13"/>
    </row>
    <row r="8129" spans="12:13" x14ac:dyDescent="0.2">
      <c r="L8129" s="12"/>
      <c r="M8129" s="13"/>
    </row>
    <row r="8130" spans="12:13" x14ac:dyDescent="0.2">
      <c r="L8130" s="12"/>
      <c r="M8130" s="13"/>
    </row>
    <row r="8131" spans="12:13" x14ac:dyDescent="0.2">
      <c r="L8131" s="12"/>
      <c r="M8131" s="13"/>
    </row>
    <row r="8132" spans="12:13" x14ac:dyDescent="0.2">
      <c r="L8132" s="12"/>
      <c r="M8132" s="13"/>
    </row>
    <row r="8133" spans="12:13" x14ac:dyDescent="0.2">
      <c r="L8133" s="12"/>
      <c r="M8133" s="13"/>
    </row>
    <row r="8134" spans="12:13" x14ac:dyDescent="0.2">
      <c r="L8134" s="12"/>
      <c r="M8134" s="13"/>
    </row>
    <row r="8135" spans="12:13" x14ac:dyDescent="0.2">
      <c r="L8135" s="12"/>
      <c r="M8135" s="13"/>
    </row>
    <row r="8136" spans="12:13" x14ac:dyDescent="0.2">
      <c r="L8136" s="12"/>
      <c r="M8136" s="13"/>
    </row>
    <row r="8137" spans="12:13" x14ac:dyDescent="0.2">
      <c r="L8137" s="12"/>
      <c r="M8137" s="13"/>
    </row>
    <row r="8138" spans="12:13" x14ac:dyDescent="0.2">
      <c r="L8138" s="12"/>
      <c r="M8138" s="13"/>
    </row>
    <row r="8139" spans="12:13" x14ac:dyDescent="0.2">
      <c r="L8139" s="12"/>
      <c r="M8139" s="13"/>
    </row>
    <row r="8140" spans="12:13" x14ac:dyDescent="0.2">
      <c r="L8140" s="12"/>
      <c r="M8140" s="13"/>
    </row>
    <row r="8141" spans="12:13" x14ac:dyDescent="0.2">
      <c r="L8141" s="12"/>
      <c r="M8141" s="13"/>
    </row>
    <row r="8142" spans="12:13" x14ac:dyDescent="0.2">
      <c r="L8142" s="12"/>
      <c r="M8142" s="13"/>
    </row>
    <row r="8143" spans="12:13" x14ac:dyDescent="0.2">
      <c r="L8143" s="12"/>
      <c r="M8143" s="13"/>
    </row>
    <row r="8144" spans="12:13" x14ac:dyDescent="0.2">
      <c r="L8144" s="12"/>
      <c r="M8144" s="13"/>
    </row>
    <row r="8145" spans="12:13" x14ac:dyDescent="0.2">
      <c r="L8145" s="12"/>
      <c r="M8145" s="13"/>
    </row>
    <row r="8146" spans="12:13" x14ac:dyDescent="0.2">
      <c r="L8146" s="12"/>
      <c r="M8146" s="13"/>
    </row>
    <row r="8147" spans="12:13" x14ac:dyDescent="0.2">
      <c r="L8147" s="12"/>
      <c r="M8147" s="13"/>
    </row>
    <row r="8148" spans="12:13" x14ac:dyDescent="0.2">
      <c r="L8148" s="12"/>
      <c r="M8148" s="13"/>
    </row>
    <row r="8149" spans="12:13" x14ac:dyDescent="0.2">
      <c r="L8149" s="12"/>
      <c r="M8149" s="13"/>
    </row>
    <row r="8150" spans="12:13" x14ac:dyDescent="0.2">
      <c r="L8150" s="12"/>
      <c r="M8150" s="13"/>
    </row>
    <row r="8151" spans="12:13" x14ac:dyDescent="0.2">
      <c r="L8151" s="12"/>
      <c r="M8151" s="13"/>
    </row>
    <row r="8152" spans="12:13" x14ac:dyDescent="0.2">
      <c r="L8152" s="12"/>
      <c r="M8152" s="13"/>
    </row>
    <row r="8153" spans="12:13" x14ac:dyDescent="0.2">
      <c r="L8153" s="12"/>
      <c r="M8153" s="13"/>
    </row>
    <row r="8154" spans="12:13" x14ac:dyDescent="0.2">
      <c r="L8154" s="12"/>
      <c r="M8154" s="13"/>
    </row>
    <row r="8155" spans="12:13" x14ac:dyDescent="0.2">
      <c r="L8155" s="12"/>
      <c r="M8155" s="13"/>
    </row>
    <row r="8156" spans="12:13" x14ac:dyDescent="0.2">
      <c r="L8156" s="12"/>
      <c r="M8156" s="13"/>
    </row>
    <row r="8157" spans="12:13" x14ac:dyDescent="0.2">
      <c r="L8157" s="12"/>
      <c r="M8157" s="13"/>
    </row>
    <row r="8158" spans="12:13" x14ac:dyDescent="0.2">
      <c r="L8158" s="12"/>
      <c r="M8158" s="13"/>
    </row>
    <row r="8159" spans="12:13" x14ac:dyDescent="0.2">
      <c r="L8159" s="12"/>
      <c r="M8159" s="13"/>
    </row>
    <row r="8160" spans="12:13" x14ac:dyDescent="0.2">
      <c r="L8160" s="12"/>
      <c r="M8160" s="13"/>
    </row>
    <row r="8161" spans="12:13" x14ac:dyDescent="0.2">
      <c r="L8161" s="12"/>
      <c r="M8161" s="13"/>
    </row>
    <row r="8162" spans="12:13" x14ac:dyDescent="0.2">
      <c r="L8162" s="12"/>
      <c r="M8162" s="13"/>
    </row>
    <row r="8163" spans="12:13" x14ac:dyDescent="0.2">
      <c r="L8163" s="12"/>
      <c r="M8163" s="13"/>
    </row>
    <row r="8164" spans="12:13" x14ac:dyDescent="0.2">
      <c r="L8164" s="12"/>
      <c r="M8164" s="13"/>
    </row>
    <row r="8165" spans="12:13" x14ac:dyDescent="0.2">
      <c r="L8165" s="12"/>
      <c r="M8165" s="13"/>
    </row>
    <row r="8166" spans="12:13" x14ac:dyDescent="0.2">
      <c r="L8166" s="12"/>
      <c r="M8166" s="13"/>
    </row>
    <row r="8167" spans="12:13" x14ac:dyDescent="0.2">
      <c r="L8167" s="12"/>
      <c r="M8167" s="13"/>
    </row>
    <row r="8168" spans="12:13" x14ac:dyDescent="0.2">
      <c r="L8168" s="12"/>
      <c r="M8168" s="13"/>
    </row>
    <row r="8169" spans="12:13" x14ac:dyDescent="0.2">
      <c r="L8169" s="12"/>
      <c r="M8169" s="13"/>
    </row>
    <row r="8170" spans="12:13" x14ac:dyDescent="0.2">
      <c r="L8170" s="12"/>
      <c r="M8170" s="13"/>
    </row>
    <row r="8171" spans="12:13" x14ac:dyDescent="0.2">
      <c r="L8171" s="12"/>
      <c r="M8171" s="13"/>
    </row>
    <row r="8172" spans="12:13" x14ac:dyDescent="0.2">
      <c r="L8172" s="12"/>
      <c r="M8172" s="13"/>
    </row>
    <row r="8173" spans="12:13" x14ac:dyDescent="0.2">
      <c r="L8173" s="12"/>
      <c r="M8173" s="13"/>
    </row>
    <row r="8174" spans="12:13" x14ac:dyDescent="0.2">
      <c r="L8174" s="12"/>
      <c r="M8174" s="13"/>
    </row>
    <row r="8175" spans="12:13" x14ac:dyDescent="0.2">
      <c r="L8175" s="12"/>
      <c r="M8175" s="13"/>
    </row>
    <row r="8176" spans="12:13" x14ac:dyDescent="0.2">
      <c r="L8176" s="12"/>
      <c r="M8176" s="13"/>
    </row>
    <row r="8177" spans="12:13" x14ac:dyDescent="0.2">
      <c r="L8177" s="12"/>
      <c r="M8177" s="13"/>
    </row>
    <row r="8178" spans="12:13" x14ac:dyDescent="0.2">
      <c r="L8178" s="12"/>
      <c r="M8178" s="13"/>
    </row>
    <row r="8179" spans="12:13" x14ac:dyDescent="0.2">
      <c r="L8179" s="12"/>
      <c r="M8179" s="13"/>
    </row>
    <row r="8180" spans="12:13" x14ac:dyDescent="0.2">
      <c r="L8180" s="12"/>
      <c r="M8180" s="13"/>
    </row>
    <row r="8181" spans="12:13" x14ac:dyDescent="0.2">
      <c r="L8181" s="12"/>
      <c r="M8181" s="13"/>
    </row>
    <row r="8182" spans="12:13" x14ac:dyDescent="0.2">
      <c r="L8182" s="12"/>
      <c r="M8182" s="13"/>
    </row>
    <row r="8183" spans="12:13" x14ac:dyDescent="0.2">
      <c r="L8183" s="12"/>
      <c r="M8183" s="13"/>
    </row>
    <row r="8184" spans="12:13" x14ac:dyDescent="0.2">
      <c r="L8184" s="12"/>
      <c r="M8184" s="13"/>
    </row>
    <row r="8185" spans="12:13" x14ac:dyDescent="0.2">
      <c r="L8185" s="12"/>
      <c r="M8185" s="13"/>
    </row>
    <row r="8186" spans="12:13" x14ac:dyDescent="0.2">
      <c r="L8186" s="12"/>
      <c r="M8186" s="13"/>
    </row>
    <row r="8187" spans="12:13" x14ac:dyDescent="0.2">
      <c r="L8187" s="12"/>
      <c r="M8187" s="13"/>
    </row>
    <row r="8188" spans="12:13" x14ac:dyDescent="0.2">
      <c r="L8188" s="12"/>
      <c r="M8188" s="13"/>
    </row>
    <row r="8189" spans="12:13" x14ac:dyDescent="0.2">
      <c r="L8189" s="12"/>
      <c r="M8189" s="13"/>
    </row>
    <row r="8190" spans="12:13" x14ac:dyDescent="0.2">
      <c r="L8190" s="12"/>
      <c r="M8190" s="13"/>
    </row>
    <row r="8191" spans="12:13" x14ac:dyDescent="0.2">
      <c r="L8191" s="12"/>
      <c r="M8191" s="13"/>
    </row>
    <row r="8192" spans="12:13" x14ac:dyDescent="0.2">
      <c r="L8192" s="12"/>
      <c r="M8192" s="13"/>
    </row>
    <row r="8193" spans="12:13" x14ac:dyDescent="0.2">
      <c r="L8193" s="12"/>
      <c r="M8193" s="13"/>
    </row>
    <row r="8194" spans="12:13" x14ac:dyDescent="0.2">
      <c r="L8194" s="17"/>
      <c r="M8194" s="18"/>
    </row>
    <row r="8195" spans="12:13" x14ac:dyDescent="0.2">
      <c r="L8195" s="12"/>
      <c r="M8195" s="13"/>
    </row>
    <row r="8196" spans="12:13" x14ac:dyDescent="0.2">
      <c r="L8196" s="12"/>
      <c r="M8196" s="13"/>
    </row>
    <row r="8197" spans="12:13" x14ac:dyDescent="0.2">
      <c r="L8197" s="12"/>
      <c r="M8197" s="13"/>
    </row>
    <row r="8198" spans="12:13" x14ac:dyDescent="0.2">
      <c r="L8198" s="12"/>
      <c r="M8198" s="13"/>
    </row>
    <row r="8199" spans="12:13" x14ac:dyDescent="0.2">
      <c r="L8199" s="12"/>
      <c r="M8199" s="13"/>
    </row>
    <row r="8200" spans="12:13" x14ac:dyDescent="0.2">
      <c r="L8200" s="12"/>
      <c r="M8200" s="13"/>
    </row>
    <row r="8201" spans="12:13" x14ac:dyDescent="0.2">
      <c r="L8201" s="12"/>
      <c r="M8201" s="13"/>
    </row>
    <row r="8202" spans="12:13" x14ac:dyDescent="0.2">
      <c r="L8202" s="12"/>
      <c r="M8202" s="13"/>
    </row>
    <row r="8203" spans="12:13" x14ac:dyDescent="0.2">
      <c r="L8203" s="12"/>
      <c r="M8203" s="13"/>
    </row>
    <row r="8204" spans="12:13" x14ac:dyDescent="0.2">
      <c r="L8204" s="12"/>
      <c r="M8204" s="13"/>
    </row>
    <row r="8205" spans="12:13" x14ac:dyDescent="0.2">
      <c r="L8205" s="12"/>
      <c r="M8205" s="13"/>
    </row>
    <row r="8206" spans="12:13" x14ac:dyDescent="0.2">
      <c r="L8206" s="12"/>
      <c r="M8206" s="13"/>
    </row>
    <row r="8207" spans="12:13" x14ac:dyDescent="0.2">
      <c r="L8207" s="12"/>
      <c r="M8207" s="13"/>
    </row>
    <row r="8208" spans="12:13" x14ac:dyDescent="0.2">
      <c r="L8208" s="12"/>
      <c r="M8208" s="13"/>
    </row>
    <row r="8209" spans="12:13" x14ac:dyDescent="0.2">
      <c r="L8209" s="12"/>
      <c r="M8209" s="13"/>
    </row>
    <row r="8210" spans="12:13" x14ac:dyDescent="0.2">
      <c r="L8210" s="12"/>
      <c r="M8210" s="13"/>
    </row>
    <row r="8211" spans="12:13" x14ac:dyDescent="0.2">
      <c r="L8211" s="12"/>
      <c r="M8211" s="13"/>
    </row>
    <row r="8212" spans="12:13" x14ac:dyDescent="0.2">
      <c r="L8212" s="12"/>
      <c r="M8212" s="13"/>
    </row>
    <row r="8213" spans="12:13" x14ac:dyDescent="0.2">
      <c r="L8213" s="12"/>
      <c r="M8213" s="13"/>
    </row>
    <row r="8214" spans="12:13" x14ac:dyDescent="0.2">
      <c r="L8214" s="12"/>
      <c r="M8214" s="13"/>
    </row>
    <row r="8215" spans="12:13" x14ac:dyDescent="0.2">
      <c r="L8215" s="12"/>
      <c r="M8215" s="13"/>
    </row>
    <row r="8216" spans="12:13" x14ac:dyDescent="0.2">
      <c r="L8216" s="12"/>
      <c r="M8216" s="13"/>
    </row>
    <row r="8217" spans="12:13" x14ac:dyDescent="0.2">
      <c r="L8217" s="12"/>
      <c r="M8217" s="13"/>
    </row>
    <row r="8218" spans="12:13" x14ac:dyDescent="0.2">
      <c r="L8218" s="12"/>
      <c r="M8218" s="13"/>
    </row>
    <row r="8219" spans="12:13" x14ac:dyDescent="0.2">
      <c r="L8219" s="12"/>
      <c r="M8219" s="13"/>
    </row>
    <row r="8220" spans="12:13" x14ac:dyDescent="0.2">
      <c r="L8220" s="12"/>
      <c r="M8220" s="13"/>
    </row>
    <row r="8221" spans="12:13" x14ac:dyDescent="0.2">
      <c r="L8221" s="12"/>
      <c r="M8221" s="13"/>
    </row>
    <row r="8222" spans="12:13" x14ac:dyDescent="0.2">
      <c r="L8222" s="12"/>
      <c r="M8222" s="13"/>
    </row>
    <row r="8223" spans="12:13" x14ac:dyDescent="0.2">
      <c r="L8223" s="12"/>
      <c r="M8223" s="13"/>
    </row>
    <row r="8224" spans="12:13" x14ac:dyDescent="0.2">
      <c r="L8224" s="12"/>
      <c r="M8224" s="13"/>
    </row>
    <row r="8225" spans="12:13" x14ac:dyDescent="0.2">
      <c r="L8225" s="12"/>
      <c r="M8225" s="13"/>
    </row>
    <row r="8226" spans="12:13" x14ac:dyDescent="0.2">
      <c r="L8226" s="12"/>
      <c r="M8226" s="13"/>
    </row>
    <row r="8227" spans="12:13" x14ac:dyDescent="0.2">
      <c r="L8227" s="12"/>
      <c r="M8227" s="13"/>
    </row>
    <row r="8228" spans="12:13" x14ac:dyDescent="0.2">
      <c r="L8228" s="12"/>
      <c r="M8228" s="13"/>
    </row>
    <row r="8229" spans="12:13" x14ac:dyDescent="0.2">
      <c r="L8229" s="12"/>
      <c r="M8229" s="13"/>
    </row>
    <row r="8230" spans="12:13" x14ac:dyDescent="0.2">
      <c r="L8230" s="12"/>
      <c r="M8230" s="13"/>
    </row>
    <row r="8231" spans="12:13" x14ac:dyDescent="0.2">
      <c r="L8231" s="12"/>
      <c r="M8231" s="13"/>
    </row>
    <row r="8232" spans="12:13" x14ac:dyDescent="0.2">
      <c r="L8232" s="12"/>
      <c r="M8232" s="13"/>
    </row>
    <row r="8233" spans="12:13" x14ac:dyDescent="0.2">
      <c r="L8233" s="12"/>
      <c r="M8233" s="13"/>
    </row>
    <row r="8234" spans="12:13" x14ac:dyDescent="0.2">
      <c r="L8234" s="12"/>
      <c r="M8234" s="13"/>
    </row>
    <row r="8235" spans="12:13" x14ac:dyDescent="0.2">
      <c r="L8235" s="12"/>
      <c r="M8235" s="13"/>
    </row>
    <row r="8236" spans="12:13" x14ac:dyDescent="0.2">
      <c r="L8236" s="12"/>
      <c r="M8236" s="13"/>
    </row>
    <row r="8237" spans="12:13" x14ac:dyDescent="0.2">
      <c r="L8237" s="12"/>
      <c r="M8237" s="13"/>
    </row>
    <row r="8238" spans="12:13" x14ac:dyDescent="0.2">
      <c r="L8238" s="12"/>
      <c r="M8238" s="13"/>
    </row>
    <row r="8239" spans="12:13" x14ac:dyDescent="0.2">
      <c r="L8239" s="12"/>
      <c r="M8239" s="13"/>
    </row>
    <row r="8240" spans="12:13" x14ac:dyDescent="0.2">
      <c r="L8240" s="12"/>
      <c r="M8240" s="13"/>
    </row>
    <row r="8241" spans="12:13" x14ac:dyDescent="0.2">
      <c r="L8241" s="12"/>
      <c r="M8241" s="13"/>
    </row>
    <row r="8242" spans="12:13" x14ac:dyDescent="0.2">
      <c r="L8242" s="12"/>
      <c r="M8242" s="13"/>
    </row>
    <row r="8243" spans="12:13" x14ac:dyDescent="0.2">
      <c r="L8243" s="12"/>
      <c r="M8243" s="13"/>
    </row>
    <row r="8244" spans="12:13" x14ac:dyDescent="0.2">
      <c r="L8244" s="12"/>
      <c r="M8244" s="13"/>
    </row>
    <row r="8245" spans="12:13" x14ac:dyDescent="0.2">
      <c r="L8245" s="12"/>
      <c r="M8245" s="13"/>
    </row>
    <row r="8246" spans="12:13" x14ac:dyDescent="0.2">
      <c r="L8246" s="12"/>
      <c r="M8246" s="13"/>
    </row>
    <row r="8247" spans="12:13" x14ac:dyDescent="0.2">
      <c r="L8247" s="12"/>
      <c r="M8247" s="13"/>
    </row>
    <row r="8248" spans="12:13" x14ac:dyDescent="0.2">
      <c r="L8248" s="12"/>
      <c r="M8248" s="13"/>
    </row>
    <row r="8249" spans="12:13" x14ac:dyDescent="0.2">
      <c r="L8249" s="12"/>
      <c r="M8249" s="13"/>
    </row>
    <row r="8250" spans="12:13" x14ac:dyDescent="0.2">
      <c r="L8250" s="12"/>
      <c r="M8250" s="13"/>
    </row>
    <row r="8251" spans="12:13" x14ac:dyDescent="0.2">
      <c r="L8251" s="12"/>
      <c r="M8251" s="13"/>
    </row>
    <row r="8252" spans="12:13" x14ac:dyDescent="0.2">
      <c r="L8252" s="12"/>
      <c r="M8252" s="13"/>
    </row>
    <row r="8253" spans="12:13" x14ac:dyDescent="0.2">
      <c r="L8253" s="12"/>
      <c r="M8253" s="13"/>
    </row>
    <row r="8254" spans="12:13" x14ac:dyDescent="0.2">
      <c r="L8254" s="12"/>
      <c r="M8254" s="13"/>
    </row>
    <row r="8255" spans="12:13" x14ac:dyDescent="0.2">
      <c r="L8255" s="12"/>
      <c r="M8255" s="13"/>
    </row>
    <row r="8256" spans="12:13" x14ac:dyDescent="0.2">
      <c r="L8256" s="12"/>
      <c r="M8256" s="13"/>
    </row>
    <row r="8257" spans="12:13" x14ac:dyDescent="0.2">
      <c r="L8257" s="12"/>
      <c r="M8257" s="13"/>
    </row>
    <row r="8258" spans="12:13" x14ac:dyDescent="0.2">
      <c r="L8258" s="12"/>
      <c r="M8258" s="13"/>
    </row>
    <row r="8259" spans="12:13" x14ac:dyDescent="0.2">
      <c r="L8259" s="12"/>
      <c r="M8259" s="13"/>
    </row>
    <row r="8260" spans="12:13" x14ac:dyDescent="0.2">
      <c r="L8260" s="12"/>
      <c r="M8260" s="13"/>
    </row>
    <row r="8261" spans="12:13" x14ac:dyDescent="0.2">
      <c r="L8261" s="12"/>
      <c r="M8261" s="13"/>
    </row>
    <row r="8262" spans="12:13" x14ac:dyDescent="0.2">
      <c r="L8262" s="12"/>
      <c r="M8262" s="13"/>
    </row>
    <row r="8263" spans="12:13" x14ac:dyDescent="0.2">
      <c r="L8263" s="12"/>
      <c r="M8263" s="13"/>
    </row>
    <row r="8264" spans="12:13" x14ac:dyDescent="0.2">
      <c r="L8264" s="12"/>
      <c r="M8264" s="13"/>
    </row>
    <row r="8265" spans="12:13" x14ac:dyDescent="0.2">
      <c r="L8265" s="12"/>
      <c r="M8265" s="13"/>
    </row>
    <row r="8266" spans="12:13" x14ac:dyDescent="0.2">
      <c r="L8266" s="12"/>
      <c r="M8266" s="13"/>
    </row>
    <row r="8267" spans="12:13" x14ac:dyDescent="0.2">
      <c r="L8267" s="12"/>
      <c r="M8267" s="13"/>
    </row>
    <row r="8268" spans="12:13" x14ac:dyDescent="0.2">
      <c r="L8268" s="12"/>
      <c r="M8268" s="13"/>
    </row>
    <row r="8269" spans="12:13" x14ac:dyDescent="0.2">
      <c r="L8269" s="12"/>
      <c r="M8269" s="13"/>
    </row>
    <row r="8270" spans="12:13" x14ac:dyDescent="0.2">
      <c r="L8270" s="12"/>
      <c r="M8270" s="13"/>
    </row>
    <row r="8271" spans="12:13" x14ac:dyDescent="0.2">
      <c r="L8271" s="12"/>
      <c r="M8271" s="13"/>
    </row>
    <row r="8272" spans="12:13" x14ac:dyDescent="0.2">
      <c r="L8272" s="12"/>
      <c r="M8272" s="13"/>
    </row>
    <row r="8273" spans="12:13" x14ac:dyDescent="0.2">
      <c r="L8273" s="12"/>
      <c r="M8273" s="13"/>
    </row>
    <row r="8274" spans="12:13" x14ac:dyDescent="0.2">
      <c r="L8274" s="12"/>
      <c r="M8274" s="13"/>
    </row>
    <row r="8275" spans="12:13" x14ac:dyDescent="0.2">
      <c r="L8275" s="12"/>
      <c r="M8275" s="13"/>
    </row>
    <row r="8276" spans="12:13" x14ac:dyDescent="0.2">
      <c r="L8276" s="12"/>
      <c r="M8276" s="13"/>
    </row>
    <row r="8277" spans="12:13" x14ac:dyDescent="0.2">
      <c r="L8277" s="12"/>
      <c r="M8277" s="13"/>
    </row>
    <row r="8278" spans="12:13" x14ac:dyDescent="0.2">
      <c r="L8278" s="12"/>
      <c r="M8278" s="13"/>
    </row>
    <row r="8279" spans="12:13" x14ac:dyDescent="0.2">
      <c r="L8279" s="12"/>
      <c r="M8279" s="13"/>
    </row>
    <row r="8280" spans="12:13" x14ac:dyDescent="0.2">
      <c r="L8280" s="12"/>
      <c r="M8280" s="13"/>
    </row>
    <row r="8281" spans="12:13" x14ac:dyDescent="0.2">
      <c r="L8281" s="12"/>
      <c r="M8281" s="13"/>
    </row>
    <row r="8282" spans="12:13" x14ac:dyDescent="0.2">
      <c r="L8282" s="12"/>
      <c r="M8282" s="13"/>
    </row>
    <row r="8283" spans="12:13" x14ac:dyDescent="0.2">
      <c r="L8283" s="12"/>
      <c r="M8283" s="13"/>
    </row>
    <row r="8284" spans="12:13" x14ac:dyDescent="0.2">
      <c r="L8284" s="12"/>
      <c r="M8284" s="13"/>
    </row>
    <row r="8285" spans="12:13" x14ac:dyDescent="0.2">
      <c r="L8285" s="12"/>
      <c r="M8285" s="13"/>
    </row>
    <row r="8286" spans="12:13" x14ac:dyDescent="0.2">
      <c r="L8286" s="12"/>
      <c r="M8286" s="13"/>
    </row>
    <row r="8287" spans="12:13" x14ac:dyDescent="0.2">
      <c r="L8287" s="12"/>
      <c r="M8287" s="13"/>
    </row>
    <row r="8288" spans="12:13" x14ac:dyDescent="0.2">
      <c r="L8288" s="12"/>
      <c r="M8288" s="13"/>
    </row>
    <row r="8289" spans="12:13" x14ac:dyDescent="0.2">
      <c r="L8289" s="12"/>
      <c r="M8289" s="13"/>
    </row>
    <row r="8290" spans="12:13" x14ac:dyDescent="0.2">
      <c r="L8290" s="12"/>
      <c r="M8290" s="13"/>
    </row>
    <row r="8291" spans="12:13" x14ac:dyDescent="0.2">
      <c r="L8291" s="12"/>
      <c r="M8291" s="13"/>
    </row>
    <row r="8292" spans="12:13" x14ac:dyDescent="0.2">
      <c r="L8292" s="12"/>
      <c r="M8292" s="13"/>
    </row>
    <row r="8293" spans="12:13" x14ac:dyDescent="0.2">
      <c r="L8293" s="12"/>
      <c r="M8293" s="13"/>
    </row>
    <row r="8294" spans="12:13" x14ac:dyDescent="0.2">
      <c r="L8294" s="12"/>
      <c r="M8294" s="13"/>
    </row>
    <row r="8295" spans="12:13" x14ac:dyDescent="0.2">
      <c r="L8295" s="12"/>
      <c r="M8295" s="13"/>
    </row>
    <row r="8296" spans="12:13" x14ac:dyDescent="0.2">
      <c r="L8296" s="12"/>
      <c r="M8296" s="13"/>
    </row>
    <row r="8297" spans="12:13" x14ac:dyDescent="0.2">
      <c r="L8297" s="12"/>
      <c r="M8297" s="13"/>
    </row>
    <row r="8298" spans="12:13" x14ac:dyDescent="0.2">
      <c r="L8298" s="12"/>
      <c r="M8298" s="13"/>
    </row>
    <row r="8299" spans="12:13" x14ac:dyDescent="0.2">
      <c r="L8299" s="12"/>
      <c r="M8299" s="13"/>
    </row>
    <row r="8300" spans="12:13" x14ac:dyDescent="0.2">
      <c r="L8300" s="12"/>
      <c r="M8300" s="13"/>
    </row>
    <row r="8301" spans="12:13" x14ac:dyDescent="0.2">
      <c r="L8301" s="12"/>
      <c r="M8301" s="13"/>
    </row>
    <row r="8302" spans="12:13" x14ac:dyDescent="0.2">
      <c r="L8302" s="12"/>
      <c r="M8302" s="13"/>
    </row>
    <row r="8303" spans="12:13" x14ac:dyDescent="0.2">
      <c r="L8303" s="12"/>
      <c r="M8303" s="13"/>
    </row>
    <row r="8304" spans="12:13" x14ac:dyDescent="0.2">
      <c r="L8304" s="12"/>
      <c r="M8304" s="13"/>
    </row>
    <row r="8305" spans="12:13" x14ac:dyDescent="0.2">
      <c r="L8305" s="12"/>
      <c r="M8305" s="13"/>
    </row>
    <row r="8306" spans="12:13" x14ac:dyDescent="0.2">
      <c r="L8306" s="12"/>
      <c r="M8306" s="13"/>
    </row>
    <row r="8307" spans="12:13" x14ac:dyDescent="0.2">
      <c r="L8307" s="12"/>
      <c r="M8307" s="13"/>
    </row>
    <row r="8308" spans="12:13" x14ac:dyDescent="0.2">
      <c r="L8308" s="12"/>
      <c r="M8308" s="13"/>
    </row>
    <row r="8309" spans="12:13" x14ac:dyDescent="0.2">
      <c r="L8309" s="12"/>
      <c r="M8309" s="13"/>
    </row>
    <row r="8310" spans="12:13" x14ac:dyDescent="0.2">
      <c r="L8310" s="12"/>
      <c r="M8310" s="13"/>
    </row>
    <row r="8311" spans="12:13" x14ac:dyDescent="0.2">
      <c r="L8311" s="12"/>
      <c r="M8311" s="13"/>
    </row>
    <row r="8312" spans="12:13" x14ac:dyDescent="0.2">
      <c r="L8312" s="12"/>
      <c r="M8312" s="13"/>
    </row>
    <row r="8313" spans="12:13" x14ac:dyDescent="0.2">
      <c r="L8313" s="12"/>
      <c r="M8313" s="13"/>
    </row>
    <row r="8314" spans="12:13" x14ac:dyDescent="0.2">
      <c r="L8314" s="12"/>
      <c r="M8314" s="13"/>
    </row>
    <row r="8315" spans="12:13" x14ac:dyDescent="0.2">
      <c r="L8315" s="12"/>
      <c r="M8315" s="13"/>
    </row>
    <row r="8316" spans="12:13" x14ac:dyDescent="0.2">
      <c r="L8316" s="12"/>
      <c r="M8316" s="13"/>
    </row>
    <row r="8317" spans="12:13" x14ac:dyDescent="0.2">
      <c r="L8317" s="12"/>
      <c r="M8317" s="13"/>
    </row>
    <row r="8318" spans="12:13" x14ac:dyDescent="0.2">
      <c r="L8318" s="12"/>
      <c r="M8318" s="13"/>
    </row>
    <row r="8319" spans="12:13" x14ac:dyDescent="0.2">
      <c r="L8319" s="12"/>
      <c r="M8319" s="13"/>
    </row>
    <row r="8320" spans="12:13" x14ac:dyDescent="0.2">
      <c r="L8320" s="12"/>
      <c r="M8320" s="13"/>
    </row>
    <row r="8321" spans="12:13" x14ac:dyDescent="0.2">
      <c r="L8321" s="12"/>
      <c r="M8321" s="13"/>
    </row>
    <row r="8322" spans="12:13" x14ac:dyDescent="0.2">
      <c r="L8322" s="12"/>
      <c r="M8322" s="13"/>
    </row>
    <row r="8323" spans="12:13" x14ac:dyDescent="0.2">
      <c r="L8323" s="12"/>
      <c r="M8323" s="13"/>
    </row>
    <row r="8324" spans="12:13" x14ac:dyDescent="0.2">
      <c r="L8324" s="12"/>
      <c r="M8324" s="13"/>
    </row>
    <row r="8325" spans="12:13" x14ac:dyDescent="0.2">
      <c r="L8325" s="12"/>
      <c r="M8325" s="13"/>
    </row>
    <row r="8326" spans="12:13" x14ac:dyDescent="0.2">
      <c r="L8326" s="12"/>
      <c r="M8326" s="13"/>
    </row>
    <row r="8327" spans="12:13" x14ac:dyDescent="0.2">
      <c r="L8327" s="12"/>
      <c r="M8327" s="13"/>
    </row>
    <row r="8328" spans="12:13" x14ac:dyDescent="0.2">
      <c r="L8328" s="12"/>
      <c r="M8328" s="13"/>
    </row>
    <row r="8329" spans="12:13" x14ac:dyDescent="0.2">
      <c r="L8329" s="12"/>
      <c r="M8329" s="13"/>
    </row>
    <row r="8330" spans="12:13" x14ac:dyDescent="0.2">
      <c r="L8330" s="12"/>
      <c r="M8330" s="13"/>
    </row>
    <row r="8331" spans="12:13" x14ac:dyDescent="0.2">
      <c r="L8331" s="12"/>
      <c r="M8331" s="13"/>
    </row>
    <row r="8332" spans="12:13" x14ac:dyDescent="0.2">
      <c r="L8332" s="12"/>
      <c r="M8332" s="13"/>
    </row>
    <row r="8333" spans="12:13" x14ac:dyDescent="0.2">
      <c r="L8333" s="12"/>
      <c r="M8333" s="13"/>
    </row>
    <row r="8334" spans="12:13" x14ac:dyDescent="0.2">
      <c r="L8334" s="12"/>
      <c r="M8334" s="13"/>
    </row>
    <row r="8335" spans="12:13" x14ac:dyDescent="0.2">
      <c r="L8335" s="12"/>
      <c r="M8335" s="13"/>
    </row>
    <row r="8336" spans="12:13" x14ac:dyDescent="0.2">
      <c r="L8336" s="12"/>
      <c r="M8336" s="13"/>
    </row>
    <row r="8337" spans="12:13" x14ac:dyDescent="0.2">
      <c r="L8337" s="12"/>
      <c r="M8337" s="13"/>
    </row>
    <row r="8338" spans="12:13" x14ac:dyDescent="0.2">
      <c r="L8338" s="12"/>
      <c r="M8338" s="13"/>
    </row>
    <row r="8339" spans="12:13" x14ac:dyDescent="0.2">
      <c r="L8339" s="12"/>
      <c r="M8339" s="13"/>
    </row>
    <row r="8340" spans="12:13" x14ac:dyDescent="0.2">
      <c r="L8340" s="12"/>
      <c r="M8340" s="13"/>
    </row>
    <row r="8341" spans="12:13" x14ac:dyDescent="0.2">
      <c r="L8341" s="12"/>
      <c r="M8341" s="13"/>
    </row>
    <row r="8342" spans="12:13" x14ac:dyDescent="0.2">
      <c r="L8342" s="12"/>
      <c r="M8342" s="13"/>
    </row>
    <row r="8343" spans="12:13" x14ac:dyDescent="0.2">
      <c r="L8343" s="12"/>
      <c r="M8343" s="13"/>
    </row>
    <row r="8344" spans="12:13" x14ac:dyDescent="0.2">
      <c r="L8344" s="12"/>
      <c r="M8344" s="13"/>
    </row>
    <row r="8345" spans="12:13" x14ac:dyDescent="0.2">
      <c r="L8345" s="12"/>
      <c r="M8345" s="13"/>
    </row>
    <row r="8346" spans="12:13" x14ac:dyDescent="0.2">
      <c r="L8346" s="12"/>
      <c r="M8346" s="13"/>
    </row>
    <row r="8347" spans="12:13" x14ac:dyDescent="0.2">
      <c r="L8347" s="12"/>
      <c r="M8347" s="13"/>
    </row>
    <row r="8348" spans="12:13" x14ac:dyDescent="0.2">
      <c r="L8348" s="12"/>
      <c r="M8348" s="13"/>
    </row>
    <row r="8349" spans="12:13" x14ac:dyDescent="0.2">
      <c r="L8349" s="12"/>
      <c r="M8349" s="13"/>
    </row>
    <row r="8350" spans="12:13" x14ac:dyDescent="0.2">
      <c r="L8350" s="12"/>
      <c r="M8350" s="13"/>
    </row>
    <row r="8351" spans="12:13" x14ac:dyDescent="0.2">
      <c r="L8351" s="12"/>
      <c r="M8351" s="13"/>
    </row>
    <row r="8352" spans="12:13" x14ac:dyDescent="0.2">
      <c r="L8352" s="12"/>
      <c r="M8352" s="13"/>
    </row>
    <row r="8353" spans="12:13" x14ac:dyDescent="0.2">
      <c r="L8353" s="12"/>
      <c r="M8353" s="13"/>
    </row>
    <row r="8354" spans="12:13" x14ac:dyDescent="0.2">
      <c r="L8354" s="12"/>
      <c r="M8354" s="13"/>
    </row>
    <row r="8355" spans="12:13" x14ac:dyDescent="0.2">
      <c r="L8355" s="12"/>
      <c r="M8355" s="13"/>
    </row>
    <row r="8356" spans="12:13" x14ac:dyDescent="0.2">
      <c r="L8356" s="12"/>
      <c r="M8356" s="13"/>
    </row>
    <row r="8357" spans="12:13" x14ac:dyDescent="0.2">
      <c r="L8357" s="12"/>
      <c r="M8357" s="13"/>
    </row>
    <row r="8358" spans="12:13" x14ac:dyDescent="0.2">
      <c r="L8358" s="12"/>
      <c r="M8358" s="13"/>
    </row>
    <row r="8359" spans="12:13" x14ac:dyDescent="0.2">
      <c r="L8359" s="12"/>
      <c r="M8359" s="13"/>
    </row>
    <row r="8360" spans="12:13" x14ac:dyDescent="0.2">
      <c r="L8360" s="12"/>
      <c r="M8360" s="13"/>
    </row>
    <row r="8361" spans="12:13" x14ac:dyDescent="0.2">
      <c r="L8361" s="12"/>
      <c r="M8361" s="13"/>
    </row>
    <row r="8362" spans="12:13" x14ac:dyDescent="0.2">
      <c r="L8362" s="12"/>
      <c r="M8362" s="13"/>
    </row>
    <row r="8363" spans="12:13" x14ac:dyDescent="0.2">
      <c r="L8363" s="12"/>
      <c r="M8363" s="13"/>
    </row>
    <row r="8364" spans="12:13" x14ac:dyDescent="0.2">
      <c r="L8364" s="12"/>
      <c r="M8364" s="13"/>
    </row>
    <row r="8365" spans="12:13" x14ac:dyDescent="0.2">
      <c r="L8365" s="12"/>
      <c r="M8365" s="13"/>
    </row>
    <row r="8366" spans="12:13" x14ac:dyDescent="0.2">
      <c r="L8366" s="12"/>
      <c r="M8366" s="13"/>
    </row>
    <row r="8367" spans="12:13" x14ac:dyDescent="0.2">
      <c r="L8367" s="12"/>
      <c r="M8367" s="13"/>
    </row>
    <row r="8368" spans="12:13" x14ac:dyDescent="0.2">
      <c r="L8368" s="12"/>
      <c r="M8368" s="13"/>
    </row>
    <row r="8369" spans="12:13" x14ac:dyDescent="0.2">
      <c r="L8369" s="12"/>
      <c r="M8369" s="13"/>
    </row>
    <row r="8370" spans="12:13" x14ac:dyDescent="0.2">
      <c r="L8370" s="12"/>
      <c r="M8370" s="13"/>
    </row>
    <row r="8371" spans="12:13" x14ac:dyDescent="0.2">
      <c r="L8371" s="12"/>
      <c r="M8371" s="13"/>
    </row>
    <row r="8372" spans="12:13" x14ac:dyDescent="0.2">
      <c r="L8372" s="12"/>
      <c r="M8372" s="13"/>
    </row>
    <row r="8373" spans="12:13" x14ac:dyDescent="0.2">
      <c r="L8373" s="12"/>
      <c r="M8373" s="13"/>
    </row>
    <row r="8374" spans="12:13" x14ac:dyDescent="0.2">
      <c r="L8374" s="12"/>
      <c r="M8374" s="13"/>
    </row>
    <row r="8375" spans="12:13" x14ac:dyDescent="0.2">
      <c r="L8375" s="12"/>
      <c r="M8375" s="13"/>
    </row>
    <row r="8376" spans="12:13" x14ac:dyDescent="0.2">
      <c r="L8376" s="12"/>
      <c r="M8376" s="13"/>
    </row>
    <row r="8377" spans="12:13" x14ac:dyDescent="0.2">
      <c r="L8377" s="12"/>
      <c r="M8377" s="13"/>
    </row>
    <row r="8378" spans="12:13" x14ac:dyDescent="0.2">
      <c r="L8378" s="12"/>
      <c r="M8378" s="13"/>
    </row>
    <row r="8379" spans="12:13" x14ac:dyDescent="0.2">
      <c r="L8379" s="12"/>
      <c r="M8379" s="13"/>
    </row>
    <row r="8380" spans="12:13" x14ac:dyDescent="0.2">
      <c r="L8380" s="12"/>
      <c r="M8380" s="13"/>
    </row>
    <row r="8381" spans="12:13" x14ac:dyDescent="0.2">
      <c r="L8381" s="12"/>
      <c r="M8381" s="13"/>
    </row>
    <row r="8382" spans="12:13" x14ac:dyDescent="0.2">
      <c r="L8382" s="12"/>
      <c r="M8382" s="13"/>
    </row>
    <row r="8383" spans="12:13" x14ac:dyDescent="0.2">
      <c r="L8383" s="12"/>
      <c r="M8383" s="13"/>
    </row>
    <row r="8384" spans="12:13" x14ac:dyDescent="0.2">
      <c r="L8384" s="12"/>
      <c r="M8384" s="13"/>
    </row>
    <row r="8385" spans="12:13" x14ac:dyDescent="0.2">
      <c r="L8385" s="12"/>
      <c r="M8385" s="13"/>
    </row>
    <row r="8386" spans="12:13" x14ac:dyDescent="0.2">
      <c r="L8386" s="12"/>
      <c r="M8386" s="13"/>
    </row>
    <row r="8387" spans="12:13" x14ac:dyDescent="0.2">
      <c r="L8387" s="12"/>
      <c r="M8387" s="13"/>
    </row>
    <row r="8388" spans="12:13" x14ac:dyDescent="0.2">
      <c r="L8388" s="12"/>
      <c r="M8388" s="13"/>
    </row>
    <row r="8389" spans="12:13" x14ac:dyDescent="0.2">
      <c r="L8389" s="12"/>
      <c r="M8389" s="13"/>
    </row>
    <row r="8390" spans="12:13" x14ac:dyDescent="0.2">
      <c r="L8390" s="12"/>
      <c r="M8390" s="13"/>
    </row>
    <row r="8391" spans="12:13" x14ac:dyDescent="0.2">
      <c r="L8391" s="12"/>
      <c r="M8391" s="13"/>
    </row>
    <row r="8392" spans="12:13" x14ac:dyDescent="0.2">
      <c r="L8392" s="12"/>
      <c r="M8392" s="13"/>
    </row>
    <row r="8393" spans="12:13" x14ac:dyDescent="0.2">
      <c r="L8393" s="12"/>
      <c r="M8393" s="13"/>
    </row>
    <row r="8394" spans="12:13" x14ac:dyDescent="0.2">
      <c r="L8394" s="12"/>
      <c r="M8394" s="13"/>
    </row>
    <row r="8395" spans="12:13" x14ac:dyDescent="0.2">
      <c r="L8395" s="12"/>
      <c r="M8395" s="13"/>
    </row>
    <row r="8396" spans="12:13" x14ac:dyDescent="0.2">
      <c r="L8396" s="12"/>
      <c r="M8396" s="13"/>
    </row>
    <row r="8397" spans="12:13" x14ac:dyDescent="0.2">
      <c r="L8397" s="12"/>
      <c r="M8397" s="13"/>
    </row>
    <row r="8398" spans="12:13" x14ac:dyDescent="0.2">
      <c r="L8398" s="12"/>
      <c r="M8398" s="13"/>
    </row>
    <row r="8399" spans="12:13" x14ac:dyDescent="0.2">
      <c r="L8399" s="12"/>
      <c r="M8399" s="13"/>
    </row>
    <row r="8400" spans="12:13" x14ac:dyDescent="0.2">
      <c r="L8400" s="12"/>
      <c r="M8400" s="13"/>
    </row>
    <row r="8401" spans="12:13" x14ac:dyDescent="0.2">
      <c r="L8401" s="12"/>
      <c r="M8401" s="13"/>
    </row>
    <row r="8402" spans="12:13" x14ac:dyDescent="0.2">
      <c r="L8402" s="12"/>
      <c r="M8402" s="13"/>
    </row>
    <row r="8403" spans="12:13" x14ac:dyDescent="0.2">
      <c r="L8403" s="12"/>
      <c r="M8403" s="13"/>
    </row>
    <row r="8404" spans="12:13" x14ac:dyDescent="0.2">
      <c r="L8404" s="12"/>
      <c r="M8404" s="13"/>
    </row>
    <row r="8405" spans="12:13" x14ac:dyDescent="0.2">
      <c r="L8405" s="12"/>
      <c r="M8405" s="13"/>
    </row>
    <row r="8406" spans="12:13" x14ac:dyDescent="0.2">
      <c r="L8406" s="12"/>
      <c r="M8406" s="13"/>
    </row>
    <row r="8407" spans="12:13" x14ac:dyDescent="0.2">
      <c r="L8407" s="12"/>
      <c r="M8407" s="13"/>
    </row>
    <row r="8408" spans="12:13" x14ac:dyDescent="0.2">
      <c r="L8408" s="12"/>
      <c r="M8408" s="13"/>
    </row>
    <row r="8409" spans="12:13" x14ac:dyDescent="0.2">
      <c r="L8409" s="12"/>
      <c r="M8409" s="13"/>
    </row>
    <row r="8410" spans="12:13" x14ac:dyDescent="0.2">
      <c r="L8410" s="12"/>
      <c r="M8410" s="13"/>
    </row>
    <row r="8411" spans="12:13" x14ac:dyDescent="0.2">
      <c r="L8411" s="12"/>
      <c r="M8411" s="13"/>
    </row>
    <row r="8412" spans="12:13" x14ac:dyDescent="0.2">
      <c r="L8412" s="12"/>
      <c r="M8412" s="13"/>
    </row>
    <row r="8413" spans="12:13" x14ac:dyDescent="0.2">
      <c r="L8413" s="12"/>
      <c r="M8413" s="13"/>
    </row>
    <row r="8414" spans="12:13" x14ac:dyDescent="0.2">
      <c r="L8414" s="12"/>
      <c r="M8414" s="13"/>
    </row>
    <row r="8415" spans="12:13" x14ac:dyDescent="0.2">
      <c r="L8415" s="12"/>
      <c r="M8415" s="13"/>
    </row>
    <row r="8416" spans="12:13" x14ac:dyDescent="0.2">
      <c r="L8416" s="12"/>
      <c r="M8416" s="13"/>
    </row>
    <row r="8417" spans="12:13" x14ac:dyDescent="0.2">
      <c r="L8417" s="12"/>
      <c r="M8417" s="13"/>
    </row>
    <row r="8418" spans="12:13" x14ac:dyDescent="0.2">
      <c r="L8418" s="12"/>
      <c r="M8418" s="13"/>
    </row>
    <row r="8419" spans="12:13" x14ac:dyDescent="0.2">
      <c r="L8419" s="12"/>
      <c r="M8419" s="13"/>
    </row>
    <row r="8420" spans="12:13" x14ac:dyDescent="0.2">
      <c r="L8420" s="12"/>
      <c r="M8420" s="13"/>
    </row>
    <row r="8421" spans="12:13" x14ac:dyDescent="0.2">
      <c r="L8421" s="12"/>
      <c r="M8421" s="13"/>
    </row>
    <row r="8422" spans="12:13" x14ac:dyDescent="0.2">
      <c r="L8422" s="12"/>
      <c r="M8422" s="13"/>
    </row>
    <row r="8423" spans="12:13" x14ac:dyDescent="0.2">
      <c r="L8423" s="12"/>
      <c r="M8423" s="13"/>
    </row>
    <row r="8424" spans="12:13" x14ac:dyDescent="0.2">
      <c r="L8424" s="12"/>
      <c r="M8424" s="13"/>
    </row>
    <row r="8425" spans="12:13" x14ac:dyDescent="0.2">
      <c r="L8425" s="12"/>
      <c r="M8425" s="13"/>
    </row>
    <row r="8426" spans="12:13" x14ac:dyDescent="0.2">
      <c r="L8426" s="12"/>
      <c r="M8426" s="13"/>
    </row>
    <row r="8427" spans="12:13" x14ac:dyDescent="0.2">
      <c r="L8427" s="12"/>
      <c r="M8427" s="13"/>
    </row>
    <row r="8428" spans="12:13" x14ac:dyDescent="0.2">
      <c r="L8428" s="12"/>
      <c r="M8428" s="13"/>
    </row>
    <row r="8429" spans="12:13" x14ac:dyDescent="0.2">
      <c r="L8429" s="12"/>
      <c r="M8429" s="13"/>
    </row>
    <row r="8430" spans="12:13" x14ac:dyDescent="0.2">
      <c r="L8430" s="12"/>
      <c r="M8430" s="13"/>
    </row>
    <row r="8431" spans="12:13" x14ac:dyDescent="0.2">
      <c r="L8431" s="12"/>
      <c r="M8431" s="13"/>
    </row>
    <row r="8432" spans="12:13" x14ac:dyDescent="0.2">
      <c r="L8432" s="12"/>
      <c r="M8432" s="13"/>
    </row>
    <row r="8433" spans="12:13" x14ac:dyDescent="0.2">
      <c r="L8433" s="12"/>
      <c r="M8433" s="13"/>
    </row>
    <row r="8434" spans="12:13" x14ac:dyDescent="0.2">
      <c r="L8434" s="12"/>
      <c r="M8434" s="13"/>
    </row>
    <row r="8435" spans="12:13" x14ac:dyDescent="0.2">
      <c r="L8435" s="12"/>
      <c r="M8435" s="13"/>
    </row>
    <row r="8436" spans="12:13" x14ac:dyDescent="0.2">
      <c r="L8436" s="12"/>
      <c r="M8436" s="13"/>
    </row>
    <row r="8437" spans="12:13" x14ac:dyDescent="0.2">
      <c r="L8437" s="12"/>
      <c r="M8437" s="13"/>
    </row>
    <row r="8438" spans="12:13" x14ac:dyDescent="0.2">
      <c r="L8438" s="12"/>
      <c r="M8438" s="13"/>
    </row>
    <row r="8439" spans="12:13" x14ac:dyDescent="0.2">
      <c r="L8439" s="12"/>
      <c r="M8439" s="13"/>
    </row>
    <row r="8440" spans="12:13" x14ac:dyDescent="0.2">
      <c r="L8440" s="12"/>
      <c r="M8440" s="13"/>
    </row>
    <row r="8441" spans="12:13" x14ac:dyDescent="0.2">
      <c r="L8441" s="12"/>
      <c r="M8441" s="13"/>
    </row>
    <row r="8442" spans="12:13" x14ac:dyDescent="0.2">
      <c r="L8442" s="12"/>
      <c r="M8442" s="13"/>
    </row>
    <row r="8443" spans="12:13" x14ac:dyDescent="0.2">
      <c r="L8443" s="12"/>
      <c r="M8443" s="13"/>
    </row>
    <row r="8444" spans="12:13" x14ac:dyDescent="0.2">
      <c r="L8444" s="12"/>
      <c r="M8444" s="13"/>
    </row>
    <row r="8445" spans="12:13" x14ac:dyDescent="0.2">
      <c r="L8445" s="12"/>
      <c r="M8445" s="13"/>
    </row>
    <row r="8446" spans="12:13" x14ac:dyDescent="0.2">
      <c r="L8446" s="12"/>
      <c r="M8446" s="13"/>
    </row>
    <row r="8447" spans="12:13" x14ac:dyDescent="0.2">
      <c r="L8447" s="12"/>
      <c r="M8447" s="13"/>
    </row>
    <row r="8448" spans="12:13" x14ac:dyDescent="0.2">
      <c r="L8448" s="12"/>
      <c r="M8448" s="13"/>
    </row>
    <row r="8449" spans="12:13" x14ac:dyDescent="0.2">
      <c r="L8449" s="12"/>
      <c r="M8449" s="13"/>
    </row>
    <row r="8450" spans="12:13" x14ac:dyDescent="0.2">
      <c r="L8450" s="17"/>
      <c r="M8450" s="18"/>
    </row>
    <row r="8451" spans="12:13" x14ac:dyDescent="0.2">
      <c r="L8451" s="12"/>
      <c r="M8451" s="13"/>
    </row>
    <row r="8452" spans="12:13" x14ac:dyDescent="0.2">
      <c r="L8452" s="12"/>
      <c r="M8452" s="13"/>
    </row>
    <row r="8453" spans="12:13" x14ac:dyDescent="0.2">
      <c r="L8453" s="12"/>
      <c r="M8453" s="13"/>
    </row>
    <row r="8454" spans="12:13" x14ac:dyDescent="0.2">
      <c r="L8454" s="12"/>
      <c r="M8454" s="13"/>
    </row>
    <row r="8455" spans="12:13" x14ac:dyDescent="0.2">
      <c r="L8455" s="12"/>
      <c r="M8455" s="13"/>
    </row>
    <row r="8456" spans="12:13" x14ac:dyDescent="0.2">
      <c r="L8456" s="12"/>
      <c r="M8456" s="13"/>
    </row>
    <row r="8457" spans="12:13" x14ac:dyDescent="0.2">
      <c r="L8457" s="12"/>
      <c r="M8457" s="13"/>
    </row>
    <row r="8458" spans="12:13" x14ac:dyDescent="0.2">
      <c r="L8458" s="12"/>
      <c r="M8458" s="13"/>
    </row>
    <row r="8459" spans="12:13" x14ac:dyDescent="0.2">
      <c r="L8459" s="12"/>
      <c r="M8459" s="13"/>
    </row>
    <row r="8460" spans="12:13" x14ac:dyDescent="0.2">
      <c r="L8460" s="12"/>
      <c r="M8460" s="13"/>
    </row>
    <row r="8461" spans="12:13" x14ac:dyDescent="0.2">
      <c r="L8461" s="12"/>
      <c r="M8461" s="13"/>
    </row>
    <row r="8462" spans="12:13" x14ac:dyDescent="0.2">
      <c r="L8462" s="12"/>
      <c r="M8462" s="13"/>
    </row>
    <row r="8463" spans="12:13" x14ac:dyDescent="0.2">
      <c r="L8463" s="12"/>
      <c r="M8463" s="13"/>
    </row>
    <row r="8464" spans="12:13" x14ac:dyDescent="0.2">
      <c r="L8464" s="12"/>
      <c r="M8464" s="13"/>
    </row>
    <row r="8465" spans="12:13" x14ac:dyDescent="0.2">
      <c r="L8465" s="12"/>
      <c r="M8465" s="13"/>
    </row>
    <row r="8466" spans="12:13" x14ac:dyDescent="0.2">
      <c r="L8466" s="12"/>
      <c r="M8466" s="13"/>
    </row>
    <row r="8467" spans="12:13" x14ac:dyDescent="0.2">
      <c r="L8467" s="12"/>
      <c r="M8467" s="13"/>
    </row>
    <row r="8468" spans="12:13" x14ac:dyDescent="0.2">
      <c r="L8468" s="12"/>
      <c r="M8468" s="13"/>
    </row>
    <row r="8469" spans="12:13" x14ac:dyDescent="0.2">
      <c r="L8469" s="12"/>
      <c r="M8469" s="13"/>
    </row>
    <row r="8470" spans="12:13" x14ac:dyDescent="0.2">
      <c r="L8470" s="12"/>
      <c r="M8470" s="13"/>
    </row>
    <row r="8471" spans="12:13" x14ac:dyDescent="0.2">
      <c r="L8471" s="12"/>
      <c r="M8471" s="13"/>
    </row>
    <row r="8472" spans="12:13" x14ac:dyDescent="0.2">
      <c r="L8472" s="12"/>
      <c r="M8472" s="13"/>
    </row>
    <row r="8473" spans="12:13" x14ac:dyDescent="0.2">
      <c r="L8473" s="12"/>
      <c r="M8473" s="13"/>
    </row>
    <row r="8474" spans="12:13" x14ac:dyDescent="0.2">
      <c r="L8474" s="12"/>
      <c r="M8474" s="13"/>
    </row>
    <row r="8475" spans="12:13" x14ac:dyDescent="0.2">
      <c r="L8475" s="12"/>
      <c r="M8475" s="13"/>
    </row>
    <row r="8476" spans="12:13" x14ac:dyDescent="0.2">
      <c r="L8476" s="12"/>
      <c r="M8476" s="13"/>
    </row>
    <row r="8477" spans="12:13" x14ac:dyDescent="0.2">
      <c r="L8477" s="12"/>
      <c r="M8477" s="13"/>
    </row>
    <row r="8478" spans="12:13" x14ac:dyDescent="0.2">
      <c r="L8478" s="12"/>
      <c r="M8478" s="13"/>
    </row>
    <row r="8479" spans="12:13" x14ac:dyDescent="0.2">
      <c r="L8479" s="12"/>
      <c r="M8479" s="13"/>
    </row>
    <row r="8480" spans="12:13" x14ac:dyDescent="0.2">
      <c r="L8480" s="12"/>
      <c r="M8480" s="13"/>
    </row>
    <row r="8481" spans="12:13" x14ac:dyDescent="0.2">
      <c r="L8481" s="12"/>
      <c r="M8481" s="13"/>
    </row>
    <row r="8482" spans="12:13" x14ac:dyDescent="0.2">
      <c r="L8482" s="12"/>
      <c r="M8482" s="13"/>
    </row>
    <row r="8483" spans="12:13" x14ac:dyDescent="0.2">
      <c r="L8483" s="12"/>
      <c r="M8483" s="13"/>
    </row>
    <row r="8484" spans="12:13" x14ac:dyDescent="0.2">
      <c r="L8484" s="12"/>
      <c r="M8484" s="13"/>
    </row>
    <row r="8485" spans="12:13" x14ac:dyDescent="0.2">
      <c r="L8485" s="12"/>
      <c r="M8485" s="13"/>
    </row>
    <row r="8486" spans="12:13" x14ac:dyDescent="0.2">
      <c r="L8486" s="12"/>
      <c r="M8486" s="13"/>
    </row>
    <row r="8487" spans="12:13" x14ac:dyDescent="0.2">
      <c r="L8487" s="12"/>
      <c r="M8487" s="13"/>
    </row>
    <row r="8488" spans="12:13" x14ac:dyDescent="0.2">
      <c r="L8488" s="12"/>
      <c r="M8488" s="13"/>
    </row>
    <row r="8489" spans="12:13" x14ac:dyDescent="0.2">
      <c r="L8489" s="12"/>
      <c r="M8489" s="13"/>
    </row>
    <row r="8490" spans="12:13" x14ac:dyDescent="0.2">
      <c r="L8490" s="12"/>
      <c r="M8490" s="13"/>
    </row>
    <row r="8491" spans="12:13" x14ac:dyDescent="0.2">
      <c r="L8491" s="12"/>
      <c r="M8491" s="13"/>
    </row>
    <row r="8492" spans="12:13" x14ac:dyDescent="0.2">
      <c r="L8492" s="12"/>
      <c r="M8492" s="13"/>
    </row>
    <row r="8493" spans="12:13" x14ac:dyDescent="0.2">
      <c r="L8493" s="12"/>
      <c r="M8493" s="13"/>
    </row>
    <row r="8494" spans="12:13" x14ac:dyDescent="0.2">
      <c r="L8494" s="12"/>
      <c r="M8494" s="13"/>
    </row>
    <row r="8495" spans="12:13" x14ac:dyDescent="0.2">
      <c r="L8495" s="12"/>
      <c r="M8495" s="13"/>
    </row>
    <row r="8496" spans="12:13" x14ac:dyDescent="0.2">
      <c r="L8496" s="12"/>
      <c r="M8496" s="13"/>
    </row>
    <row r="8497" spans="12:13" x14ac:dyDescent="0.2">
      <c r="L8497" s="12"/>
      <c r="M8497" s="13"/>
    </row>
    <row r="8498" spans="12:13" x14ac:dyDescent="0.2">
      <c r="L8498" s="12"/>
      <c r="M8498" s="13"/>
    </row>
    <row r="8499" spans="12:13" x14ac:dyDescent="0.2">
      <c r="L8499" s="12"/>
      <c r="M8499" s="13"/>
    </row>
    <row r="8500" spans="12:13" x14ac:dyDescent="0.2">
      <c r="L8500" s="12"/>
      <c r="M8500" s="13"/>
    </row>
    <row r="8501" spans="12:13" x14ac:dyDescent="0.2">
      <c r="L8501" s="12"/>
      <c r="M8501" s="13"/>
    </row>
    <row r="8502" spans="12:13" x14ac:dyDescent="0.2">
      <c r="L8502" s="12"/>
      <c r="M8502" s="13"/>
    </row>
    <row r="8503" spans="12:13" x14ac:dyDescent="0.2">
      <c r="L8503" s="12"/>
      <c r="M8503" s="13"/>
    </row>
    <row r="8504" spans="12:13" x14ac:dyDescent="0.2">
      <c r="L8504" s="12"/>
      <c r="M8504" s="13"/>
    </row>
    <row r="8505" spans="12:13" x14ac:dyDescent="0.2">
      <c r="L8505" s="12"/>
      <c r="M8505" s="13"/>
    </row>
    <row r="8506" spans="12:13" x14ac:dyDescent="0.2">
      <c r="L8506" s="12"/>
      <c r="M8506" s="13"/>
    </row>
    <row r="8507" spans="12:13" x14ac:dyDescent="0.2">
      <c r="L8507" s="12"/>
      <c r="M8507" s="13"/>
    </row>
    <row r="8508" spans="12:13" x14ac:dyDescent="0.2">
      <c r="L8508" s="12"/>
      <c r="M8508" s="13"/>
    </row>
    <row r="8509" spans="12:13" x14ac:dyDescent="0.2">
      <c r="L8509" s="12"/>
      <c r="M8509" s="13"/>
    </row>
    <row r="8510" spans="12:13" x14ac:dyDescent="0.2">
      <c r="L8510" s="12"/>
      <c r="M8510" s="13"/>
    </row>
    <row r="8511" spans="12:13" x14ac:dyDescent="0.2">
      <c r="L8511" s="12"/>
      <c r="M8511" s="13"/>
    </row>
    <row r="8512" spans="12:13" x14ac:dyDescent="0.2">
      <c r="L8512" s="12"/>
      <c r="M8512" s="13"/>
    </row>
    <row r="8513" spans="12:13" x14ac:dyDescent="0.2">
      <c r="L8513" s="12"/>
      <c r="M8513" s="13"/>
    </row>
    <row r="8514" spans="12:13" x14ac:dyDescent="0.2">
      <c r="L8514" s="12"/>
      <c r="M8514" s="13"/>
    </row>
    <row r="8515" spans="12:13" x14ac:dyDescent="0.2">
      <c r="L8515" s="12"/>
      <c r="M8515" s="13"/>
    </row>
    <row r="8516" spans="12:13" x14ac:dyDescent="0.2">
      <c r="L8516" s="12"/>
      <c r="M8516" s="13"/>
    </row>
    <row r="8517" spans="12:13" x14ac:dyDescent="0.2">
      <c r="L8517" s="12"/>
      <c r="M8517" s="13"/>
    </row>
    <row r="8518" spans="12:13" x14ac:dyDescent="0.2">
      <c r="L8518" s="12"/>
      <c r="M8518" s="13"/>
    </row>
    <row r="8519" spans="12:13" x14ac:dyDescent="0.2">
      <c r="L8519" s="12"/>
      <c r="M8519" s="13"/>
    </row>
    <row r="8520" spans="12:13" x14ac:dyDescent="0.2">
      <c r="L8520" s="12"/>
      <c r="M8520" s="13"/>
    </row>
    <row r="8521" spans="12:13" x14ac:dyDescent="0.2">
      <c r="L8521" s="12"/>
      <c r="M8521" s="13"/>
    </row>
    <row r="8522" spans="12:13" x14ac:dyDescent="0.2">
      <c r="L8522" s="12"/>
      <c r="M8522" s="13"/>
    </row>
    <row r="8523" spans="12:13" x14ac:dyDescent="0.2">
      <c r="L8523" s="12"/>
      <c r="M8523" s="13"/>
    </row>
    <row r="8524" spans="12:13" x14ac:dyDescent="0.2">
      <c r="L8524" s="12"/>
      <c r="M8524" s="13"/>
    </row>
    <row r="8525" spans="12:13" x14ac:dyDescent="0.2">
      <c r="L8525" s="12"/>
      <c r="M8525" s="13"/>
    </row>
    <row r="8526" spans="12:13" x14ac:dyDescent="0.2">
      <c r="L8526" s="12"/>
      <c r="M8526" s="13"/>
    </row>
    <row r="8527" spans="12:13" x14ac:dyDescent="0.2">
      <c r="L8527" s="12"/>
      <c r="M8527" s="13"/>
    </row>
    <row r="8528" spans="12:13" x14ac:dyDescent="0.2">
      <c r="L8528" s="12"/>
      <c r="M8528" s="13"/>
    </row>
    <row r="8529" spans="12:13" x14ac:dyDescent="0.2">
      <c r="L8529" s="12"/>
      <c r="M8529" s="13"/>
    </row>
    <row r="8530" spans="12:13" x14ac:dyDescent="0.2">
      <c r="L8530" s="12"/>
      <c r="M8530" s="13"/>
    </row>
    <row r="8531" spans="12:13" x14ac:dyDescent="0.2">
      <c r="L8531" s="12"/>
      <c r="M8531" s="13"/>
    </row>
    <row r="8532" spans="12:13" x14ac:dyDescent="0.2">
      <c r="L8532" s="12"/>
      <c r="M8532" s="13"/>
    </row>
    <row r="8533" spans="12:13" x14ac:dyDescent="0.2">
      <c r="L8533" s="12"/>
      <c r="M8533" s="13"/>
    </row>
    <row r="8534" spans="12:13" x14ac:dyDescent="0.2">
      <c r="L8534" s="12"/>
      <c r="M8534" s="13"/>
    </row>
    <row r="8535" spans="12:13" x14ac:dyDescent="0.2">
      <c r="L8535" s="12"/>
      <c r="M8535" s="13"/>
    </row>
    <row r="8536" spans="12:13" x14ac:dyDescent="0.2">
      <c r="L8536" s="12"/>
      <c r="M8536" s="13"/>
    </row>
    <row r="8537" spans="12:13" x14ac:dyDescent="0.2">
      <c r="L8537" s="12"/>
      <c r="M8537" s="13"/>
    </row>
    <row r="8538" spans="12:13" x14ac:dyDescent="0.2">
      <c r="L8538" s="12"/>
      <c r="M8538" s="13"/>
    </row>
    <row r="8539" spans="12:13" x14ac:dyDescent="0.2">
      <c r="L8539" s="12"/>
      <c r="M8539" s="13"/>
    </row>
    <row r="8540" spans="12:13" x14ac:dyDescent="0.2">
      <c r="L8540" s="12"/>
      <c r="M8540" s="13"/>
    </row>
    <row r="8541" spans="12:13" x14ac:dyDescent="0.2">
      <c r="L8541" s="12"/>
      <c r="M8541" s="13"/>
    </row>
    <row r="8542" spans="12:13" x14ac:dyDescent="0.2">
      <c r="L8542" s="12"/>
      <c r="M8542" s="13"/>
    </row>
    <row r="8543" spans="12:13" x14ac:dyDescent="0.2">
      <c r="L8543" s="12"/>
      <c r="M8543" s="13"/>
    </row>
    <row r="8544" spans="12:13" x14ac:dyDescent="0.2">
      <c r="L8544" s="12"/>
      <c r="M8544" s="13"/>
    </row>
    <row r="8545" spans="12:13" x14ac:dyDescent="0.2">
      <c r="L8545" s="12"/>
      <c r="M8545" s="13"/>
    </row>
    <row r="8546" spans="12:13" x14ac:dyDescent="0.2">
      <c r="L8546" s="12"/>
      <c r="M8546" s="13"/>
    </row>
    <row r="8547" spans="12:13" x14ac:dyDescent="0.2">
      <c r="L8547" s="12"/>
      <c r="M8547" s="13"/>
    </row>
    <row r="8548" spans="12:13" x14ac:dyDescent="0.2">
      <c r="L8548" s="12"/>
      <c r="M8548" s="13"/>
    </row>
    <row r="8549" spans="12:13" x14ac:dyDescent="0.2">
      <c r="L8549" s="12"/>
      <c r="M8549" s="13"/>
    </row>
    <row r="8550" spans="12:13" x14ac:dyDescent="0.2">
      <c r="L8550" s="12"/>
      <c r="M8550" s="13"/>
    </row>
    <row r="8551" spans="12:13" x14ac:dyDescent="0.2">
      <c r="L8551" s="12"/>
      <c r="M8551" s="13"/>
    </row>
    <row r="8552" spans="12:13" x14ac:dyDescent="0.2">
      <c r="L8552" s="12"/>
      <c r="M8552" s="13"/>
    </row>
    <row r="8553" spans="12:13" x14ac:dyDescent="0.2">
      <c r="L8553" s="12"/>
      <c r="M8553" s="13"/>
    </row>
    <row r="8554" spans="12:13" x14ac:dyDescent="0.2">
      <c r="L8554" s="12"/>
      <c r="M8554" s="13"/>
    </row>
    <row r="8555" spans="12:13" x14ac:dyDescent="0.2">
      <c r="L8555" s="12"/>
      <c r="M8555" s="13"/>
    </row>
    <row r="8556" spans="12:13" x14ac:dyDescent="0.2">
      <c r="L8556" s="12"/>
      <c r="M8556" s="13"/>
    </row>
    <row r="8557" spans="12:13" x14ac:dyDescent="0.2">
      <c r="L8557" s="12"/>
      <c r="M8557" s="13"/>
    </row>
    <row r="8558" spans="12:13" x14ac:dyDescent="0.2">
      <c r="L8558" s="12"/>
      <c r="M8558" s="13"/>
    </row>
    <row r="8559" spans="12:13" x14ac:dyDescent="0.2">
      <c r="L8559" s="12"/>
      <c r="M8559" s="13"/>
    </row>
    <row r="8560" spans="12:13" x14ac:dyDescent="0.2">
      <c r="L8560" s="12"/>
      <c r="M8560" s="13"/>
    </row>
    <row r="8561" spans="12:13" x14ac:dyDescent="0.2">
      <c r="L8561" s="12"/>
      <c r="M8561" s="13"/>
    </row>
    <row r="8562" spans="12:13" x14ac:dyDescent="0.2">
      <c r="L8562" s="12"/>
      <c r="M8562" s="13"/>
    </row>
    <row r="8563" spans="12:13" x14ac:dyDescent="0.2">
      <c r="L8563" s="12"/>
      <c r="M8563" s="13"/>
    </row>
    <row r="8564" spans="12:13" x14ac:dyDescent="0.2">
      <c r="L8564" s="12"/>
      <c r="M8564" s="13"/>
    </row>
    <row r="8565" spans="12:13" x14ac:dyDescent="0.2">
      <c r="L8565" s="12"/>
      <c r="M8565" s="13"/>
    </row>
    <row r="8566" spans="12:13" x14ac:dyDescent="0.2">
      <c r="L8566" s="12"/>
      <c r="M8566" s="13"/>
    </row>
    <row r="8567" spans="12:13" x14ac:dyDescent="0.2">
      <c r="L8567" s="12"/>
      <c r="M8567" s="13"/>
    </row>
    <row r="8568" spans="12:13" x14ac:dyDescent="0.2">
      <c r="L8568" s="12"/>
      <c r="M8568" s="13"/>
    </row>
    <row r="8569" spans="12:13" x14ac:dyDescent="0.2">
      <c r="L8569" s="12"/>
      <c r="M8569" s="13"/>
    </row>
    <row r="8570" spans="12:13" x14ac:dyDescent="0.2">
      <c r="L8570" s="12"/>
      <c r="M8570" s="13"/>
    </row>
    <row r="8571" spans="12:13" x14ac:dyDescent="0.2">
      <c r="L8571" s="12"/>
      <c r="M8571" s="13"/>
    </row>
    <row r="8572" spans="12:13" x14ac:dyDescent="0.2">
      <c r="L8572" s="12"/>
      <c r="M8572" s="13"/>
    </row>
    <row r="8573" spans="12:13" x14ac:dyDescent="0.2">
      <c r="L8573" s="12"/>
      <c r="M8573" s="13"/>
    </row>
    <row r="8574" spans="12:13" x14ac:dyDescent="0.2">
      <c r="L8574" s="12"/>
      <c r="M8574" s="13"/>
    </row>
    <row r="8575" spans="12:13" x14ac:dyDescent="0.2">
      <c r="L8575" s="12"/>
      <c r="M8575" s="13"/>
    </row>
    <row r="8576" spans="12:13" x14ac:dyDescent="0.2">
      <c r="L8576" s="12"/>
      <c r="M8576" s="13"/>
    </row>
    <row r="8577" spans="12:13" x14ac:dyDescent="0.2">
      <c r="L8577" s="12"/>
      <c r="M8577" s="13"/>
    </row>
    <row r="8578" spans="12:13" x14ac:dyDescent="0.2">
      <c r="L8578" s="12"/>
      <c r="M8578" s="13"/>
    </row>
    <row r="8579" spans="12:13" x14ac:dyDescent="0.2">
      <c r="L8579" s="12"/>
      <c r="M8579" s="13"/>
    </row>
    <row r="8580" spans="12:13" x14ac:dyDescent="0.2">
      <c r="L8580" s="12"/>
      <c r="M8580" s="13"/>
    </row>
    <row r="8581" spans="12:13" x14ac:dyDescent="0.2">
      <c r="L8581" s="12"/>
      <c r="M8581" s="13"/>
    </row>
    <row r="8582" spans="12:13" x14ac:dyDescent="0.2">
      <c r="L8582" s="12"/>
      <c r="M8582" s="13"/>
    </row>
    <row r="8583" spans="12:13" x14ac:dyDescent="0.2">
      <c r="L8583" s="12"/>
      <c r="M8583" s="13"/>
    </row>
    <row r="8584" spans="12:13" x14ac:dyDescent="0.2">
      <c r="L8584" s="12"/>
      <c r="M8584" s="13"/>
    </row>
    <row r="8585" spans="12:13" x14ac:dyDescent="0.2">
      <c r="L8585" s="12"/>
      <c r="M8585" s="13"/>
    </row>
    <row r="8586" spans="12:13" x14ac:dyDescent="0.2">
      <c r="L8586" s="12"/>
      <c r="M8586" s="13"/>
    </row>
    <row r="8587" spans="12:13" x14ac:dyDescent="0.2">
      <c r="L8587" s="12"/>
      <c r="M8587" s="13"/>
    </row>
    <row r="8588" spans="12:13" x14ac:dyDescent="0.2">
      <c r="L8588" s="12"/>
      <c r="M8588" s="13"/>
    </row>
    <row r="8589" spans="12:13" x14ac:dyDescent="0.2">
      <c r="L8589" s="12"/>
      <c r="M8589" s="13"/>
    </row>
    <row r="8590" spans="12:13" x14ac:dyDescent="0.2">
      <c r="L8590" s="12"/>
      <c r="M8590" s="13"/>
    </row>
    <row r="8591" spans="12:13" x14ac:dyDescent="0.2">
      <c r="L8591" s="12"/>
      <c r="M8591" s="13"/>
    </row>
    <row r="8592" spans="12:13" x14ac:dyDescent="0.2">
      <c r="L8592" s="12"/>
      <c r="M8592" s="13"/>
    </row>
    <row r="8593" spans="12:13" x14ac:dyDescent="0.2">
      <c r="L8593" s="12"/>
      <c r="M8593" s="13"/>
    </row>
    <row r="8594" spans="12:13" x14ac:dyDescent="0.2">
      <c r="L8594" s="12"/>
      <c r="M8594" s="13"/>
    </row>
    <row r="8595" spans="12:13" x14ac:dyDescent="0.2">
      <c r="L8595" s="12"/>
      <c r="M8595" s="13"/>
    </row>
    <row r="8596" spans="12:13" x14ac:dyDescent="0.2">
      <c r="L8596" s="12"/>
      <c r="M8596" s="13"/>
    </row>
    <row r="8597" spans="12:13" x14ac:dyDescent="0.2">
      <c r="L8597" s="12"/>
      <c r="M8597" s="13"/>
    </row>
    <row r="8598" spans="12:13" x14ac:dyDescent="0.2">
      <c r="L8598" s="12"/>
      <c r="M8598" s="13"/>
    </row>
    <row r="8599" spans="12:13" x14ac:dyDescent="0.2">
      <c r="L8599" s="12"/>
      <c r="M8599" s="13"/>
    </row>
    <row r="8600" spans="12:13" x14ac:dyDescent="0.2">
      <c r="L8600" s="12"/>
      <c r="M8600" s="13"/>
    </row>
    <row r="8601" spans="12:13" x14ac:dyDescent="0.2">
      <c r="L8601" s="12"/>
      <c r="M8601" s="13"/>
    </row>
    <row r="8602" spans="12:13" x14ac:dyDescent="0.2">
      <c r="L8602" s="12"/>
      <c r="M8602" s="13"/>
    </row>
    <row r="8603" spans="12:13" x14ac:dyDescent="0.2">
      <c r="L8603" s="12"/>
      <c r="M8603" s="13"/>
    </row>
    <row r="8604" spans="12:13" x14ac:dyDescent="0.2">
      <c r="L8604" s="12"/>
      <c r="M8604" s="13"/>
    </row>
    <row r="8605" spans="12:13" x14ac:dyDescent="0.2">
      <c r="L8605" s="12"/>
      <c r="M8605" s="13"/>
    </row>
    <row r="8606" spans="12:13" x14ac:dyDescent="0.2">
      <c r="L8606" s="12"/>
      <c r="M8606" s="13"/>
    </row>
    <row r="8607" spans="12:13" x14ac:dyDescent="0.2">
      <c r="L8607" s="12"/>
      <c r="M8607" s="13"/>
    </row>
    <row r="8608" spans="12:13" x14ac:dyDescent="0.2">
      <c r="L8608" s="12"/>
      <c r="M8608" s="13"/>
    </row>
    <row r="8609" spans="12:13" x14ac:dyDescent="0.2">
      <c r="L8609" s="12"/>
      <c r="M8609" s="13"/>
    </row>
    <row r="8610" spans="12:13" x14ac:dyDescent="0.2">
      <c r="L8610" s="12"/>
      <c r="M8610" s="13"/>
    </row>
    <row r="8611" spans="12:13" x14ac:dyDescent="0.2">
      <c r="L8611" s="12"/>
      <c r="M8611" s="13"/>
    </row>
    <row r="8612" spans="12:13" x14ac:dyDescent="0.2">
      <c r="L8612" s="12"/>
      <c r="M8612" s="13"/>
    </row>
    <row r="8613" spans="12:13" x14ac:dyDescent="0.2">
      <c r="L8613" s="12"/>
      <c r="M8613" s="13"/>
    </row>
    <row r="8614" spans="12:13" x14ac:dyDescent="0.2">
      <c r="L8614" s="12"/>
      <c r="M8614" s="13"/>
    </row>
    <row r="8615" spans="12:13" x14ac:dyDescent="0.2">
      <c r="L8615" s="12"/>
      <c r="M8615" s="13"/>
    </row>
    <row r="8616" spans="12:13" x14ac:dyDescent="0.2">
      <c r="L8616" s="12"/>
      <c r="M8616" s="13"/>
    </row>
    <row r="8617" spans="12:13" x14ac:dyDescent="0.2">
      <c r="L8617" s="12"/>
      <c r="M8617" s="13"/>
    </row>
    <row r="8618" spans="12:13" x14ac:dyDescent="0.2">
      <c r="L8618" s="12"/>
      <c r="M8618" s="13"/>
    </row>
    <row r="8619" spans="12:13" x14ac:dyDescent="0.2">
      <c r="L8619" s="12"/>
      <c r="M8619" s="13"/>
    </row>
    <row r="8620" spans="12:13" x14ac:dyDescent="0.2">
      <c r="L8620" s="12"/>
      <c r="M8620" s="13"/>
    </row>
    <row r="8621" spans="12:13" x14ac:dyDescent="0.2">
      <c r="L8621" s="12"/>
      <c r="M8621" s="13"/>
    </row>
    <row r="8622" spans="12:13" x14ac:dyDescent="0.2">
      <c r="L8622" s="12"/>
      <c r="M8622" s="13"/>
    </row>
    <row r="8623" spans="12:13" x14ac:dyDescent="0.2">
      <c r="L8623" s="12"/>
      <c r="M8623" s="13"/>
    </row>
    <row r="8624" spans="12:13" x14ac:dyDescent="0.2">
      <c r="L8624" s="12"/>
      <c r="M8624" s="13"/>
    </row>
    <row r="8625" spans="12:13" x14ac:dyDescent="0.2">
      <c r="L8625" s="12"/>
      <c r="M8625" s="13"/>
    </row>
    <row r="8626" spans="12:13" x14ac:dyDescent="0.2">
      <c r="L8626" s="12"/>
      <c r="M8626" s="13"/>
    </row>
    <row r="8627" spans="12:13" x14ac:dyDescent="0.2">
      <c r="L8627" s="12"/>
      <c r="M8627" s="13"/>
    </row>
    <row r="8628" spans="12:13" x14ac:dyDescent="0.2">
      <c r="L8628" s="12"/>
      <c r="M8628" s="13"/>
    </row>
    <row r="8629" spans="12:13" x14ac:dyDescent="0.2">
      <c r="L8629" s="12"/>
      <c r="M8629" s="13"/>
    </row>
    <row r="8630" spans="12:13" x14ac:dyDescent="0.2">
      <c r="L8630" s="12"/>
      <c r="M8630" s="13"/>
    </row>
    <row r="8631" spans="12:13" x14ac:dyDescent="0.2">
      <c r="L8631" s="12"/>
      <c r="M8631" s="13"/>
    </row>
    <row r="8632" spans="12:13" x14ac:dyDescent="0.2">
      <c r="L8632" s="12"/>
      <c r="M8632" s="13"/>
    </row>
    <row r="8633" spans="12:13" x14ac:dyDescent="0.2">
      <c r="L8633" s="12"/>
      <c r="M8633" s="13"/>
    </row>
    <row r="8634" spans="12:13" x14ac:dyDescent="0.2">
      <c r="L8634" s="12"/>
      <c r="M8634" s="13"/>
    </row>
    <row r="8635" spans="12:13" x14ac:dyDescent="0.2">
      <c r="L8635" s="12"/>
      <c r="M8635" s="13"/>
    </row>
    <row r="8636" spans="12:13" x14ac:dyDescent="0.2">
      <c r="L8636" s="12"/>
      <c r="M8636" s="13"/>
    </row>
    <row r="8637" spans="12:13" x14ac:dyDescent="0.2">
      <c r="L8637" s="12"/>
      <c r="M8637" s="13"/>
    </row>
    <row r="8638" spans="12:13" x14ac:dyDescent="0.2">
      <c r="L8638" s="12"/>
      <c r="M8638" s="13"/>
    </row>
    <row r="8639" spans="12:13" x14ac:dyDescent="0.2">
      <c r="L8639" s="12"/>
      <c r="M8639" s="13"/>
    </row>
    <row r="8640" spans="12:13" x14ac:dyDescent="0.2">
      <c r="L8640" s="12"/>
      <c r="M8640" s="13"/>
    </row>
    <row r="8641" spans="12:13" x14ac:dyDescent="0.2">
      <c r="L8641" s="12"/>
      <c r="M8641" s="13"/>
    </row>
    <row r="8642" spans="12:13" x14ac:dyDescent="0.2">
      <c r="L8642" s="12"/>
      <c r="M8642" s="13"/>
    </row>
    <row r="8643" spans="12:13" x14ac:dyDescent="0.2">
      <c r="L8643" s="12"/>
      <c r="M8643" s="13"/>
    </row>
    <row r="8644" spans="12:13" x14ac:dyDescent="0.2">
      <c r="L8644" s="12"/>
      <c r="M8644" s="13"/>
    </row>
    <row r="8645" spans="12:13" x14ac:dyDescent="0.2">
      <c r="L8645" s="12"/>
      <c r="M8645" s="13"/>
    </row>
    <row r="8646" spans="12:13" x14ac:dyDescent="0.2">
      <c r="L8646" s="12"/>
      <c r="M8646" s="13"/>
    </row>
    <row r="8647" spans="12:13" x14ac:dyDescent="0.2">
      <c r="L8647" s="12"/>
      <c r="M8647" s="13"/>
    </row>
    <row r="8648" spans="12:13" x14ac:dyDescent="0.2">
      <c r="L8648" s="12"/>
      <c r="M8648" s="13"/>
    </row>
    <row r="8649" spans="12:13" x14ac:dyDescent="0.2">
      <c r="L8649" s="12"/>
      <c r="M8649" s="13"/>
    </row>
    <row r="8650" spans="12:13" x14ac:dyDescent="0.2">
      <c r="L8650" s="12"/>
      <c r="M8650" s="13"/>
    </row>
    <row r="8651" spans="12:13" x14ac:dyDescent="0.2">
      <c r="L8651" s="12"/>
      <c r="M8651" s="13"/>
    </row>
    <row r="8652" spans="12:13" x14ac:dyDescent="0.2">
      <c r="L8652" s="12"/>
      <c r="M8652" s="13"/>
    </row>
    <row r="8653" spans="12:13" x14ac:dyDescent="0.2">
      <c r="L8653" s="12"/>
      <c r="M8653" s="13"/>
    </row>
    <row r="8654" spans="12:13" x14ac:dyDescent="0.2">
      <c r="L8654" s="12"/>
      <c r="M8654" s="13"/>
    </row>
    <row r="8655" spans="12:13" x14ac:dyDescent="0.2">
      <c r="L8655" s="12"/>
      <c r="M8655" s="13"/>
    </row>
    <row r="8656" spans="12:13" x14ac:dyDescent="0.2">
      <c r="L8656" s="12"/>
      <c r="M8656" s="13"/>
    </row>
    <row r="8657" spans="12:13" x14ac:dyDescent="0.2">
      <c r="L8657" s="12"/>
      <c r="M8657" s="13"/>
    </row>
    <row r="8658" spans="12:13" x14ac:dyDescent="0.2">
      <c r="L8658" s="12"/>
      <c r="M8658" s="13"/>
    </row>
    <row r="8659" spans="12:13" x14ac:dyDescent="0.2">
      <c r="L8659" s="12"/>
      <c r="M8659" s="13"/>
    </row>
    <row r="8660" spans="12:13" x14ac:dyDescent="0.2">
      <c r="L8660" s="12"/>
      <c r="M8660" s="13"/>
    </row>
    <row r="8661" spans="12:13" x14ac:dyDescent="0.2">
      <c r="L8661" s="12"/>
      <c r="M8661" s="13"/>
    </row>
    <row r="8662" spans="12:13" x14ac:dyDescent="0.2">
      <c r="L8662" s="12"/>
      <c r="M8662" s="13"/>
    </row>
    <row r="8663" spans="12:13" x14ac:dyDescent="0.2">
      <c r="L8663" s="12"/>
      <c r="M8663" s="13"/>
    </row>
    <row r="8664" spans="12:13" x14ac:dyDescent="0.2">
      <c r="L8664" s="12"/>
      <c r="M8664" s="13"/>
    </row>
    <row r="8665" spans="12:13" x14ac:dyDescent="0.2">
      <c r="L8665" s="12"/>
      <c r="M8665" s="13"/>
    </row>
    <row r="8666" spans="12:13" x14ac:dyDescent="0.2">
      <c r="L8666" s="12"/>
      <c r="M8666" s="13"/>
    </row>
    <row r="8667" spans="12:13" x14ac:dyDescent="0.2">
      <c r="L8667" s="12"/>
      <c r="M8667" s="13"/>
    </row>
    <row r="8668" spans="12:13" x14ac:dyDescent="0.2">
      <c r="L8668" s="12"/>
      <c r="M8668" s="13"/>
    </row>
    <row r="8669" spans="12:13" x14ac:dyDescent="0.2">
      <c r="L8669" s="12"/>
      <c r="M8669" s="13"/>
    </row>
    <row r="8670" spans="12:13" x14ac:dyDescent="0.2">
      <c r="L8670" s="12"/>
      <c r="M8670" s="13"/>
    </row>
    <row r="8671" spans="12:13" x14ac:dyDescent="0.2">
      <c r="L8671" s="12"/>
      <c r="M8671" s="13"/>
    </row>
    <row r="8672" spans="12:13" x14ac:dyDescent="0.2">
      <c r="L8672" s="12"/>
      <c r="M8672" s="13"/>
    </row>
    <row r="8673" spans="12:13" x14ac:dyDescent="0.2">
      <c r="L8673" s="12"/>
      <c r="M8673" s="13"/>
    </row>
    <row r="8674" spans="12:13" x14ac:dyDescent="0.2">
      <c r="L8674" s="12"/>
      <c r="M8674" s="13"/>
    </row>
    <row r="8675" spans="12:13" x14ac:dyDescent="0.2">
      <c r="L8675" s="12"/>
      <c r="M8675" s="13"/>
    </row>
    <row r="8676" spans="12:13" x14ac:dyDescent="0.2">
      <c r="L8676" s="12"/>
      <c r="M8676" s="13"/>
    </row>
    <row r="8677" spans="12:13" x14ac:dyDescent="0.2">
      <c r="L8677" s="12"/>
      <c r="M8677" s="13"/>
    </row>
    <row r="8678" spans="12:13" x14ac:dyDescent="0.2">
      <c r="L8678" s="12"/>
      <c r="M8678" s="13"/>
    </row>
    <row r="8679" spans="12:13" x14ac:dyDescent="0.2">
      <c r="L8679" s="12"/>
      <c r="M8679" s="13"/>
    </row>
    <row r="8680" spans="12:13" x14ac:dyDescent="0.2">
      <c r="L8680" s="12"/>
      <c r="M8680" s="13"/>
    </row>
    <row r="8681" spans="12:13" x14ac:dyDescent="0.2">
      <c r="L8681" s="12"/>
      <c r="M8681" s="13"/>
    </row>
    <row r="8682" spans="12:13" x14ac:dyDescent="0.2">
      <c r="L8682" s="12"/>
      <c r="M8682" s="13"/>
    </row>
    <row r="8683" spans="12:13" x14ac:dyDescent="0.2">
      <c r="L8683" s="12"/>
      <c r="M8683" s="13"/>
    </row>
    <row r="8684" spans="12:13" x14ac:dyDescent="0.2">
      <c r="L8684" s="12"/>
      <c r="M8684" s="13"/>
    </row>
    <row r="8685" spans="12:13" x14ac:dyDescent="0.2">
      <c r="L8685" s="12"/>
      <c r="M8685" s="13"/>
    </row>
    <row r="8686" spans="12:13" x14ac:dyDescent="0.2">
      <c r="L8686" s="12"/>
      <c r="M8686" s="13"/>
    </row>
    <row r="8687" spans="12:13" x14ac:dyDescent="0.2">
      <c r="L8687" s="12"/>
      <c r="M8687" s="13"/>
    </row>
    <row r="8688" spans="12:13" x14ac:dyDescent="0.2">
      <c r="L8688" s="12"/>
      <c r="M8688" s="13"/>
    </row>
    <row r="8689" spans="12:13" x14ac:dyDescent="0.2">
      <c r="L8689" s="12"/>
      <c r="M8689" s="13"/>
    </row>
    <row r="8690" spans="12:13" x14ac:dyDescent="0.2">
      <c r="L8690" s="12"/>
      <c r="M8690" s="13"/>
    </row>
    <row r="8691" spans="12:13" x14ac:dyDescent="0.2">
      <c r="L8691" s="12"/>
      <c r="M8691" s="13"/>
    </row>
    <row r="8692" spans="12:13" x14ac:dyDescent="0.2">
      <c r="L8692" s="12"/>
      <c r="M8692" s="13"/>
    </row>
    <row r="8693" spans="12:13" x14ac:dyDescent="0.2">
      <c r="L8693" s="12"/>
      <c r="M8693" s="13"/>
    </row>
    <row r="8694" spans="12:13" x14ac:dyDescent="0.2">
      <c r="L8694" s="12"/>
      <c r="M8694" s="13"/>
    </row>
    <row r="8695" spans="12:13" x14ac:dyDescent="0.2">
      <c r="L8695" s="12"/>
      <c r="M8695" s="13"/>
    </row>
    <row r="8696" spans="12:13" x14ac:dyDescent="0.2">
      <c r="L8696" s="12"/>
      <c r="M8696" s="13"/>
    </row>
    <row r="8697" spans="12:13" x14ac:dyDescent="0.2">
      <c r="L8697" s="12"/>
      <c r="M8697" s="13"/>
    </row>
    <row r="8698" spans="12:13" x14ac:dyDescent="0.2">
      <c r="L8698" s="12"/>
      <c r="M8698" s="13"/>
    </row>
    <row r="8699" spans="12:13" x14ac:dyDescent="0.2">
      <c r="L8699" s="12"/>
      <c r="M8699" s="13"/>
    </row>
    <row r="8700" spans="12:13" x14ac:dyDescent="0.2">
      <c r="L8700" s="12"/>
      <c r="M8700" s="13"/>
    </row>
    <row r="8701" spans="12:13" x14ac:dyDescent="0.2">
      <c r="L8701" s="12"/>
      <c r="M8701" s="13"/>
    </row>
    <row r="8702" spans="12:13" x14ac:dyDescent="0.2">
      <c r="L8702" s="12"/>
      <c r="M8702" s="13"/>
    </row>
    <row r="8703" spans="12:13" x14ac:dyDescent="0.2">
      <c r="L8703" s="12"/>
      <c r="M8703" s="13"/>
    </row>
    <row r="8704" spans="12:13" x14ac:dyDescent="0.2">
      <c r="L8704" s="12"/>
      <c r="M8704" s="13"/>
    </row>
    <row r="8705" spans="12:13" x14ac:dyDescent="0.2">
      <c r="L8705" s="12"/>
      <c r="M8705" s="13"/>
    </row>
    <row r="8706" spans="12:13" x14ac:dyDescent="0.2">
      <c r="L8706" s="17"/>
      <c r="M8706" s="18"/>
    </row>
    <row r="8707" spans="12:13" x14ac:dyDescent="0.2">
      <c r="L8707" s="12"/>
      <c r="M8707" s="13"/>
    </row>
    <row r="8708" spans="12:13" x14ac:dyDescent="0.2">
      <c r="L8708" s="12"/>
      <c r="M8708" s="13"/>
    </row>
    <row r="8709" spans="12:13" x14ac:dyDescent="0.2">
      <c r="L8709" s="12"/>
      <c r="M8709" s="13"/>
    </row>
    <row r="8710" spans="12:13" x14ac:dyDescent="0.2">
      <c r="L8710" s="12"/>
      <c r="M8710" s="13"/>
    </row>
    <row r="8711" spans="12:13" x14ac:dyDescent="0.2">
      <c r="L8711" s="12"/>
      <c r="M8711" s="13"/>
    </row>
    <row r="8712" spans="12:13" x14ac:dyDescent="0.2">
      <c r="L8712" s="12"/>
      <c r="M8712" s="13"/>
    </row>
    <row r="8713" spans="12:13" x14ac:dyDescent="0.2">
      <c r="L8713" s="12"/>
      <c r="M8713" s="13"/>
    </row>
    <row r="8714" spans="12:13" x14ac:dyDescent="0.2">
      <c r="L8714" s="12"/>
      <c r="M8714" s="13"/>
    </row>
    <row r="8715" spans="12:13" x14ac:dyDescent="0.2">
      <c r="L8715" s="12"/>
      <c r="M8715" s="13"/>
    </row>
    <row r="8716" spans="12:13" x14ac:dyDescent="0.2">
      <c r="L8716" s="12"/>
      <c r="M8716" s="13"/>
    </row>
    <row r="8717" spans="12:13" x14ac:dyDescent="0.2">
      <c r="L8717" s="12"/>
      <c r="M8717" s="13"/>
    </row>
    <row r="8718" spans="12:13" x14ac:dyDescent="0.2">
      <c r="L8718" s="12"/>
      <c r="M8718" s="13"/>
    </row>
    <row r="8719" spans="12:13" x14ac:dyDescent="0.2">
      <c r="L8719" s="12"/>
      <c r="M8719" s="13"/>
    </row>
    <row r="8720" spans="12:13" x14ac:dyDescent="0.2">
      <c r="L8720" s="12"/>
      <c r="M8720" s="13"/>
    </row>
    <row r="8721" spans="12:13" x14ac:dyDescent="0.2">
      <c r="L8721" s="12"/>
      <c r="M8721" s="13"/>
    </row>
    <row r="8722" spans="12:13" x14ac:dyDescent="0.2">
      <c r="L8722" s="12"/>
      <c r="M8722" s="13"/>
    </row>
    <row r="8723" spans="12:13" x14ac:dyDescent="0.2">
      <c r="L8723" s="12"/>
      <c r="M8723" s="13"/>
    </row>
    <row r="8724" spans="12:13" x14ac:dyDescent="0.2">
      <c r="L8724" s="12"/>
      <c r="M8724" s="13"/>
    </row>
    <row r="8725" spans="12:13" x14ac:dyDescent="0.2">
      <c r="L8725" s="12"/>
      <c r="M8725" s="13"/>
    </row>
    <row r="8726" spans="12:13" x14ac:dyDescent="0.2">
      <c r="L8726" s="12"/>
      <c r="M8726" s="13"/>
    </row>
    <row r="8727" spans="12:13" x14ac:dyDescent="0.2">
      <c r="L8727" s="12"/>
      <c r="M8727" s="13"/>
    </row>
    <row r="8728" spans="12:13" x14ac:dyDescent="0.2">
      <c r="L8728" s="12"/>
      <c r="M8728" s="13"/>
    </row>
    <row r="8729" spans="12:13" x14ac:dyDescent="0.2">
      <c r="L8729" s="12"/>
      <c r="M8729" s="13"/>
    </row>
    <row r="8730" spans="12:13" x14ac:dyDescent="0.2">
      <c r="L8730" s="12"/>
      <c r="M8730" s="13"/>
    </row>
    <row r="8731" spans="12:13" x14ac:dyDescent="0.2">
      <c r="L8731" s="12"/>
      <c r="M8731" s="13"/>
    </row>
    <row r="8732" spans="12:13" x14ac:dyDescent="0.2">
      <c r="L8732" s="12"/>
      <c r="M8732" s="13"/>
    </row>
    <row r="8733" spans="12:13" x14ac:dyDescent="0.2">
      <c r="L8733" s="12"/>
      <c r="M8733" s="13"/>
    </row>
    <row r="8734" spans="12:13" x14ac:dyDescent="0.2">
      <c r="L8734" s="12"/>
      <c r="M8734" s="13"/>
    </row>
    <row r="8735" spans="12:13" x14ac:dyDescent="0.2">
      <c r="L8735" s="12"/>
      <c r="M8735" s="13"/>
    </row>
    <row r="8736" spans="12:13" x14ac:dyDescent="0.2">
      <c r="L8736" s="12"/>
      <c r="M8736" s="13"/>
    </row>
    <row r="8737" spans="12:13" x14ac:dyDescent="0.2">
      <c r="L8737" s="12"/>
      <c r="M8737" s="13"/>
    </row>
    <row r="8738" spans="12:13" x14ac:dyDescent="0.2">
      <c r="L8738" s="12"/>
      <c r="M8738" s="13"/>
    </row>
    <row r="8739" spans="12:13" x14ac:dyDescent="0.2">
      <c r="L8739" s="12"/>
      <c r="M8739" s="13"/>
    </row>
    <row r="8740" spans="12:13" x14ac:dyDescent="0.2">
      <c r="L8740" s="12"/>
      <c r="M8740" s="13"/>
    </row>
    <row r="8741" spans="12:13" x14ac:dyDescent="0.2">
      <c r="L8741" s="12"/>
      <c r="M8741" s="13"/>
    </row>
    <row r="8742" spans="12:13" x14ac:dyDescent="0.2">
      <c r="L8742" s="12"/>
      <c r="M8742" s="13"/>
    </row>
    <row r="8743" spans="12:13" x14ac:dyDescent="0.2">
      <c r="L8743" s="12"/>
      <c r="M8743" s="13"/>
    </row>
    <row r="8744" spans="12:13" x14ac:dyDescent="0.2">
      <c r="L8744" s="12"/>
      <c r="M8744" s="13"/>
    </row>
    <row r="8745" spans="12:13" x14ac:dyDescent="0.2">
      <c r="L8745" s="12"/>
      <c r="M8745" s="13"/>
    </row>
    <row r="8746" spans="12:13" x14ac:dyDescent="0.2">
      <c r="L8746" s="12"/>
      <c r="M8746" s="13"/>
    </row>
    <row r="8747" spans="12:13" x14ac:dyDescent="0.2">
      <c r="L8747" s="12"/>
      <c r="M8747" s="13"/>
    </row>
    <row r="8748" spans="12:13" x14ac:dyDescent="0.2">
      <c r="L8748" s="12"/>
      <c r="M8748" s="13"/>
    </row>
    <row r="8749" spans="12:13" x14ac:dyDescent="0.2">
      <c r="L8749" s="12"/>
      <c r="M8749" s="13"/>
    </row>
    <row r="8750" spans="12:13" x14ac:dyDescent="0.2">
      <c r="L8750" s="12"/>
      <c r="M8750" s="13"/>
    </row>
    <row r="8751" spans="12:13" x14ac:dyDescent="0.2">
      <c r="L8751" s="12"/>
      <c r="M8751" s="13"/>
    </row>
    <row r="8752" spans="12:13" x14ac:dyDescent="0.2">
      <c r="L8752" s="12"/>
      <c r="M8752" s="13"/>
    </row>
    <row r="8753" spans="12:13" x14ac:dyDescent="0.2">
      <c r="L8753" s="12"/>
      <c r="M8753" s="13"/>
    </row>
    <row r="8754" spans="12:13" x14ac:dyDescent="0.2">
      <c r="L8754" s="12"/>
      <c r="M8754" s="13"/>
    </row>
    <row r="8755" spans="12:13" x14ac:dyDescent="0.2">
      <c r="L8755" s="12"/>
      <c r="M8755" s="13"/>
    </row>
    <row r="8756" spans="12:13" x14ac:dyDescent="0.2">
      <c r="L8756" s="12"/>
      <c r="M8756" s="13"/>
    </row>
    <row r="8757" spans="12:13" x14ac:dyDescent="0.2">
      <c r="L8757" s="12"/>
      <c r="M8757" s="13"/>
    </row>
    <row r="8758" spans="12:13" x14ac:dyDescent="0.2">
      <c r="L8758" s="12"/>
      <c r="M8758" s="13"/>
    </row>
    <row r="8759" spans="12:13" x14ac:dyDescent="0.2">
      <c r="L8759" s="12"/>
      <c r="M8759" s="13"/>
    </row>
    <row r="8760" spans="12:13" x14ac:dyDescent="0.2">
      <c r="L8760" s="12"/>
      <c r="M8760" s="13"/>
    </row>
    <row r="8761" spans="12:13" x14ac:dyDescent="0.2">
      <c r="L8761" s="12"/>
      <c r="M8761" s="13"/>
    </row>
    <row r="8762" spans="12:13" x14ac:dyDescent="0.2">
      <c r="L8762" s="12"/>
      <c r="M8762" s="13"/>
    </row>
    <row r="8763" spans="12:13" x14ac:dyDescent="0.2">
      <c r="L8763" s="12"/>
      <c r="M8763" s="13"/>
    </row>
    <row r="8764" spans="12:13" x14ac:dyDescent="0.2">
      <c r="L8764" s="12"/>
      <c r="M8764" s="13"/>
    </row>
    <row r="8765" spans="12:13" x14ac:dyDescent="0.2">
      <c r="L8765" s="12"/>
      <c r="M8765" s="13"/>
    </row>
    <row r="8766" spans="12:13" x14ac:dyDescent="0.2">
      <c r="L8766" s="12"/>
      <c r="M8766" s="13"/>
    </row>
    <row r="8767" spans="12:13" x14ac:dyDescent="0.2">
      <c r="L8767" s="12"/>
      <c r="M8767" s="13"/>
    </row>
    <row r="8768" spans="12:13" x14ac:dyDescent="0.2">
      <c r="L8768" s="12"/>
      <c r="M8768" s="13"/>
    </row>
    <row r="8769" spans="12:13" x14ac:dyDescent="0.2">
      <c r="L8769" s="12"/>
      <c r="M8769" s="13"/>
    </row>
    <row r="8770" spans="12:13" x14ac:dyDescent="0.2">
      <c r="L8770" s="12"/>
      <c r="M8770" s="13"/>
    </row>
    <row r="8771" spans="12:13" x14ac:dyDescent="0.2">
      <c r="L8771" s="12"/>
      <c r="M8771" s="13"/>
    </row>
    <row r="8772" spans="12:13" x14ac:dyDescent="0.2">
      <c r="L8772" s="12"/>
      <c r="M8772" s="13"/>
    </row>
    <row r="8773" spans="12:13" x14ac:dyDescent="0.2">
      <c r="L8773" s="12"/>
      <c r="M8773" s="13"/>
    </row>
    <row r="8774" spans="12:13" x14ac:dyDescent="0.2">
      <c r="L8774" s="12"/>
      <c r="M8774" s="13"/>
    </row>
    <row r="8775" spans="12:13" x14ac:dyDescent="0.2">
      <c r="L8775" s="12"/>
      <c r="M8775" s="13"/>
    </row>
    <row r="8776" spans="12:13" x14ac:dyDescent="0.2">
      <c r="L8776" s="12"/>
      <c r="M8776" s="13"/>
    </row>
    <row r="8777" spans="12:13" x14ac:dyDescent="0.2">
      <c r="L8777" s="12"/>
      <c r="M8777" s="13"/>
    </row>
    <row r="8778" spans="12:13" x14ac:dyDescent="0.2">
      <c r="L8778" s="12"/>
      <c r="M8778" s="13"/>
    </row>
    <row r="8779" spans="12:13" x14ac:dyDescent="0.2">
      <c r="L8779" s="12"/>
      <c r="M8779" s="13"/>
    </row>
    <row r="8780" spans="12:13" x14ac:dyDescent="0.2">
      <c r="L8780" s="12"/>
      <c r="M8780" s="13"/>
    </row>
    <row r="8781" spans="12:13" x14ac:dyDescent="0.2">
      <c r="L8781" s="12"/>
      <c r="M8781" s="13"/>
    </row>
    <row r="8782" spans="12:13" x14ac:dyDescent="0.2">
      <c r="L8782" s="12"/>
      <c r="M8782" s="13"/>
    </row>
    <row r="8783" spans="12:13" x14ac:dyDescent="0.2">
      <c r="L8783" s="12"/>
      <c r="M8783" s="13"/>
    </row>
    <row r="8784" spans="12:13" x14ac:dyDescent="0.2">
      <c r="L8784" s="12"/>
      <c r="M8784" s="13"/>
    </row>
    <row r="8785" spans="12:13" x14ac:dyDescent="0.2">
      <c r="L8785" s="12"/>
      <c r="M8785" s="13"/>
    </row>
    <row r="8786" spans="12:13" x14ac:dyDescent="0.2">
      <c r="L8786" s="12"/>
      <c r="M8786" s="13"/>
    </row>
    <row r="8787" spans="12:13" x14ac:dyDescent="0.2">
      <c r="L8787" s="12"/>
      <c r="M8787" s="13"/>
    </row>
    <row r="8788" spans="12:13" x14ac:dyDescent="0.2">
      <c r="L8788" s="12"/>
      <c r="M8788" s="13"/>
    </row>
    <row r="8789" spans="12:13" x14ac:dyDescent="0.2">
      <c r="L8789" s="12"/>
      <c r="M8789" s="13"/>
    </row>
    <row r="8790" spans="12:13" x14ac:dyDescent="0.2">
      <c r="L8790" s="12"/>
      <c r="M8790" s="13"/>
    </row>
    <row r="8791" spans="12:13" x14ac:dyDescent="0.2">
      <c r="L8791" s="12"/>
      <c r="M8791" s="13"/>
    </row>
    <row r="8792" spans="12:13" x14ac:dyDescent="0.2">
      <c r="L8792" s="12"/>
      <c r="M8792" s="13"/>
    </row>
    <row r="8793" spans="12:13" x14ac:dyDescent="0.2">
      <c r="L8793" s="12"/>
      <c r="M8793" s="13"/>
    </row>
    <row r="8794" spans="12:13" x14ac:dyDescent="0.2">
      <c r="L8794" s="12"/>
      <c r="M8794" s="13"/>
    </row>
    <row r="8795" spans="12:13" x14ac:dyDescent="0.2">
      <c r="L8795" s="12"/>
      <c r="M8795" s="13"/>
    </row>
    <row r="8796" spans="12:13" x14ac:dyDescent="0.2">
      <c r="L8796" s="12"/>
      <c r="M8796" s="13"/>
    </row>
    <row r="8797" spans="12:13" x14ac:dyDescent="0.2">
      <c r="L8797" s="12"/>
      <c r="M8797" s="13"/>
    </row>
    <row r="8798" spans="12:13" x14ac:dyDescent="0.2">
      <c r="L8798" s="12"/>
      <c r="M8798" s="13"/>
    </row>
    <row r="8799" spans="12:13" x14ac:dyDescent="0.2">
      <c r="L8799" s="12"/>
      <c r="M8799" s="13"/>
    </row>
    <row r="8800" spans="12:13" x14ac:dyDescent="0.2">
      <c r="L8800" s="12"/>
      <c r="M8800" s="13"/>
    </row>
    <row r="8801" spans="12:13" x14ac:dyDescent="0.2">
      <c r="L8801" s="12"/>
      <c r="M8801" s="13"/>
    </row>
    <row r="8802" spans="12:13" x14ac:dyDescent="0.2">
      <c r="L8802" s="12"/>
      <c r="M8802" s="13"/>
    </row>
    <row r="8803" spans="12:13" x14ac:dyDescent="0.2">
      <c r="L8803" s="12"/>
      <c r="M8803" s="13"/>
    </row>
    <row r="8804" spans="12:13" x14ac:dyDescent="0.2">
      <c r="L8804" s="12"/>
      <c r="M8804" s="13"/>
    </row>
    <row r="8805" spans="12:13" x14ac:dyDescent="0.2">
      <c r="L8805" s="12"/>
      <c r="M8805" s="13"/>
    </row>
    <row r="8806" spans="12:13" x14ac:dyDescent="0.2">
      <c r="L8806" s="12"/>
      <c r="M8806" s="13"/>
    </row>
    <row r="8807" spans="12:13" x14ac:dyDescent="0.2">
      <c r="L8807" s="12"/>
      <c r="M8807" s="13"/>
    </row>
    <row r="8808" spans="12:13" x14ac:dyDescent="0.2">
      <c r="L8808" s="12"/>
      <c r="M8808" s="13"/>
    </row>
    <row r="8809" spans="12:13" x14ac:dyDescent="0.2">
      <c r="L8809" s="12"/>
      <c r="M8809" s="13"/>
    </row>
    <row r="8810" spans="12:13" x14ac:dyDescent="0.2">
      <c r="L8810" s="12"/>
      <c r="M8810" s="13"/>
    </row>
    <row r="8811" spans="12:13" x14ac:dyDescent="0.2">
      <c r="L8811" s="12"/>
      <c r="M8811" s="13"/>
    </row>
    <row r="8812" spans="12:13" x14ac:dyDescent="0.2">
      <c r="L8812" s="12"/>
      <c r="M8812" s="13"/>
    </row>
    <row r="8813" spans="12:13" x14ac:dyDescent="0.2">
      <c r="L8813" s="12"/>
      <c r="M8813" s="13"/>
    </row>
    <row r="8814" spans="12:13" x14ac:dyDescent="0.2">
      <c r="L8814" s="12"/>
      <c r="M8814" s="13"/>
    </row>
    <row r="8815" spans="12:13" x14ac:dyDescent="0.2">
      <c r="L8815" s="12"/>
      <c r="M8815" s="13"/>
    </row>
    <row r="8816" spans="12:13" x14ac:dyDescent="0.2">
      <c r="L8816" s="12"/>
      <c r="M8816" s="13"/>
    </row>
    <row r="8817" spans="12:13" x14ac:dyDescent="0.2">
      <c r="L8817" s="12"/>
      <c r="M8817" s="13"/>
    </row>
    <row r="8818" spans="12:13" x14ac:dyDescent="0.2">
      <c r="L8818" s="12"/>
      <c r="M8818" s="13"/>
    </row>
    <row r="8819" spans="12:13" x14ac:dyDescent="0.2">
      <c r="L8819" s="12"/>
      <c r="M8819" s="13"/>
    </row>
    <row r="8820" spans="12:13" x14ac:dyDescent="0.2">
      <c r="L8820" s="12"/>
      <c r="M8820" s="13"/>
    </row>
    <row r="8821" spans="12:13" x14ac:dyDescent="0.2">
      <c r="L8821" s="12"/>
      <c r="M8821" s="13"/>
    </row>
    <row r="8822" spans="12:13" x14ac:dyDescent="0.2">
      <c r="L8822" s="12"/>
      <c r="M8822" s="13"/>
    </row>
    <row r="8823" spans="12:13" x14ac:dyDescent="0.2">
      <c r="L8823" s="12"/>
      <c r="M8823" s="13"/>
    </row>
    <row r="8824" spans="12:13" x14ac:dyDescent="0.2">
      <c r="L8824" s="12"/>
      <c r="M8824" s="13"/>
    </row>
    <row r="8825" spans="12:13" x14ac:dyDescent="0.2">
      <c r="L8825" s="12"/>
      <c r="M8825" s="13"/>
    </row>
    <row r="8826" spans="12:13" x14ac:dyDescent="0.2">
      <c r="L8826" s="12"/>
      <c r="M8826" s="13"/>
    </row>
    <row r="8827" spans="12:13" x14ac:dyDescent="0.2">
      <c r="L8827" s="12"/>
      <c r="M8827" s="13"/>
    </row>
    <row r="8828" spans="12:13" x14ac:dyDescent="0.2">
      <c r="L8828" s="12"/>
      <c r="M8828" s="13"/>
    </row>
    <row r="8829" spans="12:13" x14ac:dyDescent="0.2">
      <c r="L8829" s="12"/>
      <c r="M8829" s="13"/>
    </row>
    <row r="8830" spans="12:13" x14ac:dyDescent="0.2">
      <c r="L8830" s="12"/>
      <c r="M8830" s="13"/>
    </row>
    <row r="8831" spans="12:13" x14ac:dyDescent="0.2">
      <c r="L8831" s="12"/>
      <c r="M8831" s="13"/>
    </row>
    <row r="8832" spans="12:13" x14ac:dyDescent="0.2">
      <c r="L8832" s="12"/>
      <c r="M8832" s="13"/>
    </row>
    <row r="8833" spans="12:13" x14ac:dyDescent="0.2">
      <c r="L8833" s="12"/>
      <c r="M8833" s="13"/>
    </row>
    <row r="8834" spans="12:13" x14ac:dyDescent="0.2">
      <c r="L8834" s="12"/>
      <c r="M8834" s="13"/>
    </row>
    <row r="8835" spans="12:13" x14ac:dyDescent="0.2">
      <c r="L8835" s="12"/>
      <c r="M8835" s="13"/>
    </row>
    <row r="8836" spans="12:13" x14ac:dyDescent="0.2">
      <c r="L8836" s="12"/>
      <c r="M8836" s="13"/>
    </row>
    <row r="8837" spans="12:13" x14ac:dyDescent="0.2">
      <c r="L8837" s="12"/>
      <c r="M8837" s="13"/>
    </row>
    <row r="8838" spans="12:13" x14ac:dyDescent="0.2">
      <c r="L8838" s="12"/>
      <c r="M8838" s="13"/>
    </row>
    <row r="8839" spans="12:13" x14ac:dyDescent="0.2">
      <c r="L8839" s="12"/>
      <c r="M8839" s="13"/>
    </row>
    <row r="8840" spans="12:13" x14ac:dyDescent="0.2">
      <c r="L8840" s="12"/>
      <c r="M8840" s="13"/>
    </row>
    <row r="8841" spans="12:13" x14ac:dyDescent="0.2">
      <c r="L8841" s="12"/>
      <c r="M8841" s="13"/>
    </row>
    <row r="8842" spans="12:13" x14ac:dyDescent="0.2">
      <c r="L8842" s="12"/>
      <c r="M8842" s="13"/>
    </row>
    <row r="8843" spans="12:13" x14ac:dyDescent="0.2">
      <c r="L8843" s="12"/>
      <c r="M8843" s="13"/>
    </row>
    <row r="8844" spans="12:13" x14ac:dyDescent="0.2">
      <c r="L8844" s="12"/>
      <c r="M8844" s="13"/>
    </row>
    <row r="8845" spans="12:13" x14ac:dyDescent="0.2">
      <c r="L8845" s="12"/>
      <c r="M8845" s="13"/>
    </row>
    <row r="8846" spans="12:13" x14ac:dyDescent="0.2">
      <c r="L8846" s="12"/>
      <c r="M8846" s="13"/>
    </row>
    <row r="8847" spans="12:13" x14ac:dyDescent="0.2">
      <c r="L8847" s="12"/>
      <c r="M8847" s="13"/>
    </row>
    <row r="8848" spans="12:13" x14ac:dyDescent="0.2">
      <c r="L8848" s="12"/>
      <c r="M8848" s="13"/>
    </row>
    <row r="8849" spans="12:13" x14ac:dyDescent="0.2">
      <c r="L8849" s="12"/>
      <c r="M8849" s="13"/>
    </row>
    <row r="8850" spans="12:13" x14ac:dyDescent="0.2">
      <c r="L8850" s="12"/>
      <c r="M8850" s="13"/>
    </row>
    <row r="8851" spans="12:13" x14ac:dyDescent="0.2">
      <c r="L8851" s="12"/>
      <c r="M8851" s="13"/>
    </row>
    <row r="8852" spans="12:13" x14ac:dyDescent="0.2">
      <c r="L8852" s="12"/>
      <c r="M8852" s="13"/>
    </row>
    <row r="8853" spans="12:13" x14ac:dyDescent="0.2">
      <c r="L8853" s="12"/>
      <c r="M8853" s="13"/>
    </row>
    <row r="8854" spans="12:13" x14ac:dyDescent="0.2">
      <c r="L8854" s="12"/>
      <c r="M8854" s="13"/>
    </row>
    <row r="8855" spans="12:13" x14ac:dyDescent="0.2">
      <c r="L8855" s="12"/>
      <c r="M8855" s="13"/>
    </row>
    <row r="8856" spans="12:13" x14ac:dyDescent="0.2">
      <c r="L8856" s="12"/>
      <c r="M8856" s="13"/>
    </row>
    <row r="8857" spans="12:13" x14ac:dyDescent="0.2">
      <c r="L8857" s="12"/>
      <c r="M8857" s="13"/>
    </row>
    <row r="8858" spans="12:13" x14ac:dyDescent="0.2">
      <c r="L8858" s="12"/>
      <c r="M8858" s="13"/>
    </row>
    <row r="8859" spans="12:13" x14ac:dyDescent="0.2">
      <c r="L8859" s="12"/>
      <c r="M8859" s="13"/>
    </row>
    <row r="8860" spans="12:13" x14ac:dyDescent="0.2">
      <c r="L8860" s="12"/>
      <c r="M8860" s="13"/>
    </row>
    <row r="8861" spans="12:13" x14ac:dyDescent="0.2">
      <c r="L8861" s="12"/>
      <c r="M8861" s="13"/>
    </row>
    <row r="8862" spans="12:13" x14ac:dyDescent="0.2">
      <c r="L8862" s="12"/>
      <c r="M8862" s="13"/>
    </row>
    <row r="8863" spans="12:13" x14ac:dyDescent="0.2">
      <c r="L8863" s="12"/>
      <c r="M8863" s="13"/>
    </row>
    <row r="8864" spans="12:13" x14ac:dyDescent="0.2">
      <c r="L8864" s="12"/>
      <c r="M8864" s="13"/>
    </row>
    <row r="8865" spans="12:13" x14ac:dyDescent="0.2">
      <c r="L8865" s="12"/>
      <c r="M8865" s="13"/>
    </row>
    <row r="8866" spans="12:13" x14ac:dyDescent="0.2">
      <c r="L8866" s="12"/>
      <c r="M8866" s="13"/>
    </row>
    <row r="8867" spans="12:13" x14ac:dyDescent="0.2">
      <c r="L8867" s="12"/>
      <c r="M8867" s="13"/>
    </row>
    <row r="8868" spans="12:13" x14ac:dyDescent="0.2">
      <c r="L8868" s="12"/>
      <c r="M8868" s="13"/>
    </row>
    <row r="8869" spans="12:13" x14ac:dyDescent="0.2">
      <c r="L8869" s="12"/>
      <c r="M8869" s="13"/>
    </row>
    <row r="8870" spans="12:13" x14ac:dyDescent="0.2">
      <c r="L8870" s="12"/>
      <c r="M8870" s="13"/>
    </row>
    <row r="8871" spans="12:13" x14ac:dyDescent="0.2">
      <c r="L8871" s="12"/>
      <c r="M8871" s="13"/>
    </row>
    <row r="8872" spans="12:13" x14ac:dyDescent="0.2">
      <c r="L8872" s="12"/>
      <c r="M8872" s="13"/>
    </row>
    <row r="8873" spans="12:13" x14ac:dyDescent="0.2">
      <c r="L8873" s="12"/>
      <c r="M8873" s="13"/>
    </row>
    <row r="8874" spans="12:13" x14ac:dyDescent="0.2">
      <c r="L8874" s="12"/>
      <c r="M8874" s="13"/>
    </row>
    <row r="8875" spans="12:13" x14ac:dyDescent="0.2">
      <c r="L8875" s="12"/>
      <c r="M8875" s="13"/>
    </row>
    <row r="8876" spans="12:13" x14ac:dyDescent="0.2">
      <c r="L8876" s="12"/>
      <c r="M8876" s="13"/>
    </row>
    <row r="8877" spans="12:13" x14ac:dyDescent="0.2">
      <c r="L8877" s="12"/>
      <c r="M8877" s="13"/>
    </row>
    <row r="8878" spans="12:13" x14ac:dyDescent="0.2">
      <c r="L8878" s="12"/>
      <c r="M8878" s="13"/>
    </row>
    <row r="8879" spans="12:13" x14ac:dyDescent="0.2">
      <c r="L8879" s="12"/>
      <c r="M8879" s="13"/>
    </row>
    <row r="8880" spans="12:13" x14ac:dyDescent="0.2">
      <c r="L8880" s="12"/>
      <c r="M8880" s="13"/>
    </row>
    <row r="8881" spans="12:13" x14ac:dyDescent="0.2">
      <c r="L8881" s="12"/>
      <c r="M8881" s="13"/>
    </row>
    <row r="8882" spans="12:13" x14ac:dyDescent="0.2">
      <c r="L8882" s="12"/>
      <c r="M8882" s="13"/>
    </row>
    <row r="8883" spans="12:13" x14ac:dyDescent="0.2">
      <c r="L8883" s="12"/>
      <c r="M8883" s="13"/>
    </row>
    <row r="8884" spans="12:13" x14ac:dyDescent="0.2">
      <c r="L8884" s="12"/>
      <c r="M8884" s="13"/>
    </row>
    <row r="8885" spans="12:13" x14ac:dyDescent="0.2">
      <c r="L8885" s="12"/>
      <c r="M8885" s="13"/>
    </row>
    <row r="8886" spans="12:13" x14ac:dyDescent="0.2">
      <c r="L8886" s="12"/>
      <c r="M8886" s="13"/>
    </row>
    <row r="8887" spans="12:13" x14ac:dyDescent="0.2">
      <c r="L8887" s="12"/>
      <c r="M8887" s="13"/>
    </row>
    <row r="8888" spans="12:13" x14ac:dyDescent="0.2">
      <c r="L8888" s="12"/>
      <c r="M8888" s="13"/>
    </row>
    <row r="8889" spans="12:13" x14ac:dyDescent="0.2">
      <c r="L8889" s="12"/>
      <c r="M8889" s="13"/>
    </row>
    <row r="8890" spans="12:13" x14ac:dyDescent="0.2">
      <c r="L8890" s="12"/>
      <c r="M8890" s="13"/>
    </row>
    <row r="8891" spans="12:13" x14ac:dyDescent="0.2">
      <c r="L8891" s="12"/>
      <c r="M8891" s="13"/>
    </row>
    <row r="8892" spans="12:13" x14ac:dyDescent="0.2">
      <c r="L8892" s="12"/>
      <c r="M8892" s="13"/>
    </row>
    <row r="8893" spans="12:13" x14ac:dyDescent="0.2">
      <c r="L8893" s="12"/>
      <c r="M8893" s="13"/>
    </row>
    <row r="8894" spans="12:13" x14ac:dyDescent="0.2">
      <c r="L8894" s="12"/>
      <c r="M8894" s="13"/>
    </row>
    <row r="8895" spans="12:13" x14ac:dyDescent="0.2">
      <c r="L8895" s="12"/>
      <c r="M8895" s="13"/>
    </row>
    <row r="8896" spans="12:13" x14ac:dyDescent="0.2">
      <c r="L8896" s="12"/>
      <c r="M8896" s="13"/>
    </row>
    <row r="8897" spans="12:13" x14ac:dyDescent="0.2">
      <c r="L8897" s="12"/>
      <c r="M8897" s="13"/>
    </row>
    <row r="8898" spans="12:13" x14ac:dyDescent="0.2">
      <c r="L8898" s="12"/>
      <c r="M8898" s="13"/>
    </row>
    <row r="8899" spans="12:13" x14ac:dyDescent="0.2">
      <c r="L8899" s="12"/>
      <c r="M8899" s="13"/>
    </row>
    <row r="8900" spans="12:13" x14ac:dyDescent="0.2">
      <c r="L8900" s="12"/>
      <c r="M8900" s="13"/>
    </row>
    <row r="8901" spans="12:13" x14ac:dyDescent="0.2">
      <c r="L8901" s="12"/>
      <c r="M8901" s="13"/>
    </row>
    <row r="8902" spans="12:13" x14ac:dyDescent="0.2">
      <c r="L8902" s="12"/>
      <c r="M8902" s="13"/>
    </row>
    <row r="8903" spans="12:13" x14ac:dyDescent="0.2">
      <c r="L8903" s="12"/>
      <c r="M8903" s="13"/>
    </row>
    <row r="8904" spans="12:13" x14ac:dyDescent="0.2">
      <c r="L8904" s="12"/>
      <c r="M8904" s="13"/>
    </row>
    <row r="8905" spans="12:13" x14ac:dyDescent="0.2">
      <c r="L8905" s="12"/>
      <c r="M8905" s="13"/>
    </row>
    <row r="8906" spans="12:13" x14ac:dyDescent="0.2">
      <c r="L8906" s="12"/>
      <c r="M8906" s="13"/>
    </row>
    <row r="8907" spans="12:13" x14ac:dyDescent="0.2">
      <c r="L8907" s="12"/>
      <c r="M8907" s="13"/>
    </row>
    <row r="8908" spans="12:13" x14ac:dyDescent="0.2">
      <c r="L8908" s="12"/>
      <c r="M8908" s="13"/>
    </row>
    <row r="8909" spans="12:13" x14ac:dyDescent="0.2">
      <c r="L8909" s="12"/>
      <c r="M8909" s="13"/>
    </row>
    <row r="8910" spans="12:13" x14ac:dyDescent="0.2">
      <c r="L8910" s="12"/>
      <c r="M8910" s="13"/>
    </row>
    <row r="8911" spans="12:13" x14ac:dyDescent="0.2">
      <c r="L8911" s="12"/>
      <c r="M8911" s="13"/>
    </row>
    <row r="8912" spans="12:13" x14ac:dyDescent="0.2">
      <c r="L8912" s="12"/>
      <c r="M8912" s="13"/>
    </row>
    <row r="8913" spans="12:13" x14ac:dyDescent="0.2">
      <c r="L8913" s="12"/>
      <c r="M8913" s="13"/>
    </row>
    <row r="8914" spans="12:13" x14ac:dyDescent="0.2">
      <c r="L8914" s="12"/>
      <c r="M8914" s="13"/>
    </row>
    <row r="8915" spans="12:13" x14ac:dyDescent="0.2">
      <c r="L8915" s="12"/>
      <c r="M8915" s="13"/>
    </row>
    <row r="8916" spans="12:13" x14ac:dyDescent="0.2">
      <c r="L8916" s="12"/>
      <c r="M8916" s="13"/>
    </row>
    <row r="8917" spans="12:13" x14ac:dyDescent="0.2">
      <c r="L8917" s="12"/>
      <c r="M8917" s="13"/>
    </row>
    <row r="8918" spans="12:13" x14ac:dyDescent="0.2">
      <c r="L8918" s="12"/>
      <c r="M8918" s="13"/>
    </row>
    <row r="8919" spans="12:13" x14ac:dyDescent="0.2">
      <c r="L8919" s="12"/>
      <c r="M8919" s="13"/>
    </row>
    <row r="8920" spans="12:13" x14ac:dyDescent="0.2">
      <c r="L8920" s="12"/>
      <c r="M8920" s="13"/>
    </row>
    <row r="8921" spans="12:13" x14ac:dyDescent="0.2">
      <c r="L8921" s="12"/>
      <c r="M8921" s="13"/>
    </row>
    <row r="8922" spans="12:13" x14ac:dyDescent="0.2">
      <c r="L8922" s="12"/>
      <c r="M8922" s="13"/>
    </row>
    <row r="8923" spans="12:13" x14ac:dyDescent="0.2">
      <c r="L8923" s="12"/>
      <c r="M8923" s="13"/>
    </row>
    <row r="8924" spans="12:13" x14ac:dyDescent="0.2">
      <c r="L8924" s="12"/>
      <c r="M8924" s="13"/>
    </row>
    <row r="8925" spans="12:13" x14ac:dyDescent="0.2">
      <c r="L8925" s="12"/>
      <c r="M8925" s="13"/>
    </row>
    <row r="8926" spans="12:13" x14ac:dyDescent="0.2">
      <c r="L8926" s="12"/>
      <c r="M8926" s="13"/>
    </row>
    <row r="8927" spans="12:13" x14ac:dyDescent="0.2">
      <c r="L8927" s="12"/>
      <c r="M8927" s="13"/>
    </row>
    <row r="8928" spans="12:13" x14ac:dyDescent="0.2">
      <c r="L8928" s="12"/>
      <c r="M8928" s="13"/>
    </row>
    <row r="8929" spans="12:13" x14ac:dyDescent="0.2">
      <c r="L8929" s="12"/>
      <c r="M8929" s="13"/>
    </row>
    <row r="8930" spans="12:13" x14ac:dyDescent="0.2">
      <c r="L8930" s="12"/>
      <c r="M8930" s="13"/>
    </row>
    <row r="8931" spans="12:13" x14ac:dyDescent="0.2">
      <c r="L8931" s="12"/>
      <c r="M8931" s="13"/>
    </row>
    <row r="8932" spans="12:13" x14ac:dyDescent="0.2">
      <c r="L8932" s="12"/>
      <c r="M8932" s="13"/>
    </row>
    <row r="8933" spans="12:13" x14ac:dyDescent="0.2">
      <c r="L8933" s="12"/>
      <c r="M8933" s="13"/>
    </row>
    <row r="8934" spans="12:13" x14ac:dyDescent="0.2">
      <c r="L8934" s="12"/>
      <c r="M8934" s="13"/>
    </row>
    <row r="8935" spans="12:13" x14ac:dyDescent="0.2">
      <c r="L8935" s="12"/>
      <c r="M8935" s="13"/>
    </row>
    <row r="8936" spans="12:13" x14ac:dyDescent="0.2">
      <c r="L8936" s="12"/>
      <c r="M8936" s="13"/>
    </row>
    <row r="8937" spans="12:13" x14ac:dyDescent="0.2">
      <c r="L8937" s="12"/>
      <c r="M8937" s="13"/>
    </row>
    <row r="8938" spans="12:13" x14ac:dyDescent="0.2">
      <c r="L8938" s="12"/>
      <c r="M8938" s="13"/>
    </row>
    <row r="8939" spans="12:13" x14ac:dyDescent="0.2">
      <c r="L8939" s="12"/>
      <c r="M8939" s="13"/>
    </row>
    <row r="8940" spans="12:13" x14ac:dyDescent="0.2">
      <c r="L8940" s="12"/>
      <c r="M8940" s="13"/>
    </row>
    <row r="8941" spans="12:13" x14ac:dyDescent="0.2">
      <c r="L8941" s="12"/>
      <c r="M8941" s="13"/>
    </row>
    <row r="8942" spans="12:13" x14ac:dyDescent="0.2">
      <c r="L8942" s="12"/>
      <c r="M8942" s="13"/>
    </row>
    <row r="8943" spans="12:13" x14ac:dyDescent="0.2">
      <c r="L8943" s="12"/>
      <c r="M8943" s="13"/>
    </row>
    <row r="8944" spans="12:13" x14ac:dyDescent="0.2">
      <c r="L8944" s="12"/>
      <c r="M8944" s="13"/>
    </row>
    <row r="8945" spans="12:13" x14ac:dyDescent="0.2">
      <c r="L8945" s="12"/>
      <c r="M8945" s="13"/>
    </row>
    <row r="8946" spans="12:13" x14ac:dyDescent="0.2">
      <c r="L8946" s="12"/>
      <c r="M8946" s="13"/>
    </row>
    <row r="8947" spans="12:13" x14ac:dyDescent="0.2">
      <c r="L8947" s="12"/>
      <c r="M8947" s="13"/>
    </row>
    <row r="8948" spans="12:13" x14ac:dyDescent="0.2">
      <c r="L8948" s="12"/>
      <c r="M8948" s="13"/>
    </row>
    <row r="8949" spans="12:13" x14ac:dyDescent="0.2">
      <c r="L8949" s="12"/>
      <c r="M8949" s="13"/>
    </row>
    <row r="8950" spans="12:13" x14ac:dyDescent="0.2">
      <c r="L8950" s="12"/>
      <c r="M8950" s="13"/>
    </row>
    <row r="8951" spans="12:13" x14ac:dyDescent="0.2">
      <c r="L8951" s="12"/>
      <c r="M8951" s="13"/>
    </row>
    <row r="8952" spans="12:13" x14ac:dyDescent="0.2">
      <c r="L8952" s="12"/>
      <c r="M8952" s="13"/>
    </row>
    <row r="8953" spans="12:13" x14ac:dyDescent="0.2">
      <c r="L8953" s="12"/>
      <c r="M8953" s="13"/>
    </row>
    <row r="8954" spans="12:13" x14ac:dyDescent="0.2">
      <c r="L8954" s="12"/>
      <c r="M8954" s="13"/>
    </row>
    <row r="8955" spans="12:13" x14ac:dyDescent="0.2">
      <c r="L8955" s="12"/>
      <c r="M8955" s="13"/>
    </row>
    <row r="8956" spans="12:13" x14ac:dyDescent="0.2">
      <c r="L8956" s="12"/>
      <c r="M8956" s="13"/>
    </row>
    <row r="8957" spans="12:13" x14ac:dyDescent="0.2">
      <c r="L8957" s="12"/>
      <c r="M8957" s="13"/>
    </row>
    <row r="8958" spans="12:13" x14ac:dyDescent="0.2">
      <c r="L8958" s="12"/>
      <c r="M8958" s="13"/>
    </row>
    <row r="8959" spans="12:13" x14ac:dyDescent="0.2">
      <c r="L8959" s="12"/>
      <c r="M8959" s="13"/>
    </row>
    <row r="8960" spans="12:13" x14ac:dyDescent="0.2">
      <c r="L8960" s="12"/>
      <c r="M8960" s="13"/>
    </row>
    <row r="8961" spans="12:13" x14ac:dyDescent="0.2">
      <c r="L8961" s="12"/>
      <c r="M8961" s="13"/>
    </row>
    <row r="8962" spans="12:13" x14ac:dyDescent="0.2">
      <c r="L8962" s="17"/>
      <c r="M8962" s="18"/>
    </row>
    <row r="8963" spans="12:13" x14ac:dyDescent="0.2">
      <c r="L8963" s="12"/>
      <c r="M8963" s="13"/>
    </row>
    <row r="8964" spans="12:13" x14ac:dyDescent="0.2">
      <c r="L8964" s="12"/>
      <c r="M8964" s="13"/>
    </row>
    <row r="8965" spans="12:13" x14ac:dyDescent="0.2">
      <c r="L8965" s="12"/>
      <c r="M8965" s="13"/>
    </row>
    <row r="8966" spans="12:13" x14ac:dyDescent="0.2">
      <c r="L8966" s="12"/>
      <c r="M8966" s="13"/>
    </row>
    <row r="8967" spans="12:13" x14ac:dyDescent="0.2">
      <c r="L8967" s="12"/>
      <c r="M8967" s="13"/>
    </row>
    <row r="8968" spans="12:13" x14ac:dyDescent="0.2">
      <c r="L8968" s="12"/>
      <c r="M8968" s="13"/>
    </row>
    <row r="8969" spans="12:13" x14ac:dyDescent="0.2">
      <c r="L8969" s="12"/>
      <c r="M8969" s="13"/>
    </row>
    <row r="8970" spans="12:13" x14ac:dyDescent="0.2">
      <c r="L8970" s="12"/>
      <c r="M8970" s="13"/>
    </row>
    <row r="8971" spans="12:13" x14ac:dyDescent="0.2">
      <c r="L8971" s="12"/>
      <c r="M8971" s="13"/>
    </row>
    <row r="8972" spans="12:13" x14ac:dyDescent="0.2">
      <c r="L8972" s="12"/>
      <c r="M8972" s="13"/>
    </row>
    <row r="8973" spans="12:13" x14ac:dyDescent="0.2">
      <c r="L8973" s="12"/>
      <c r="M8973" s="13"/>
    </row>
    <row r="8974" spans="12:13" x14ac:dyDescent="0.2">
      <c r="L8974" s="12"/>
      <c r="M8974" s="13"/>
    </row>
    <row r="8975" spans="12:13" x14ac:dyDescent="0.2">
      <c r="L8975" s="12"/>
      <c r="M8975" s="13"/>
    </row>
    <row r="8976" spans="12:13" x14ac:dyDescent="0.2">
      <c r="L8976" s="12"/>
      <c r="M8976" s="13"/>
    </row>
    <row r="8977" spans="12:13" x14ac:dyDescent="0.2">
      <c r="L8977" s="12"/>
      <c r="M8977" s="13"/>
    </row>
    <row r="8978" spans="12:13" x14ac:dyDescent="0.2">
      <c r="L8978" s="12"/>
      <c r="M8978" s="13"/>
    </row>
    <row r="8979" spans="12:13" x14ac:dyDescent="0.2">
      <c r="L8979" s="12"/>
      <c r="M8979" s="13"/>
    </row>
    <row r="8980" spans="12:13" x14ac:dyDescent="0.2">
      <c r="L8980" s="12"/>
      <c r="M8980" s="13"/>
    </row>
    <row r="8981" spans="12:13" x14ac:dyDescent="0.2">
      <c r="L8981" s="12"/>
      <c r="M8981" s="13"/>
    </row>
    <row r="8982" spans="12:13" x14ac:dyDescent="0.2">
      <c r="L8982" s="12"/>
      <c r="M8982" s="13"/>
    </row>
    <row r="8983" spans="12:13" x14ac:dyDescent="0.2">
      <c r="L8983" s="12"/>
      <c r="M8983" s="13"/>
    </row>
    <row r="8984" spans="12:13" x14ac:dyDescent="0.2">
      <c r="L8984" s="12"/>
      <c r="M8984" s="13"/>
    </row>
    <row r="8985" spans="12:13" x14ac:dyDescent="0.2">
      <c r="L8985" s="12"/>
      <c r="M8985" s="13"/>
    </row>
    <row r="8986" spans="12:13" x14ac:dyDescent="0.2">
      <c r="L8986" s="12"/>
      <c r="M8986" s="13"/>
    </row>
    <row r="8987" spans="12:13" x14ac:dyDescent="0.2">
      <c r="L8987" s="12"/>
      <c r="M8987" s="13"/>
    </row>
    <row r="8988" spans="12:13" x14ac:dyDescent="0.2">
      <c r="L8988" s="12"/>
      <c r="M8988" s="13"/>
    </row>
    <row r="8989" spans="12:13" x14ac:dyDescent="0.2">
      <c r="L8989" s="12"/>
      <c r="M8989" s="13"/>
    </row>
    <row r="8990" spans="12:13" x14ac:dyDescent="0.2">
      <c r="L8990" s="12"/>
      <c r="M8990" s="13"/>
    </row>
    <row r="8991" spans="12:13" x14ac:dyDescent="0.2">
      <c r="L8991" s="12"/>
      <c r="M8991" s="13"/>
    </row>
    <row r="8992" spans="12:13" x14ac:dyDescent="0.2">
      <c r="L8992" s="12"/>
      <c r="M8992" s="13"/>
    </row>
    <row r="8993" spans="12:13" x14ac:dyDescent="0.2">
      <c r="L8993" s="12"/>
      <c r="M8993" s="13"/>
    </row>
    <row r="8994" spans="12:13" x14ac:dyDescent="0.2">
      <c r="L8994" s="12"/>
      <c r="M8994" s="13"/>
    </row>
    <row r="8995" spans="12:13" x14ac:dyDescent="0.2">
      <c r="L8995" s="12"/>
      <c r="M8995" s="13"/>
    </row>
    <row r="8996" spans="12:13" x14ac:dyDescent="0.2">
      <c r="L8996" s="12"/>
      <c r="M8996" s="13"/>
    </row>
    <row r="8997" spans="12:13" x14ac:dyDescent="0.2">
      <c r="L8997" s="12"/>
      <c r="M8997" s="13"/>
    </row>
    <row r="8998" spans="12:13" x14ac:dyDescent="0.2">
      <c r="L8998" s="12"/>
      <c r="M8998" s="13"/>
    </row>
    <row r="8999" spans="12:13" x14ac:dyDescent="0.2">
      <c r="L8999" s="12"/>
      <c r="M8999" s="13"/>
    </row>
    <row r="9000" spans="12:13" x14ac:dyDescent="0.2">
      <c r="L9000" s="12"/>
      <c r="M9000" s="13"/>
    </row>
    <row r="9001" spans="12:13" x14ac:dyDescent="0.2">
      <c r="L9001" s="12"/>
      <c r="M9001" s="13"/>
    </row>
    <row r="9002" spans="12:13" x14ac:dyDescent="0.2">
      <c r="L9002" s="12"/>
      <c r="M9002" s="13"/>
    </row>
    <row r="9003" spans="12:13" x14ac:dyDescent="0.2">
      <c r="L9003" s="12"/>
      <c r="M9003" s="13"/>
    </row>
    <row r="9004" spans="12:13" x14ac:dyDescent="0.2">
      <c r="L9004" s="12"/>
      <c r="M9004" s="13"/>
    </row>
    <row r="9005" spans="12:13" x14ac:dyDescent="0.2">
      <c r="L9005" s="12"/>
      <c r="M9005" s="13"/>
    </row>
    <row r="9006" spans="12:13" x14ac:dyDescent="0.2">
      <c r="L9006" s="12"/>
      <c r="M9006" s="13"/>
    </row>
    <row r="9007" spans="12:13" x14ac:dyDescent="0.2">
      <c r="L9007" s="12"/>
      <c r="M9007" s="13"/>
    </row>
    <row r="9008" spans="12:13" x14ac:dyDescent="0.2">
      <c r="L9008" s="12"/>
      <c r="M9008" s="13"/>
    </row>
    <row r="9009" spans="12:13" x14ac:dyDescent="0.2">
      <c r="L9009" s="12"/>
      <c r="M9009" s="13"/>
    </row>
    <row r="9010" spans="12:13" x14ac:dyDescent="0.2">
      <c r="L9010" s="12"/>
      <c r="M9010" s="13"/>
    </row>
    <row r="9011" spans="12:13" x14ac:dyDescent="0.2">
      <c r="L9011" s="12"/>
      <c r="M9011" s="13"/>
    </row>
    <row r="9012" spans="12:13" x14ac:dyDescent="0.2">
      <c r="L9012" s="12"/>
      <c r="M9012" s="13"/>
    </row>
    <row r="9013" spans="12:13" x14ac:dyDescent="0.2">
      <c r="L9013" s="12"/>
      <c r="M9013" s="13"/>
    </row>
    <row r="9014" spans="12:13" x14ac:dyDescent="0.2">
      <c r="L9014" s="12"/>
      <c r="M9014" s="13"/>
    </row>
    <row r="9015" spans="12:13" x14ac:dyDescent="0.2">
      <c r="L9015" s="12"/>
      <c r="M9015" s="13"/>
    </row>
    <row r="9016" spans="12:13" x14ac:dyDescent="0.2">
      <c r="L9016" s="12"/>
      <c r="M9016" s="13"/>
    </row>
    <row r="9017" spans="12:13" x14ac:dyDescent="0.2">
      <c r="L9017" s="12"/>
      <c r="M9017" s="13"/>
    </row>
    <row r="9018" spans="12:13" x14ac:dyDescent="0.2">
      <c r="L9018" s="12"/>
      <c r="M9018" s="13"/>
    </row>
    <row r="9019" spans="12:13" x14ac:dyDescent="0.2">
      <c r="L9019" s="12"/>
      <c r="M9019" s="13"/>
    </row>
    <row r="9020" spans="12:13" x14ac:dyDescent="0.2">
      <c r="L9020" s="12"/>
      <c r="M9020" s="13"/>
    </row>
    <row r="9021" spans="12:13" x14ac:dyDescent="0.2">
      <c r="L9021" s="12"/>
      <c r="M9021" s="13"/>
    </row>
    <row r="9022" spans="12:13" x14ac:dyDescent="0.2">
      <c r="L9022" s="12"/>
      <c r="M9022" s="13"/>
    </row>
    <row r="9023" spans="12:13" x14ac:dyDescent="0.2">
      <c r="L9023" s="12"/>
      <c r="M9023" s="13"/>
    </row>
    <row r="9024" spans="12:13" x14ac:dyDescent="0.2">
      <c r="L9024" s="12"/>
      <c r="M9024" s="13"/>
    </row>
    <row r="9025" spans="12:13" x14ac:dyDescent="0.2">
      <c r="L9025" s="12"/>
      <c r="M9025" s="13"/>
    </row>
    <row r="9026" spans="12:13" x14ac:dyDescent="0.2">
      <c r="L9026" s="12"/>
      <c r="M9026" s="13"/>
    </row>
    <row r="9027" spans="12:13" x14ac:dyDescent="0.2">
      <c r="L9027" s="12"/>
      <c r="M9027" s="13"/>
    </row>
    <row r="9028" spans="12:13" x14ac:dyDescent="0.2">
      <c r="L9028" s="12"/>
      <c r="M9028" s="13"/>
    </row>
    <row r="9029" spans="12:13" x14ac:dyDescent="0.2">
      <c r="L9029" s="12"/>
      <c r="M9029" s="13"/>
    </row>
    <row r="9030" spans="12:13" x14ac:dyDescent="0.2">
      <c r="L9030" s="12"/>
      <c r="M9030" s="13"/>
    </row>
    <row r="9031" spans="12:13" x14ac:dyDescent="0.2">
      <c r="L9031" s="12"/>
      <c r="M9031" s="13"/>
    </row>
    <row r="9032" spans="12:13" x14ac:dyDescent="0.2">
      <c r="L9032" s="12"/>
      <c r="M9032" s="13"/>
    </row>
    <row r="9033" spans="12:13" x14ac:dyDescent="0.2">
      <c r="L9033" s="12"/>
      <c r="M9033" s="13"/>
    </row>
    <row r="9034" spans="12:13" x14ac:dyDescent="0.2">
      <c r="L9034" s="12"/>
      <c r="M9034" s="13"/>
    </row>
    <row r="9035" spans="12:13" x14ac:dyDescent="0.2">
      <c r="L9035" s="12"/>
      <c r="M9035" s="13"/>
    </row>
    <row r="9036" spans="12:13" x14ac:dyDescent="0.2">
      <c r="L9036" s="12"/>
      <c r="M9036" s="13"/>
    </row>
    <row r="9037" spans="12:13" x14ac:dyDescent="0.2">
      <c r="L9037" s="12"/>
      <c r="M9037" s="13"/>
    </row>
    <row r="9038" spans="12:13" x14ac:dyDescent="0.2">
      <c r="L9038" s="12"/>
      <c r="M9038" s="13"/>
    </row>
    <row r="9039" spans="12:13" x14ac:dyDescent="0.2">
      <c r="L9039" s="12"/>
      <c r="M9039" s="13"/>
    </row>
    <row r="9040" spans="12:13" x14ac:dyDescent="0.2">
      <c r="L9040" s="12"/>
      <c r="M9040" s="13"/>
    </row>
    <row r="9041" spans="12:13" x14ac:dyDescent="0.2">
      <c r="L9041" s="12"/>
      <c r="M9041" s="13"/>
    </row>
    <row r="9042" spans="12:13" x14ac:dyDescent="0.2">
      <c r="L9042" s="12"/>
      <c r="M9042" s="13"/>
    </row>
    <row r="9043" spans="12:13" x14ac:dyDescent="0.2">
      <c r="L9043" s="12"/>
      <c r="M9043" s="13"/>
    </row>
    <row r="9044" spans="12:13" x14ac:dyDescent="0.2">
      <c r="L9044" s="12"/>
      <c r="M9044" s="13"/>
    </row>
    <row r="9045" spans="12:13" x14ac:dyDescent="0.2">
      <c r="L9045" s="12"/>
      <c r="M9045" s="13"/>
    </row>
    <row r="9046" spans="12:13" x14ac:dyDescent="0.2">
      <c r="L9046" s="12"/>
      <c r="M9046" s="13"/>
    </row>
    <row r="9047" spans="12:13" x14ac:dyDescent="0.2">
      <c r="L9047" s="12"/>
      <c r="M9047" s="13"/>
    </row>
    <row r="9048" spans="12:13" x14ac:dyDescent="0.2">
      <c r="L9048" s="12"/>
      <c r="M9048" s="13"/>
    </row>
    <row r="9049" spans="12:13" x14ac:dyDescent="0.2">
      <c r="L9049" s="12"/>
      <c r="M9049" s="13"/>
    </row>
    <row r="9050" spans="12:13" x14ac:dyDescent="0.2">
      <c r="L9050" s="12"/>
      <c r="M9050" s="13"/>
    </row>
    <row r="9051" spans="12:13" x14ac:dyDescent="0.2">
      <c r="L9051" s="12"/>
      <c r="M9051" s="13"/>
    </row>
    <row r="9052" spans="12:13" x14ac:dyDescent="0.2">
      <c r="L9052" s="12"/>
      <c r="M9052" s="13"/>
    </row>
    <row r="9053" spans="12:13" x14ac:dyDescent="0.2">
      <c r="L9053" s="12"/>
      <c r="M9053" s="13"/>
    </row>
    <row r="9054" spans="12:13" x14ac:dyDescent="0.2">
      <c r="L9054" s="12"/>
      <c r="M9054" s="13"/>
    </row>
    <row r="9055" spans="12:13" x14ac:dyDescent="0.2">
      <c r="L9055" s="12"/>
      <c r="M9055" s="13"/>
    </row>
    <row r="9056" spans="12:13" x14ac:dyDescent="0.2">
      <c r="L9056" s="12"/>
      <c r="M9056" s="13"/>
    </row>
    <row r="9057" spans="12:13" x14ac:dyDescent="0.2">
      <c r="L9057" s="12"/>
      <c r="M9057" s="13"/>
    </row>
    <row r="9058" spans="12:13" x14ac:dyDescent="0.2">
      <c r="L9058" s="12"/>
      <c r="M9058" s="13"/>
    </row>
    <row r="9059" spans="12:13" x14ac:dyDescent="0.2">
      <c r="L9059" s="12"/>
      <c r="M9059" s="13"/>
    </row>
    <row r="9060" spans="12:13" x14ac:dyDescent="0.2">
      <c r="L9060" s="12"/>
      <c r="M9060" s="13"/>
    </row>
    <row r="9061" spans="12:13" x14ac:dyDescent="0.2">
      <c r="L9061" s="12"/>
      <c r="M9061" s="13"/>
    </row>
    <row r="9062" spans="12:13" x14ac:dyDescent="0.2">
      <c r="L9062" s="12"/>
      <c r="M9062" s="13"/>
    </row>
    <row r="9063" spans="12:13" x14ac:dyDescent="0.2">
      <c r="L9063" s="12"/>
      <c r="M9063" s="13"/>
    </row>
    <row r="9064" spans="12:13" x14ac:dyDescent="0.2">
      <c r="L9064" s="12"/>
      <c r="M9064" s="13"/>
    </row>
    <row r="9065" spans="12:13" x14ac:dyDescent="0.2">
      <c r="L9065" s="12"/>
      <c r="M9065" s="13"/>
    </row>
    <row r="9066" spans="12:13" x14ac:dyDescent="0.2">
      <c r="L9066" s="12"/>
      <c r="M9066" s="13"/>
    </row>
    <row r="9067" spans="12:13" x14ac:dyDescent="0.2">
      <c r="L9067" s="12"/>
      <c r="M9067" s="13"/>
    </row>
    <row r="9068" spans="12:13" x14ac:dyDescent="0.2">
      <c r="L9068" s="12"/>
      <c r="M9068" s="13"/>
    </row>
    <row r="9069" spans="12:13" x14ac:dyDescent="0.2">
      <c r="L9069" s="12"/>
      <c r="M9069" s="13"/>
    </row>
    <row r="9070" spans="12:13" x14ac:dyDescent="0.2">
      <c r="L9070" s="12"/>
      <c r="M9070" s="13"/>
    </row>
    <row r="9071" spans="12:13" x14ac:dyDescent="0.2">
      <c r="L9071" s="12"/>
      <c r="M9071" s="13"/>
    </row>
    <row r="9072" spans="12:13" x14ac:dyDescent="0.2">
      <c r="L9072" s="12"/>
      <c r="M9072" s="13"/>
    </row>
    <row r="9073" spans="12:13" x14ac:dyDescent="0.2">
      <c r="L9073" s="12"/>
      <c r="M9073" s="13"/>
    </row>
    <row r="9074" spans="12:13" x14ac:dyDescent="0.2">
      <c r="L9074" s="12"/>
      <c r="M9074" s="13"/>
    </row>
    <row r="9075" spans="12:13" x14ac:dyDescent="0.2">
      <c r="L9075" s="12"/>
      <c r="M9075" s="13"/>
    </row>
    <row r="9076" spans="12:13" x14ac:dyDescent="0.2">
      <c r="L9076" s="12"/>
      <c r="M9076" s="13"/>
    </row>
    <row r="9077" spans="12:13" x14ac:dyDescent="0.2">
      <c r="L9077" s="12"/>
      <c r="M9077" s="13"/>
    </row>
    <row r="9078" spans="12:13" x14ac:dyDescent="0.2">
      <c r="L9078" s="12"/>
      <c r="M9078" s="13"/>
    </row>
    <row r="9079" spans="12:13" x14ac:dyDescent="0.2">
      <c r="L9079" s="12"/>
      <c r="M9079" s="13"/>
    </row>
    <row r="9080" spans="12:13" x14ac:dyDescent="0.2">
      <c r="L9080" s="12"/>
      <c r="M9080" s="13"/>
    </row>
    <row r="9081" spans="12:13" x14ac:dyDescent="0.2">
      <c r="L9081" s="12"/>
      <c r="M9081" s="13"/>
    </row>
    <row r="9082" spans="12:13" x14ac:dyDescent="0.2">
      <c r="L9082" s="12"/>
      <c r="M9082" s="13"/>
    </row>
    <row r="9083" spans="12:13" x14ac:dyDescent="0.2">
      <c r="L9083" s="12"/>
      <c r="M9083" s="13"/>
    </row>
    <row r="9084" spans="12:13" x14ac:dyDescent="0.2">
      <c r="L9084" s="12"/>
      <c r="M9084" s="13"/>
    </row>
    <row r="9085" spans="12:13" x14ac:dyDescent="0.2">
      <c r="L9085" s="12"/>
      <c r="M9085" s="13"/>
    </row>
    <row r="9086" spans="12:13" x14ac:dyDescent="0.2">
      <c r="L9086" s="12"/>
      <c r="M9086" s="13"/>
    </row>
    <row r="9087" spans="12:13" x14ac:dyDescent="0.2">
      <c r="L9087" s="12"/>
      <c r="M9087" s="13"/>
    </row>
    <row r="9088" spans="12:13" x14ac:dyDescent="0.2">
      <c r="L9088" s="12"/>
      <c r="M9088" s="13"/>
    </row>
    <row r="9089" spans="12:13" x14ac:dyDescent="0.2">
      <c r="L9089" s="12"/>
      <c r="M9089" s="13"/>
    </row>
    <row r="9090" spans="12:13" x14ac:dyDescent="0.2">
      <c r="L9090" s="12"/>
      <c r="M9090" s="13"/>
    </row>
    <row r="9091" spans="12:13" x14ac:dyDescent="0.2">
      <c r="L9091" s="12"/>
      <c r="M9091" s="13"/>
    </row>
    <row r="9092" spans="12:13" x14ac:dyDescent="0.2">
      <c r="L9092" s="12"/>
      <c r="M9092" s="13"/>
    </row>
    <row r="9093" spans="12:13" x14ac:dyDescent="0.2">
      <c r="L9093" s="12"/>
      <c r="M9093" s="13"/>
    </row>
    <row r="9094" spans="12:13" x14ac:dyDescent="0.2">
      <c r="L9094" s="12"/>
      <c r="M9094" s="13"/>
    </row>
    <row r="9095" spans="12:13" x14ac:dyDescent="0.2">
      <c r="L9095" s="12"/>
      <c r="M9095" s="13"/>
    </row>
    <row r="9096" spans="12:13" x14ac:dyDescent="0.2">
      <c r="L9096" s="12"/>
      <c r="M9096" s="13"/>
    </row>
    <row r="9097" spans="12:13" x14ac:dyDescent="0.2">
      <c r="L9097" s="12"/>
      <c r="M9097" s="13"/>
    </row>
    <row r="9098" spans="12:13" x14ac:dyDescent="0.2">
      <c r="L9098" s="12"/>
      <c r="M9098" s="13"/>
    </row>
    <row r="9099" spans="12:13" x14ac:dyDescent="0.2">
      <c r="L9099" s="12"/>
      <c r="M9099" s="13"/>
    </row>
    <row r="9100" spans="12:13" x14ac:dyDescent="0.2">
      <c r="L9100" s="12"/>
      <c r="M9100" s="13"/>
    </row>
    <row r="9101" spans="12:13" x14ac:dyDescent="0.2">
      <c r="L9101" s="12"/>
      <c r="M9101" s="13"/>
    </row>
    <row r="9102" spans="12:13" x14ac:dyDescent="0.2">
      <c r="L9102" s="12"/>
      <c r="M9102" s="13"/>
    </row>
    <row r="9103" spans="12:13" x14ac:dyDescent="0.2">
      <c r="L9103" s="12"/>
      <c r="M9103" s="13"/>
    </row>
    <row r="9104" spans="12:13" x14ac:dyDescent="0.2">
      <c r="L9104" s="12"/>
      <c r="M9104" s="13"/>
    </row>
    <row r="9105" spans="12:13" x14ac:dyDescent="0.2">
      <c r="L9105" s="12"/>
      <c r="M9105" s="13"/>
    </row>
    <row r="9106" spans="12:13" x14ac:dyDescent="0.2">
      <c r="L9106" s="12"/>
      <c r="M9106" s="13"/>
    </row>
    <row r="9107" spans="12:13" x14ac:dyDescent="0.2">
      <c r="L9107" s="12"/>
      <c r="M9107" s="13"/>
    </row>
    <row r="9108" spans="12:13" x14ac:dyDescent="0.2">
      <c r="L9108" s="12"/>
      <c r="M9108" s="13"/>
    </row>
    <row r="9109" spans="12:13" x14ac:dyDescent="0.2">
      <c r="L9109" s="12"/>
      <c r="M9109" s="13"/>
    </row>
    <row r="9110" spans="12:13" x14ac:dyDescent="0.2">
      <c r="L9110" s="12"/>
      <c r="M9110" s="13"/>
    </row>
    <row r="9111" spans="12:13" x14ac:dyDescent="0.2">
      <c r="L9111" s="12"/>
      <c r="M9111" s="13"/>
    </row>
    <row r="9112" spans="12:13" x14ac:dyDescent="0.2">
      <c r="L9112" s="12"/>
      <c r="M9112" s="13"/>
    </row>
    <row r="9113" spans="12:13" x14ac:dyDescent="0.2">
      <c r="L9113" s="12"/>
      <c r="M9113" s="13"/>
    </row>
    <row r="9114" spans="12:13" x14ac:dyDescent="0.2">
      <c r="L9114" s="12"/>
      <c r="M9114" s="13"/>
    </row>
    <row r="9115" spans="12:13" x14ac:dyDescent="0.2">
      <c r="L9115" s="12"/>
      <c r="M9115" s="13"/>
    </row>
    <row r="9116" spans="12:13" x14ac:dyDescent="0.2">
      <c r="L9116" s="12"/>
      <c r="M9116" s="13"/>
    </row>
    <row r="9117" spans="12:13" x14ac:dyDescent="0.2">
      <c r="L9117" s="12"/>
      <c r="M9117" s="13"/>
    </row>
    <row r="9118" spans="12:13" x14ac:dyDescent="0.2">
      <c r="L9118" s="12"/>
      <c r="M9118" s="13"/>
    </row>
    <row r="9119" spans="12:13" x14ac:dyDescent="0.2">
      <c r="L9119" s="12"/>
      <c r="M9119" s="13"/>
    </row>
    <row r="9120" spans="12:13" x14ac:dyDescent="0.2">
      <c r="L9120" s="12"/>
      <c r="M9120" s="13"/>
    </row>
    <row r="9121" spans="12:13" x14ac:dyDescent="0.2">
      <c r="L9121" s="12"/>
      <c r="M9121" s="13"/>
    </row>
    <row r="9122" spans="12:13" x14ac:dyDescent="0.2">
      <c r="L9122" s="12"/>
      <c r="M9122" s="13"/>
    </row>
    <row r="9123" spans="12:13" x14ac:dyDescent="0.2">
      <c r="L9123" s="12"/>
      <c r="M9123" s="13"/>
    </row>
    <row r="9124" spans="12:13" x14ac:dyDescent="0.2">
      <c r="L9124" s="12"/>
      <c r="M9124" s="13"/>
    </row>
    <row r="9125" spans="12:13" x14ac:dyDescent="0.2">
      <c r="L9125" s="12"/>
      <c r="M9125" s="13"/>
    </row>
    <row r="9126" spans="12:13" x14ac:dyDescent="0.2">
      <c r="L9126" s="12"/>
      <c r="M9126" s="13"/>
    </row>
    <row r="9127" spans="12:13" x14ac:dyDescent="0.2">
      <c r="L9127" s="12"/>
      <c r="M9127" s="13"/>
    </row>
    <row r="9128" spans="12:13" x14ac:dyDescent="0.2">
      <c r="L9128" s="12"/>
      <c r="M9128" s="13"/>
    </row>
    <row r="9129" spans="12:13" x14ac:dyDescent="0.2">
      <c r="L9129" s="12"/>
      <c r="M9129" s="13"/>
    </row>
    <row r="9130" spans="12:13" x14ac:dyDescent="0.2">
      <c r="L9130" s="12"/>
      <c r="M9130" s="13"/>
    </row>
    <row r="9131" spans="12:13" x14ac:dyDescent="0.2">
      <c r="L9131" s="12"/>
      <c r="M9131" s="13"/>
    </row>
    <row r="9132" spans="12:13" x14ac:dyDescent="0.2">
      <c r="L9132" s="12"/>
      <c r="M9132" s="13"/>
    </row>
    <row r="9133" spans="12:13" x14ac:dyDescent="0.2">
      <c r="L9133" s="12"/>
      <c r="M9133" s="13"/>
    </row>
    <row r="9134" spans="12:13" x14ac:dyDescent="0.2">
      <c r="L9134" s="12"/>
      <c r="M9134" s="13"/>
    </row>
    <row r="9135" spans="12:13" x14ac:dyDescent="0.2">
      <c r="L9135" s="12"/>
      <c r="M9135" s="13"/>
    </row>
    <row r="9136" spans="12:13" x14ac:dyDescent="0.2">
      <c r="L9136" s="12"/>
      <c r="M9136" s="13"/>
    </row>
    <row r="9137" spans="12:13" x14ac:dyDescent="0.2">
      <c r="L9137" s="12"/>
      <c r="M9137" s="13"/>
    </row>
    <row r="9138" spans="12:13" x14ac:dyDescent="0.2">
      <c r="L9138" s="12"/>
      <c r="M9138" s="13"/>
    </row>
    <row r="9139" spans="12:13" x14ac:dyDescent="0.2">
      <c r="L9139" s="12"/>
      <c r="M9139" s="13"/>
    </row>
    <row r="9140" spans="12:13" x14ac:dyDescent="0.2">
      <c r="L9140" s="12"/>
      <c r="M9140" s="13"/>
    </row>
    <row r="9141" spans="12:13" x14ac:dyDescent="0.2">
      <c r="L9141" s="12"/>
      <c r="M9141" s="13"/>
    </row>
    <row r="9142" spans="12:13" x14ac:dyDescent="0.2">
      <c r="L9142" s="12"/>
      <c r="M9142" s="13"/>
    </row>
    <row r="9143" spans="12:13" x14ac:dyDescent="0.2">
      <c r="L9143" s="12"/>
      <c r="M9143" s="13"/>
    </row>
    <row r="9144" spans="12:13" x14ac:dyDescent="0.2">
      <c r="L9144" s="12"/>
      <c r="M9144" s="13"/>
    </row>
    <row r="9145" spans="12:13" x14ac:dyDescent="0.2">
      <c r="L9145" s="12"/>
      <c r="M9145" s="13"/>
    </row>
    <row r="9146" spans="12:13" x14ac:dyDescent="0.2">
      <c r="L9146" s="12"/>
      <c r="M9146" s="13"/>
    </row>
    <row r="9147" spans="12:13" x14ac:dyDescent="0.2">
      <c r="L9147" s="12"/>
      <c r="M9147" s="13"/>
    </row>
    <row r="9148" spans="12:13" x14ac:dyDescent="0.2">
      <c r="L9148" s="12"/>
      <c r="M9148" s="13"/>
    </row>
    <row r="9149" spans="12:13" x14ac:dyDescent="0.2">
      <c r="L9149" s="12"/>
      <c r="M9149" s="13"/>
    </row>
    <row r="9150" spans="12:13" x14ac:dyDescent="0.2">
      <c r="L9150" s="12"/>
      <c r="M9150" s="13"/>
    </row>
    <row r="9151" spans="12:13" x14ac:dyDescent="0.2">
      <c r="L9151" s="12"/>
      <c r="M9151" s="13"/>
    </row>
    <row r="9152" spans="12:13" x14ac:dyDescent="0.2">
      <c r="L9152" s="12"/>
      <c r="M9152" s="13"/>
    </row>
    <row r="9153" spans="12:13" x14ac:dyDescent="0.2">
      <c r="L9153" s="12"/>
      <c r="M9153" s="13"/>
    </row>
    <row r="9154" spans="12:13" x14ac:dyDescent="0.2">
      <c r="L9154" s="12"/>
      <c r="M9154" s="13"/>
    </row>
    <row r="9155" spans="12:13" x14ac:dyDescent="0.2">
      <c r="L9155" s="12"/>
      <c r="M9155" s="13"/>
    </row>
    <row r="9156" spans="12:13" x14ac:dyDescent="0.2">
      <c r="L9156" s="12"/>
      <c r="M9156" s="13"/>
    </row>
    <row r="9157" spans="12:13" x14ac:dyDescent="0.2">
      <c r="L9157" s="12"/>
      <c r="M9157" s="13"/>
    </row>
    <row r="9158" spans="12:13" x14ac:dyDescent="0.2">
      <c r="L9158" s="12"/>
      <c r="M9158" s="13"/>
    </row>
    <row r="9159" spans="12:13" x14ac:dyDescent="0.2">
      <c r="L9159" s="12"/>
      <c r="M9159" s="13"/>
    </row>
    <row r="9160" spans="12:13" x14ac:dyDescent="0.2">
      <c r="L9160" s="12"/>
      <c r="M9160" s="13"/>
    </row>
    <row r="9161" spans="12:13" x14ac:dyDescent="0.2">
      <c r="L9161" s="12"/>
      <c r="M9161" s="13"/>
    </row>
    <row r="9162" spans="12:13" x14ac:dyDescent="0.2">
      <c r="L9162" s="12"/>
      <c r="M9162" s="13"/>
    </row>
    <row r="9163" spans="12:13" x14ac:dyDescent="0.2">
      <c r="L9163" s="12"/>
      <c r="M9163" s="13"/>
    </row>
    <row r="9164" spans="12:13" x14ac:dyDescent="0.2">
      <c r="L9164" s="12"/>
      <c r="M9164" s="13"/>
    </row>
    <row r="9165" spans="12:13" x14ac:dyDescent="0.2">
      <c r="L9165" s="12"/>
      <c r="M9165" s="13"/>
    </row>
    <row r="9166" spans="12:13" x14ac:dyDescent="0.2">
      <c r="L9166" s="12"/>
      <c r="M9166" s="13"/>
    </row>
    <row r="9167" spans="12:13" x14ac:dyDescent="0.2">
      <c r="L9167" s="12"/>
      <c r="M9167" s="13"/>
    </row>
    <row r="9168" spans="12:13" x14ac:dyDescent="0.2">
      <c r="L9168" s="12"/>
      <c r="M9168" s="13"/>
    </row>
    <row r="9169" spans="12:13" x14ac:dyDescent="0.2">
      <c r="L9169" s="12"/>
      <c r="M9169" s="13"/>
    </row>
    <row r="9170" spans="12:13" x14ac:dyDescent="0.2">
      <c r="L9170" s="12"/>
      <c r="M9170" s="13"/>
    </row>
    <row r="9171" spans="12:13" x14ac:dyDescent="0.2">
      <c r="L9171" s="12"/>
      <c r="M9171" s="13"/>
    </row>
    <row r="9172" spans="12:13" x14ac:dyDescent="0.2">
      <c r="L9172" s="12"/>
      <c r="M9172" s="13"/>
    </row>
    <row r="9173" spans="12:13" x14ac:dyDescent="0.2">
      <c r="L9173" s="12"/>
      <c r="M9173" s="13"/>
    </row>
    <row r="9174" spans="12:13" x14ac:dyDescent="0.2">
      <c r="L9174" s="12"/>
      <c r="M9174" s="13"/>
    </row>
    <row r="9175" spans="12:13" x14ac:dyDescent="0.2">
      <c r="L9175" s="12"/>
      <c r="M9175" s="13"/>
    </row>
    <row r="9176" spans="12:13" x14ac:dyDescent="0.2">
      <c r="L9176" s="12"/>
      <c r="M9176" s="13"/>
    </row>
    <row r="9177" spans="12:13" x14ac:dyDescent="0.2">
      <c r="L9177" s="12"/>
      <c r="M9177" s="13"/>
    </row>
    <row r="9178" spans="12:13" x14ac:dyDescent="0.2">
      <c r="L9178" s="12"/>
      <c r="M9178" s="13"/>
    </row>
    <row r="9179" spans="12:13" x14ac:dyDescent="0.2">
      <c r="L9179" s="12"/>
      <c r="M9179" s="13"/>
    </row>
    <row r="9180" spans="12:13" x14ac:dyDescent="0.2">
      <c r="L9180" s="12"/>
      <c r="M9180" s="13"/>
    </row>
    <row r="9181" spans="12:13" x14ac:dyDescent="0.2">
      <c r="L9181" s="12"/>
      <c r="M9181" s="13"/>
    </row>
    <row r="9182" spans="12:13" x14ac:dyDescent="0.2">
      <c r="L9182" s="12"/>
      <c r="M9182" s="13"/>
    </row>
    <row r="9183" spans="12:13" x14ac:dyDescent="0.2">
      <c r="L9183" s="12"/>
      <c r="M9183" s="13"/>
    </row>
    <row r="9184" spans="12:13" x14ac:dyDescent="0.2">
      <c r="L9184" s="12"/>
      <c r="M9184" s="13"/>
    </row>
    <row r="9185" spans="12:13" x14ac:dyDescent="0.2">
      <c r="L9185" s="12"/>
      <c r="M9185" s="13"/>
    </row>
    <row r="9186" spans="12:13" x14ac:dyDescent="0.2">
      <c r="L9186" s="12"/>
      <c r="M9186" s="13"/>
    </row>
    <row r="9187" spans="12:13" x14ac:dyDescent="0.2">
      <c r="L9187" s="12"/>
      <c r="M9187" s="13"/>
    </row>
    <row r="9188" spans="12:13" x14ac:dyDescent="0.2">
      <c r="L9188" s="12"/>
      <c r="M9188" s="13"/>
    </row>
    <row r="9189" spans="12:13" x14ac:dyDescent="0.2">
      <c r="L9189" s="12"/>
      <c r="M9189" s="13"/>
    </row>
    <row r="9190" spans="12:13" x14ac:dyDescent="0.2">
      <c r="L9190" s="12"/>
      <c r="M9190" s="13"/>
    </row>
    <row r="9191" spans="12:13" x14ac:dyDescent="0.2">
      <c r="L9191" s="12"/>
      <c r="M9191" s="13"/>
    </row>
    <row r="9192" spans="12:13" x14ac:dyDescent="0.2">
      <c r="L9192" s="12"/>
      <c r="M9192" s="13"/>
    </row>
    <row r="9193" spans="12:13" x14ac:dyDescent="0.2">
      <c r="L9193" s="12"/>
      <c r="M9193" s="13"/>
    </row>
    <row r="9194" spans="12:13" x14ac:dyDescent="0.2">
      <c r="L9194" s="12"/>
      <c r="M9194" s="13"/>
    </row>
    <row r="9195" spans="12:13" x14ac:dyDescent="0.2">
      <c r="L9195" s="12"/>
      <c r="M9195" s="13"/>
    </row>
    <row r="9196" spans="12:13" x14ac:dyDescent="0.2">
      <c r="L9196" s="12"/>
      <c r="M9196" s="13"/>
    </row>
    <row r="9197" spans="12:13" x14ac:dyDescent="0.2">
      <c r="L9197" s="12"/>
      <c r="M9197" s="13"/>
    </row>
    <row r="9198" spans="12:13" x14ac:dyDescent="0.2">
      <c r="L9198" s="12"/>
      <c r="M9198" s="13"/>
    </row>
    <row r="9199" spans="12:13" x14ac:dyDescent="0.2">
      <c r="L9199" s="12"/>
      <c r="M9199" s="13"/>
    </row>
    <row r="9200" spans="12:13" x14ac:dyDescent="0.2">
      <c r="L9200" s="12"/>
      <c r="M9200" s="13"/>
    </row>
    <row r="9201" spans="12:13" x14ac:dyDescent="0.2">
      <c r="L9201" s="12"/>
      <c r="M9201" s="13"/>
    </row>
    <row r="9202" spans="12:13" x14ac:dyDescent="0.2">
      <c r="L9202" s="12"/>
      <c r="M9202" s="13"/>
    </row>
    <row r="9203" spans="12:13" x14ac:dyDescent="0.2">
      <c r="L9203" s="12"/>
      <c r="M9203" s="13"/>
    </row>
    <row r="9204" spans="12:13" x14ac:dyDescent="0.2">
      <c r="L9204" s="12"/>
      <c r="M9204" s="13"/>
    </row>
    <row r="9205" spans="12:13" x14ac:dyDescent="0.2">
      <c r="L9205" s="12"/>
      <c r="M9205" s="13"/>
    </row>
    <row r="9206" spans="12:13" x14ac:dyDescent="0.2">
      <c r="L9206" s="12"/>
      <c r="M9206" s="13"/>
    </row>
    <row r="9207" spans="12:13" x14ac:dyDescent="0.2">
      <c r="L9207" s="12"/>
      <c r="M9207" s="13"/>
    </row>
    <row r="9208" spans="12:13" x14ac:dyDescent="0.2">
      <c r="L9208" s="12"/>
      <c r="M9208" s="13"/>
    </row>
    <row r="9209" spans="12:13" x14ac:dyDescent="0.2">
      <c r="L9209" s="12"/>
      <c r="M9209" s="13"/>
    </row>
    <row r="9210" spans="12:13" x14ac:dyDescent="0.2">
      <c r="L9210" s="12"/>
      <c r="M9210" s="13"/>
    </row>
    <row r="9211" spans="12:13" x14ac:dyDescent="0.2">
      <c r="L9211" s="12"/>
      <c r="M9211" s="13"/>
    </row>
    <row r="9212" spans="12:13" x14ac:dyDescent="0.2">
      <c r="L9212" s="12"/>
      <c r="M9212" s="13"/>
    </row>
    <row r="9213" spans="12:13" x14ac:dyDescent="0.2">
      <c r="L9213" s="12"/>
      <c r="M9213" s="13"/>
    </row>
    <row r="9214" spans="12:13" x14ac:dyDescent="0.2">
      <c r="L9214" s="12"/>
      <c r="M9214" s="13"/>
    </row>
    <row r="9215" spans="12:13" x14ac:dyDescent="0.2">
      <c r="L9215" s="12"/>
      <c r="M9215" s="13"/>
    </row>
    <row r="9216" spans="12:13" x14ac:dyDescent="0.2">
      <c r="L9216" s="12"/>
      <c r="M9216" s="13"/>
    </row>
    <row r="9217" spans="12:13" x14ac:dyDescent="0.2">
      <c r="L9217" s="12"/>
      <c r="M9217" s="13"/>
    </row>
    <row r="9218" spans="12:13" x14ac:dyDescent="0.2">
      <c r="L9218" s="17"/>
      <c r="M9218" s="18"/>
    </row>
    <row r="9219" spans="12:13" x14ac:dyDescent="0.2">
      <c r="L9219" s="12"/>
      <c r="M9219" s="13"/>
    </row>
    <row r="9220" spans="12:13" x14ac:dyDescent="0.2">
      <c r="L9220" s="12"/>
      <c r="M9220" s="13"/>
    </row>
    <row r="9221" spans="12:13" x14ac:dyDescent="0.2">
      <c r="L9221" s="12"/>
      <c r="M9221" s="13"/>
    </row>
    <row r="9222" spans="12:13" x14ac:dyDescent="0.2">
      <c r="L9222" s="12"/>
      <c r="M9222" s="13"/>
    </row>
    <row r="9223" spans="12:13" x14ac:dyDescent="0.2">
      <c r="L9223" s="12"/>
      <c r="M9223" s="13"/>
    </row>
    <row r="9224" spans="12:13" x14ac:dyDescent="0.2">
      <c r="L9224" s="12"/>
      <c r="M9224" s="13"/>
    </row>
    <row r="9225" spans="12:13" x14ac:dyDescent="0.2">
      <c r="L9225" s="12"/>
      <c r="M9225" s="13"/>
    </row>
    <row r="9226" spans="12:13" x14ac:dyDescent="0.2">
      <c r="L9226" s="12"/>
      <c r="M9226" s="13"/>
    </row>
    <row r="9227" spans="12:13" x14ac:dyDescent="0.2">
      <c r="L9227" s="12"/>
      <c r="M9227" s="13"/>
    </row>
    <row r="9228" spans="12:13" x14ac:dyDescent="0.2">
      <c r="L9228" s="12"/>
      <c r="M9228" s="13"/>
    </row>
    <row r="9229" spans="12:13" x14ac:dyDescent="0.2">
      <c r="L9229" s="12"/>
      <c r="M9229" s="13"/>
    </row>
    <row r="9230" spans="12:13" x14ac:dyDescent="0.2">
      <c r="L9230" s="12"/>
      <c r="M9230" s="13"/>
    </row>
    <row r="9231" spans="12:13" x14ac:dyDescent="0.2">
      <c r="L9231" s="12"/>
      <c r="M9231" s="13"/>
    </row>
    <row r="9232" spans="12:13" x14ac:dyDescent="0.2">
      <c r="L9232" s="12"/>
      <c r="M9232" s="13"/>
    </row>
    <row r="9233" spans="12:13" x14ac:dyDescent="0.2">
      <c r="L9233" s="12"/>
      <c r="M9233" s="13"/>
    </row>
    <row r="9234" spans="12:13" x14ac:dyDescent="0.2">
      <c r="L9234" s="12"/>
      <c r="M9234" s="13"/>
    </row>
    <row r="9235" spans="12:13" x14ac:dyDescent="0.2">
      <c r="L9235" s="12"/>
      <c r="M9235" s="13"/>
    </row>
    <row r="9236" spans="12:13" x14ac:dyDescent="0.2">
      <c r="L9236" s="12"/>
      <c r="M9236" s="13"/>
    </row>
    <row r="9237" spans="12:13" x14ac:dyDescent="0.2">
      <c r="L9237" s="12"/>
      <c r="M9237" s="13"/>
    </row>
    <row r="9238" spans="12:13" x14ac:dyDescent="0.2">
      <c r="L9238" s="12"/>
      <c r="M9238" s="13"/>
    </row>
    <row r="9239" spans="12:13" x14ac:dyDescent="0.2">
      <c r="L9239" s="12"/>
      <c r="M9239" s="13"/>
    </row>
    <row r="9240" spans="12:13" x14ac:dyDescent="0.2">
      <c r="L9240" s="12"/>
      <c r="M9240" s="13"/>
    </row>
    <row r="9241" spans="12:13" x14ac:dyDescent="0.2">
      <c r="L9241" s="12"/>
      <c r="M9241" s="13"/>
    </row>
    <row r="9242" spans="12:13" x14ac:dyDescent="0.2">
      <c r="L9242" s="12"/>
      <c r="M9242" s="13"/>
    </row>
    <row r="9243" spans="12:13" x14ac:dyDescent="0.2">
      <c r="L9243" s="12"/>
      <c r="M9243" s="13"/>
    </row>
    <row r="9244" spans="12:13" x14ac:dyDescent="0.2">
      <c r="L9244" s="12"/>
      <c r="M9244" s="13"/>
    </row>
    <row r="9245" spans="12:13" x14ac:dyDescent="0.2">
      <c r="L9245" s="12"/>
      <c r="M9245" s="13"/>
    </row>
    <row r="9246" spans="12:13" x14ac:dyDescent="0.2">
      <c r="L9246" s="12"/>
      <c r="M9246" s="13"/>
    </row>
    <row r="9247" spans="12:13" x14ac:dyDescent="0.2">
      <c r="L9247" s="12"/>
      <c r="M9247" s="13"/>
    </row>
    <row r="9248" spans="12:13" x14ac:dyDescent="0.2">
      <c r="L9248" s="12"/>
      <c r="M9248" s="13"/>
    </row>
    <row r="9249" spans="12:13" x14ac:dyDescent="0.2">
      <c r="L9249" s="12"/>
      <c r="M9249" s="13"/>
    </row>
    <row r="9250" spans="12:13" x14ac:dyDescent="0.2">
      <c r="L9250" s="12"/>
      <c r="M9250" s="13"/>
    </row>
    <row r="9251" spans="12:13" x14ac:dyDescent="0.2">
      <c r="L9251" s="12"/>
      <c r="M9251" s="13"/>
    </row>
    <row r="9252" spans="12:13" x14ac:dyDescent="0.2">
      <c r="L9252" s="12"/>
      <c r="M9252" s="13"/>
    </row>
    <row r="9253" spans="12:13" x14ac:dyDescent="0.2">
      <c r="L9253" s="12"/>
      <c r="M9253" s="13"/>
    </row>
    <row r="9254" spans="12:13" x14ac:dyDescent="0.2">
      <c r="L9254" s="12"/>
      <c r="M9254" s="13"/>
    </row>
    <row r="9255" spans="12:13" x14ac:dyDescent="0.2">
      <c r="L9255" s="12"/>
      <c r="M9255" s="13"/>
    </row>
    <row r="9256" spans="12:13" x14ac:dyDescent="0.2">
      <c r="L9256" s="12"/>
      <c r="M9256" s="13"/>
    </row>
    <row r="9257" spans="12:13" x14ac:dyDescent="0.2">
      <c r="L9257" s="12"/>
      <c r="M9257" s="13"/>
    </row>
    <row r="9258" spans="12:13" x14ac:dyDescent="0.2">
      <c r="L9258" s="12"/>
      <c r="M9258" s="13"/>
    </row>
    <row r="9259" spans="12:13" x14ac:dyDescent="0.2">
      <c r="L9259" s="12"/>
      <c r="M9259" s="13"/>
    </row>
    <row r="9260" spans="12:13" x14ac:dyDescent="0.2">
      <c r="L9260" s="12"/>
      <c r="M9260" s="13"/>
    </row>
    <row r="9261" spans="12:13" x14ac:dyDescent="0.2">
      <c r="L9261" s="12"/>
      <c r="M9261" s="13"/>
    </row>
    <row r="9262" spans="12:13" x14ac:dyDescent="0.2">
      <c r="L9262" s="12"/>
      <c r="M9262" s="13"/>
    </row>
    <row r="9263" spans="12:13" x14ac:dyDescent="0.2">
      <c r="L9263" s="12"/>
      <c r="M9263" s="13"/>
    </row>
    <row r="9264" spans="12:13" x14ac:dyDescent="0.2">
      <c r="L9264" s="12"/>
      <c r="M9264" s="13"/>
    </row>
    <row r="9265" spans="12:13" x14ac:dyDescent="0.2">
      <c r="L9265" s="12"/>
      <c r="M9265" s="13"/>
    </row>
    <row r="9266" spans="12:13" x14ac:dyDescent="0.2">
      <c r="L9266" s="12"/>
      <c r="M9266" s="13"/>
    </row>
    <row r="9267" spans="12:13" x14ac:dyDescent="0.2">
      <c r="L9267" s="12"/>
      <c r="M9267" s="13"/>
    </row>
    <row r="9268" spans="12:13" x14ac:dyDescent="0.2">
      <c r="L9268" s="12"/>
      <c r="M9268" s="13"/>
    </row>
    <row r="9269" spans="12:13" x14ac:dyDescent="0.2">
      <c r="L9269" s="12"/>
      <c r="M9269" s="13"/>
    </row>
    <row r="9270" spans="12:13" x14ac:dyDescent="0.2">
      <c r="L9270" s="12"/>
      <c r="M9270" s="13"/>
    </row>
    <row r="9271" spans="12:13" x14ac:dyDescent="0.2">
      <c r="L9271" s="12"/>
      <c r="M9271" s="13"/>
    </row>
    <row r="9272" spans="12:13" x14ac:dyDescent="0.2">
      <c r="L9272" s="12"/>
      <c r="M9272" s="13"/>
    </row>
    <row r="9273" spans="12:13" x14ac:dyDescent="0.2">
      <c r="L9273" s="12"/>
      <c r="M9273" s="13"/>
    </row>
    <row r="9274" spans="12:13" x14ac:dyDescent="0.2">
      <c r="L9274" s="12"/>
      <c r="M9274" s="13"/>
    </row>
    <row r="9275" spans="12:13" x14ac:dyDescent="0.2">
      <c r="L9275" s="12"/>
      <c r="M9275" s="13"/>
    </row>
    <row r="9276" spans="12:13" x14ac:dyDescent="0.2">
      <c r="L9276" s="12"/>
      <c r="M9276" s="13"/>
    </row>
    <row r="9277" spans="12:13" x14ac:dyDescent="0.2">
      <c r="L9277" s="12"/>
      <c r="M9277" s="13"/>
    </row>
    <row r="9278" spans="12:13" x14ac:dyDescent="0.2">
      <c r="L9278" s="12"/>
      <c r="M9278" s="13"/>
    </row>
    <row r="9279" spans="12:13" x14ac:dyDescent="0.2">
      <c r="L9279" s="12"/>
      <c r="M9279" s="13"/>
    </row>
    <row r="9280" spans="12:13" x14ac:dyDescent="0.2">
      <c r="L9280" s="12"/>
      <c r="M9280" s="13"/>
    </row>
    <row r="9281" spans="12:13" x14ac:dyDescent="0.2">
      <c r="L9281" s="12"/>
      <c r="M9281" s="13"/>
    </row>
    <row r="9282" spans="12:13" x14ac:dyDescent="0.2">
      <c r="L9282" s="12"/>
      <c r="M9282" s="13"/>
    </row>
    <row r="9283" spans="12:13" x14ac:dyDescent="0.2">
      <c r="L9283" s="12"/>
      <c r="M9283" s="13"/>
    </row>
    <row r="9284" spans="12:13" x14ac:dyDescent="0.2">
      <c r="L9284" s="12"/>
      <c r="M9284" s="13"/>
    </row>
    <row r="9285" spans="12:13" x14ac:dyDescent="0.2">
      <c r="L9285" s="12"/>
      <c r="M9285" s="13"/>
    </row>
    <row r="9286" spans="12:13" x14ac:dyDescent="0.2">
      <c r="L9286" s="12"/>
      <c r="M9286" s="13"/>
    </row>
    <row r="9287" spans="12:13" x14ac:dyDescent="0.2">
      <c r="L9287" s="12"/>
      <c r="M9287" s="13"/>
    </row>
    <row r="9288" spans="12:13" x14ac:dyDescent="0.2">
      <c r="L9288" s="12"/>
      <c r="M9288" s="13"/>
    </row>
    <row r="9289" spans="12:13" x14ac:dyDescent="0.2">
      <c r="L9289" s="12"/>
      <c r="M9289" s="13"/>
    </row>
    <row r="9290" spans="12:13" x14ac:dyDescent="0.2">
      <c r="L9290" s="12"/>
      <c r="M9290" s="13"/>
    </row>
    <row r="9291" spans="12:13" x14ac:dyDescent="0.2">
      <c r="L9291" s="12"/>
      <c r="M9291" s="13"/>
    </row>
    <row r="9292" spans="12:13" x14ac:dyDescent="0.2">
      <c r="L9292" s="12"/>
      <c r="M9292" s="13"/>
    </row>
    <row r="9293" spans="12:13" x14ac:dyDescent="0.2">
      <c r="L9293" s="12"/>
      <c r="M9293" s="13"/>
    </row>
    <row r="9294" spans="12:13" x14ac:dyDescent="0.2">
      <c r="L9294" s="12"/>
      <c r="M9294" s="13"/>
    </row>
    <row r="9295" spans="12:13" x14ac:dyDescent="0.2">
      <c r="L9295" s="12"/>
      <c r="M9295" s="13"/>
    </row>
    <row r="9296" spans="12:13" x14ac:dyDescent="0.2">
      <c r="L9296" s="12"/>
      <c r="M9296" s="13"/>
    </row>
    <row r="9297" spans="12:13" x14ac:dyDescent="0.2">
      <c r="L9297" s="12"/>
      <c r="M9297" s="13"/>
    </row>
    <row r="9298" spans="12:13" x14ac:dyDescent="0.2">
      <c r="L9298" s="12"/>
      <c r="M9298" s="13"/>
    </row>
    <row r="9299" spans="12:13" x14ac:dyDescent="0.2">
      <c r="L9299" s="12"/>
      <c r="M9299" s="13"/>
    </row>
    <row r="9300" spans="12:13" x14ac:dyDescent="0.2">
      <c r="L9300" s="12"/>
      <c r="M9300" s="13"/>
    </row>
    <row r="9301" spans="12:13" x14ac:dyDescent="0.2">
      <c r="L9301" s="12"/>
      <c r="M9301" s="13"/>
    </row>
    <row r="9302" spans="12:13" x14ac:dyDescent="0.2">
      <c r="L9302" s="12"/>
      <c r="M9302" s="13"/>
    </row>
    <row r="9303" spans="12:13" x14ac:dyDescent="0.2">
      <c r="L9303" s="12"/>
      <c r="M9303" s="13"/>
    </row>
    <row r="9304" spans="12:13" x14ac:dyDescent="0.2">
      <c r="L9304" s="12"/>
      <c r="M9304" s="13"/>
    </row>
    <row r="9305" spans="12:13" x14ac:dyDescent="0.2">
      <c r="L9305" s="12"/>
      <c r="M9305" s="13"/>
    </row>
    <row r="9306" spans="12:13" x14ac:dyDescent="0.2">
      <c r="L9306" s="12"/>
      <c r="M9306" s="13"/>
    </row>
    <row r="9307" spans="12:13" x14ac:dyDescent="0.2">
      <c r="L9307" s="12"/>
      <c r="M9307" s="13"/>
    </row>
    <row r="9308" spans="12:13" x14ac:dyDescent="0.2">
      <c r="L9308" s="12"/>
      <c r="M9308" s="13"/>
    </row>
    <row r="9309" spans="12:13" x14ac:dyDescent="0.2">
      <c r="L9309" s="12"/>
      <c r="M9309" s="13"/>
    </row>
    <row r="9310" spans="12:13" x14ac:dyDescent="0.2">
      <c r="L9310" s="12"/>
      <c r="M9310" s="13"/>
    </row>
    <row r="9311" spans="12:13" x14ac:dyDescent="0.2">
      <c r="L9311" s="12"/>
      <c r="M9311" s="13"/>
    </row>
    <row r="9312" spans="12:13" x14ac:dyDescent="0.2">
      <c r="L9312" s="12"/>
      <c r="M9312" s="13"/>
    </row>
    <row r="9313" spans="12:13" x14ac:dyDescent="0.2">
      <c r="L9313" s="12"/>
      <c r="M9313" s="13"/>
    </row>
    <row r="9314" spans="12:13" x14ac:dyDescent="0.2">
      <c r="L9314" s="12"/>
      <c r="M9314" s="13"/>
    </row>
    <row r="9315" spans="12:13" x14ac:dyDescent="0.2">
      <c r="L9315" s="12"/>
      <c r="M9315" s="13"/>
    </row>
    <row r="9316" spans="12:13" x14ac:dyDescent="0.2">
      <c r="L9316" s="12"/>
      <c r="M9316" s="13"/>
    </row>
    <row r="9317" spans="12:13" x14ac:dyDescent="0.2">
      <c r="L9317" s="12"/>
      <c r="M9317" s="13"/>
    </row>
    <row r="9318" spans="12:13" x14ac:dyDescent="0.2">
      <c r="L9318" s="12"/>
      <c r="M9318" s="13"/>
    </row>
    <row r="9319" spans="12:13" x14ac:dyDescent="0.2">
      <c r="L9319" s="12"/>
      <c r="M9319" s="13"/>
    </row>
    <row r="9320" spans="12:13" x14ac:dyDescent="0.2">
      <c r="L9320" s="12"/>
      <c r="M9320" s="13"/>
    </row>
    <row r="9321" spans="12:13" x14ac:dyDescent="0.2">
      <c r="L9321" s="12"/>
      <c r="M9321" s="13"/>
    </row>
    <row r="9322" spans="12:13" x14ac:dyDescent="0.2">
      <c r="L9322" s="12"/>
      <c r="M9322" s="13"/>
    </row>
    <row r="9323" spans="12:13" x14ac:dyDescent="0.2">
      <c r="L9323" s="12"/>
      <c r="M9323" s="13"/>
    </row>
    <row r="9324" spans="12:13" x14ac:dyDescent="0.2">
      <c r="L9324" s="12"/>
      <c r="M9324" s="13"/>
    </row>
    <row r="9325" spans="12:13" x14ac:dyDescent="0.2">
      <c r="L9325" s="12"/>
      <c r="M9325" s="13"/>
    </row>
    <row r="9326" spans="12:13" x14ac:dyDescent="0.2">
      <c r="L9326" s="12"/>
      <c r="M9326" s="13"/>
    </row>
    <row r="9327" spans="12:13" x14ac:dyDescent="0.2">
      <c r="L9327" s="12"/>
      <c r="M9327" s="13"/>
    </row>
    <row r="9328" spans="12:13" x14ac:dyDescent="0.2">
      <c r="L9328" s="12"/>
      <c r="M9328" s="13"/>
    </row>
    <row r="9329" spans="12:13" x14ac:dyDescent="0.2">
      <c r="L9329" s="12"/>
      <c r="M9329" s="13"/>
    </row>
    <row r="9330" spans="12:13" x14ac:dyDescent="0.2">
      <c r="L9330" s="12"/>
      <c r="M9330" s="13"/>
    </row>
    <row r="9331" spans="12:13" x14ac:dyDescent="0.2">
      <c r="L9331" s="12"/>
      <c r="M9331" s="13"/>
    </row>
    <row r="9332" spans="12:13" x14ac:dyDescent="0.2">
      <c r="L9332" s="12"/>
      <c r="M9332" s="13"/>
    </row>
    <row r="9333" spans="12:13" x14ac:dyDescent="0.2">
      <c r="L9333" s="12"/>
      <c r="M9333" s="13"/>
    </row>
    <row r="9334" spans="12:13" x14ac:dyDescent="0.2">
      <c r="L9334" s="12"/>
      <c r="M9334" s="13"/>
    </row>
    <row r="9335" spans="12:13" x14ac:dyDescent="0.2">
      <c r="L9335" s="12"/>
      <c r="M9335" s="13"/>
    </row>
    <row r="9336" spans="12:13" x14ac:dyDescent="0.2">
      <c r="L9336" s="12"/>
      <c r="M9336" s="13"/>
    </row>
    <row r="9337" spans="12:13" x14ac:dyDescent="0.2">
      <c r="L9337" s="12"/>
      <c r="M9337" s="13"/>
    </row>
    <row r="9338" spans="12:13" x14ac:dyDescent="0.2">
      <c r="L9338" s="12"/>
      <c r="M9338" s="13"/>
    </row>
    <row r="9339" spans="12:13" x14ac:dyDescent="0.2">
      <c r="L9339" s="12"/>
      <c r="M9339" s="13"/>
    </row>
    <row r="9340" spans="12:13" x14ac:dyDescent="0.2">
      <c r="L9340" s="12"/>
      <c r="M9340" s="13"/>
    </row>
    <row r="9341" spans="12:13" x14ac:dyDescent="0.2">
      <c r="L9341" s="12"/>
      <c r="M9341" s="13"/>
    </row>
    <row r="9342" spans="12:13" x14ac:dyDescent="0.2">
      <c r="L9342" s="12"/>
      <c r="M9342" s="13"/>
    </row>
    <row r="9343" spans="12:13" x14ac:dyDescent="0.2">
      <c r="L9343" s="12"/>
      <c r="M9343" s="13"/>
    </row>
    <row r="9344" spans="12:13" x14ac:dyDescent="0.2">
      <c r="L9344" s="12"/>
      <c r="M9344" s="13"/>
    </row>
    <row r="9345" spans="12:13" x14ac:dyDescent="0.2">
      <c r="L9345" s="12"/>
      <c r="M9345" s="13"/>
    </row>
    <row r="9346" spans="12:13" x14ac:dyDescent="0.2">
      <c r="L9346" s="12"/>
      <c r="M9346" s="13"/>
    </row>
    <row r="9347" spans="12:13" x14ac:dyDescent="0.2">
      <c r="L9347" s="12"/>
      <c r="M9347" s="13"/>
    </row>
    <row r="9348" spans="12:13" x14ac:dyDescent="0.2">
      <c r="L9348" s="12"/>
      <c r="M9348" s="13"/>
    </row>
    <row r="9349" spans="12:13" x14ac:dyDescent="0.2">
      <c r="L9349" s="12"/>
      <c r="M9349" s="13"/>
    </row>
    <row r="9350" spans="12:13" x14ac:dyDescent="0.2">
      <c r="L9350" s="12"/>
      <c r="M9350" s="13"/>
    </row>
    <row r="9351" spans="12:13" x14ac:dyDescent="0.2">
      <c r="L9351" s="12"/>
      <c r="M9351" s="13"/>
    </row>
    <row r="9352" spans="12:13" x14ac:dyDescent="0.2">
      <c r="L9352" s="12"/>
      <c r="M9352" s="13"/>
    </row>
    <row r="9353" spans="12:13" x14ac:dyDescent="0.2">
      <c r="L9353" s="12"/>
      <c r="M9353" s="13"/>
    </row>
    <row r="9354" spans="12:13" x14ac:dyDescent="0.2">
      <c r="L9354" s="12"/>
      <c r="M9354" s="13"/>
    </row>
    <row r="9355" spans="12:13" x14ac:dyDescent="0.2">
      <c r="L9355" s="12"/>
      <c r="M9355" s="13"/>
    </row>
    <row r="9356" spans="12:13" x14ac:dyDescent="0.2">
      <c r="L9356" s="12"/>
      <c r="M9356" s="13"/>
    </row>
    <row r="9357" spans="12:13" x14ac:dyDescent="0.2">
      <c r="L9357" s="12"/>
      <c r="M9357" s="13"/>
    </row>
    <row r="9358" spans="12:13" x14ac:dyDescent="0.2">
      <c r="L9358" s="12"/>
      <c r="M9358" s="13"/>
    </row>
    <row r="9359" spans="12:13" x14ac:dyDescent="0.2">
      <c r="L9359" s="12"/>
      <c r="M9359" s="13"/>
    </row>
    <row r="9360" spans="12:13" x14ac:dyDescent="0.2">
      <c r="L9360" s="12"/>
      <c r="M9360" s="13"/>
    </row>
    <row r="9361" spans="12:13" x14ac:dyDescent="0.2">
      <c r="L9361" s="12"/>
      <c r="M9361" s="13"/>
    </row>
    <row r="9362" spans="12:13" x14ac:dyDescent="0.2">
      <c r="L9362" s="12"/>
      <c r="M9362" s="13"/>
    </row>
    <row r="9363" spans="12:13" x14ac:dyDescent="0.2">
      <c r="L9363" s="12"/>
      <c r="M9363" s="13"/>
    </row>
    <row r="9364" spans="12:13" x14ac:dyDescent="0.2">
      <c r="L9364" s="12"/>
      <c r="M9364" s="13"/>
    </row>
    <row r="9365" spans="12:13" x14ac:dyDescent="0.2">
      <c r="L9365" s="12"/>
      <c r="M9365" s="13"/>
    </row>
    <row r="9366" spans="12:13" x14ac:dyDescent="0.2">
      <c r="L9366" s="12"/>
      <c r="M9366" s="13"/>
    </row>
    <row r="9367" spans="12:13" x14ac:dyDescent="0.2">
      <c r="L9367" s="12"/>
      <c r="M9367" s="13"/>
    </row>
    <row r="9368" spans="12:13" x14ac:dyDescent="0.2">
      <c r="L9368" s="12"/>
      <c r="M9368" s="13"/>
    </row>
    <row r="9369" spans="12:13" x14ac:dyDescent="0.2">
      <c r="L9369" s="12"/>
      <c r="M9369" s="13"/>
    </row>
    <row r="9370" spans="12:13" x14ac:dyDescent="0.2">
      <c r="L9370" s="12"/>
      <c r="M9370" s="13"/>
    </row>
    <row r="9371" spans="12:13" x14ac:dyDescent="0.2">
      <c r="L9371" s="12"/>
      <c r="M9371" s="13"/>
    </row>
    <row r="9372" spans="12:13" x14ac:dyDescent="0.2">
      <c r="L9372" s="12"/>
      <c r="M9372" s="13"/>
    </row>
    <row r="9373" spans="12:13" x14ac:dyDescent="0.2">
      <c r="L9373" s="12"/>
      <c r="M9373" s="13"/>
    </row>
    <row r="9374" spans="12:13" x14ac:dyDescent="0.2">
      <c r="L9374" s="12"/>
      <c r="M9374" s="13"/>
    </row>
    <row r="9375" spans="12:13" x14ac:dyDescent="0.2">
      <c r="L9375" s="12"/>
      <c r="M9375" s="13"/>
    </row>
    <row r="9376" spans="12:13" x14ac:dyDescent="0.2">
      <c r="L9376" s="12"/>
      <c r="M9376" s="13"/>
    </row>
    <row r="9377" spans="12:13" x14ac:dyDescent="0.2">
      <c r="L9377" s="12"/>
      <c r="M9377" s="13"/>
    </row>
    <row r="9378" spans="12:13" x14ac:dyDescent="0.2">
      <c r="L9378" s="12"/>
      <c r="M9378" s="13"/>
    </row>
    <row r="9379" spans="12:13" x14ac:dyDescent="0.2">
      <c r="L9379" s="12"/>
      <c r="M9379" s="13"/>
    </row>
    <row r="9380" spans="12:13" x14ac:dyDescent="0.2">
      <c r="L9380" s="12"/>
      <c r="M9380" s="13"/>
    </row>
    <row r="9381" spans="12:13" x14ac:dyDescent="0.2">
      <c r="L9381" s="12"/>
      <c r="M9381" s="13"/>
    </row>
    <row r="9382" spans="12:13" x14ac:dyDescent="0.2">
      <c r="L9382" s="12"/>
      <c r="M9382" s="13"/>
    </row>
    <row r="9383" spans="12:13" x14ac:dyDescent="0.2">
      <c r="L9383" s="12"/>
      <c r="M9383" s="13"/>
    </row>
    <row r="9384" spans="12:13" x14ac:dyDescent="0.2">
      <c r="L9384" s="12"/>
      <c r="M9384" s="13"/>
    </row>
    <row r="9385" spans="12:13" x14ac:dyDescent="0.2">
      <c r="L9385" s="12"/>
      <c r="M9385" s="13"/>
    </row>
    <row r="9386" spans="12:13" x14ac:dyDescent="0.2">
      <c r="L9386" s="12"/>
      <c r="M9386" s="13"/>
    </row>
    <row r="9387" spans="12:13" x14ac:dyDescent="0.2">
      <c r="L9387" s="12"/>
      <c r="M9387" s="13"/>
    </row>
    <row r="9388" spans="12:13" x14ac:dyDescent="0.2">
      <c r="L9388" s="12"/>
      <c r="M9388" s="13"/>
    </row>
    <row r="9389" spans="12:13" x14ac:dyDescent="0.2">
      <c r="L9389" s="12"/>
      <c r="M9389" s="13"/>
    </row>
    <row r="9390" spans="12:13" x14ac:dyDescent="0.2">
      <c r="L9390" s="12"/>
      <c r="M9390" s="13"/>
    </row>
    <row r="9391" spans="12:13" x14ac:dyDescent="0.2">
      <c r="L9391" s="12"/>
      <c r="M9391" s="13"/>
    </row>
    <row r="9392" spans="12:13" x14ac:dyDescent="0.2">
      <c r="L9392" s="12"/>
      <c r="M9392" s="13"/>
    </row>
    <row r="9393" spans="12:13" x14ac:dyDescent="0.2">
      <c r="L9393" s="12"/>
      <c r="M9393" s="13"/>
    </row>
    <row r="9394" spans="12:13" x14ac:dyDescent="0.2">
      <c r="L9394" s="12"/>
      <c r="M9394" s="13"/>
    </row>
    <row r="9395" spans="12:13" x14ac:dyDescent="0.2">
      <c r="L9395" s="12"/>
      <c r="M9395" s="13"/>
    </row>
    <row r="9396" spans="12:13" x14ac:dyDescent="0.2">
      <c r="L9396" s="12"/>
      <c r="M9396" s="13"/>
    </row>
    <row r="9397" spans="12:13" x14ac:dyDescent="0.2">
      <c r="L9397" s="12"/>
      <c r="M9397" s="13"/>
    </row>
    <row r="9398" spans="12:13" x14ac:dyDescent="0.2">
      <c r="L9398" s="12"/>
      <c r="M9398" s="13"/>
    </row>
    <row r="9399" spans="12:13" x14ac:dyDescent="0.2">
      <c r="L9399" s="12"/>
      <c r="M9399" s="13"/>
    </row>
    <row r="9400" spans="12:13" x14ac:dyDescent="0.2">
      <c r="L9400" s="12"/>
      <c r="M9400" s="13"/>
    </row>
    <row r="9401" spans="12:13" x14ac:dyDescent="0.2">
      <c r="L9401" s="12"/>
      <c r="M9401" s="13"/>
    </row>
    <row r="9402" spans="12:13" x14ac:dyDescent="0.2">
      <c r="L9402" s="12"/>
      <c r="M9402" s="13"/>
    </row>
    <row r="9403" spans="12:13" x14ac:dyDescent="0.2">
      <c r="L9403" s="12"/>
      <c r="M9403" s="13"/>
    </row>
    <row r="9404" spans="12:13" x14ac:dyDescent="0.2">
      <c r="L9404" s="12"/>
      <c r="M9404" s="13"/>
    </row>
    <row r="9405" spans="12:13" x14ac:dyDescent="0.2">
      <c r="L9405" s="12"/>
      <c r="M9405" s="13"/>
    </row>
    <row r="9406" spans="12:13" x14ac:dyDescent="0.2">
      <c r="L9406" s="12"/>
      <c r="M9406" s="13"/>
    </row>
    <row r="9407" spans="12:13" x14ac:dyDescent="0.2">
      <c r="L9407" s="12"/>
      <c r="M9407" s="13"/>
    </row>
    <row r="9408" spans="12:13" x14ac:dyDescent="0.2">
      <c r="L9408" s="12"/>
      <c r="M9408" s="13"/>
    </row>
    <row r="9409" spans="12:13" x14ac:dyDescent="0.2">
      <c r="L9409" s="12"/>
      <c r="M9409" s="13"/>
    </row>
    <row r="9410" spans="12:13" x14ac:dyDescent="0.2">
      <c r="L9410" s="12"/>
      <c r="M9410" s="13"/>
    </row>
    <row r="9411" spans="12:13" x14ac:dyDescent="0.2">
      <c r="L9411" s="12"/>
      <c r="M9411" s="13"/>
    </row>
    <row r="9412" spans="12:13" x14ac:dyDescent="0.2">
      <c r="L9412" s="12"/>
      <c r="M9412" s="13"/>
    </row>
    <row r="9413" spans="12:13" x14ac:dyDescent="0.2">
      <c r="L9413" s="12"/>
      <c r="M9413" s="13"/>
    </row>
    <row r="9414" spans="12:13" x14ac:dyDescent="0.2">
      <c r="L9414" s="12"/>
      <c r="M9414" s="13"/>
    </row>
    <row r="9415" spans="12:13" x14ac:dyDescent="0.2">
      <c r="L9415" s="12"/>
      <c r="M9415" s="13"/>
    </row>
    <row r="9416" spans="12:13" x14ac:dyDescent="0.2">
      <c r="L9416" s="12"/>
      <c r="M9416" s="13"/>
    </row>
    <row r="9417" spans="12:13" x14ac:dyDescent="0.2">
      <c r="L9417" s="12"/>
      <c r="M9417" s="13"/>
    </row>
    <row r="9418" spans="12:13" x14ac:dyDescent="0.2">
      <c r="L9418" s="12"/>
      <c r="M9418" s="13"/>
    </row>
    <row r="9419" spans="12:13" x14ac:dyDescent="0.2">
      <c r="L9419" s="12"/>
      <c r="M9419" s="13"/>
    </row>
    <row r="9420" spans="12:13" x14ac:dyDescent="0.2">
      <c r="L9420" s="12"/>
      <c r="M9420" s="13"/>
    </row>
    <row r="9421" spans="12:13" x14ac:dyDescent="0.2">
      <c r="L9421" s="12"/>
      <c r="M9421" s="13"/>
    </row>
    <row r="9422" spans="12:13" x14ac:dyDescent="0.2">
      <c r="L9422" s="12"/>
      <c r="M9422" s="13"/>
    </row>
    <row r="9423" spans="12:13" x14ac:dyDescent="0.2">
      <c r="L9423" s="12"/>
      <c r="M9423" s="13"/>
    </row>
    <row r="9424" spans="12:13" x14ac:dyDescent="0.2">
      <c r="L9424" s="12"/>
      <c r="M9424" s="13"/>
    </row>
    <row r="9425" spans="12:13" x14ac:dyDescent="0.2">
      <c r="L9425" s="12"/>
      <c r="M9425" s="13"/>
    </row>
    <row r="9426" spans="12:13" x14ac:dyDescent="0.2">
      <c r="L9426" s="12"/>
      <c r="M9426" s="13"/>
    </row>
    <row r="9427" spans="12:13" x14ac:dyDescent="0.2">
      <c r="L9427" s="12"/>
      <c r="M9427" s="13"/>
    </row>
    <row r="9428" spans="12:13" x14ac:dyDescent="0.2">
      <c r="L9428" s="12"/>
      <c r="M9428" s="13"/>
    </row>
    <row r="9429" spans="12:13" x14ac:dyDescent="0.2">
      <c r="L9429" s="12"/>
      <c r="M9429" s="13"/>
    </row>
    <row r="9430" spans="12:13" x14ac:dyDescent="0.2">
      <c r="L9430" s="12"/>
      <c r="M9430" s="13"/>
    </row>
    <row r="9431" spans="12:13" x14ac:dyDescent="0.2">
      <c r="L9431" s="12"/>
      <c r="M9431" s="13"/>
    </row>
    <row r="9432" spans="12:13" x14ac:dyDescent="0.2">
      <c r="L9432" s="12"/>
      <c r="M9432" s="13"/>
    </row>
    <row r="9433" spans="12:13" x14ac:dyDescent="0.2">
      <c r="L9433" s="12"/>
      <c r="M9433" s="13"/>
    </row>
    <row r="9434" spans="12:13" x14ac:dyDescent="0.2">
      <c r="L9434" s="12"/>
      <c r="M9434" s="13"/>
    </row>
    <row r="9435" spans="12:13" x14ac:dyDescent="0.2">
      <c r="L9435" s="12"/>
      <c r="M9435" s="13"/>
    </row>
    <row r="9436" spans="12:13" x14ac:dyDescent="0.2">
      <c r="L9436" s="12"/>
      <c r="M9436" s="13"/>
    </row>
    <row r="9437" spans="12:13" x14ac:dyDescent="0.2">
      <c r="L9437" s="12"/>
      <c r="M9437" s="13"/>
    </row>
    <row r="9438" spans="12:13" x14ac:dyDescent="0.2">
      <c r="L9438" s="12"/>
      <c r="M9438" s="13"/>
    </row>
    <row r="9439" spans="12:13" x14ac:dyDescent="0.2">
      <c r="L9439" s="12"/>
      <c r="M9439" s="13"/>
    </row>
    <row r="9440" spans="12:13" x14ac:dyDescent="0.2">
      <c r="L9440" s="12"/>
      <c r="M9440" s="13"/>
    </row>
    <row r="9441" spans="12:13" x14ac:dyDescent="0.2">
      <c r="L9441" s="12"/>
      <c r="M9441" s="13"/>
    </row>
    <row r="9442" spans="12:13" x14ac:dyDescent="0.2">
      <c r="L9442" s="12"/>
      <c r="M9442" s="13"/>
    </row>
    <row r="9443" spans="12:13" x14ac:dyDescent="0.2">
      <c r="L9443" s="12"/>
      <c r="M9443" s="13"/>
    </row>
    <row r="9444" spans="12:13" x14ac:dyDescent="0.2">
      <c r="L9444" s="12"/>
      <c r="M9444" s="13"/>
    </row>
    <row r="9445" spans="12:13" x14ac:dyDescent="0.2">
      <c r="L9445" s="12"/>
      <c r="M9445" s="13"/>
    </row>
    <row r="9446" spans="12:13" x14ac:dyDescent="0.2">
      <c r="L9446" s="12"/>
      <c r="M9446" s="13"/>
    </row>
    <row r="9447" spans="12:13" x14ac:dyDescent="0.2">
      <c r="L9447" s="12"/>
      <c r="M9447" s="13"/>
    </row>
    <row r="9448" spans="12:13" x14ac:dyDescent="0.2">
      <c r="L9448" s="12"/>
      <c r="M9448" s="13"/>
    </row>
    <row r="9449" spans="12:13" x14ac:dyDescent="0.2">
      <c r="L9449" s="12"/>
      <c r="M9449" s="13"/>
    </row>
    <row r="9450" spans="12:13" x14ac:dyDescent="0.2">
      <c r="L9450" s="12"/>
      <c r="M9450" s="13"/>
    </row>
    <row r="9451" spans="12:13" x14ac:dyDescent="0.2">
      <c r="L9451" s="12"/>
      <c r="M9451" s="13"/>
    </row>
    <row r="9452" spans="12:13" x14ac:dyDescent="0.2">
      <c r="L9452" s="12"/>
      <c r="M9452" s="13"/>
    </row>
    <row r="9453" spans="12:13" x14ac:dyDescent="0.2">
      <c r="L9453" s="12"/>
      <c r="M9453" s="13"/>
    </row>
    <row r="9454" spans="12:13" x14ac:dyDescent="0.2">
      <c r="L9454" s="12"/>
      <c r="M9454" s="13"/>
    </row>
    <row r="9455" spans="12:13" x14ac:dyDescent="0.2">
      <c r="L9455" s="12"/>
      <c r="M9455" s="13"/>
    </row>
    <row r="9456" spans="12:13" x14ac:dyDescent="0.2">
      <c r="L9456" s="12"/>
      <c r="M9456" s="13"/>
    </row>
    <row r="9457" spans="12:13" x14ac:dyDescent="0.2">
      <c r="L9457" s="12"/>
      <c r="M9457" s="13"/>
    </row>
    <row r="9458" spans="12:13" x14ac:dyDescent="0.2">
      <c r="L9458" s="12"/>
      <c r="M9458" s="13"/>
    </row>
    <row r="9459" spans="12:13" x14ac:dyDescent="0.2">
      <c r="L9459" s="12"/>
      <c r="M9459" s="13"/>
    </row>
    <row r="9460" spans="12:13" x14ac:dyDescent="0.2">
      <c r="L9460" s="12"/>
      <c r="M9460" s="13"/>
    </row>
    <row r="9461" spans="12:13" x14ac:dyDescent="0.2">
      <c r="L9461" s="12"/>
      <c r="M9461" s="13"/>
    </row>
    <row r="9462" spans="12:13" x14ac:dyDescent="0.2">
      <c r="L9462" s="12"/>
      <c r="M9462" s="13"/>
    </row>
    <row r="9463" spans="12:13" x14ac:dyDescent="0.2">
      <c r="L9463" s="12"/>
      <c r="M9463" s="13"/>
    </row>
    <row r="9464" spans="12:13" x14ac:dyDescent="0.2">
      <c r="L9464" s="12"/>
      <c r="M9464" s="13"/>
    </row>
    <row r="9465" spans="12:13" x14ac:dyDescent="0.2">
      <c r="L9465" s="12"/>
      <c r="M9465" s="13"/>
    </row>
    <row r="9466" spans="12:13" x14ac:dyDescent="0.2">
      <c r="L9466" s="12"/>
      <c r="M9466" s="13"/>
    </row>
    <row r="9467" spans="12:13" x14ac:dyDescent="0.2">
      <c r="L9467" s="12"/>
      <c r="M9467" s="13"/>
    </row>
    <row r="9468" spans="12:13" x14ac:dyDescent="0.2">
      <c r="L9468" s="12"/>
      <c r="M9468" s="13"/>
    </row>
    <row r="9469" spans="12:13" x14ac:dyDescent="0.2">
      <c r="L9469" s="12"/>
      <c r="M9469" s="13"/>
    </row>
    <row r="9470" spans="12:13" x14ac:dyDescent="0.2">
      <c r="L9470" s="12"/>
      <c r="M9470" s="13"/>
    </row>
    <row r="9471" spans="12:13" x14ac:dyDescent="0.2">
      <c r="L9471" s="12"/>
      <c r="M9471" s="13"/>
    </row>
    <row r="9472" spans="12:13" x14ac:dyDescent="0.2">
      <c r="L9472" s="12"/>
      <c r="M9472" s="13"/>
    </row>
    <row r="9473" spans="12:13" x14ac:dyDescent="0.2">
      <c r="L9473" s="12"/>
      <c r="M9473" s="13"/>
    </row>
    <row r="9474" spans="12:13" x14ac:dyDescent="0.2">
      <c r="L9474" s="17"/>
      <c r="M9474" s="18"/>
    </row>
    <row r="9475" spans="12:13" x14ac:dyDescent="0.2">
      <c r="L9475" s="12"/>
      <c r="M9475" s="13"/>
    </row>
    <row r="9476" spans="12:13" x14ac:dyDescent="0.2">
      <c r="L9476" s="12"/>
      <c r="M9476" s="13"/>
    </row>
    <row r="9477" spans="12:13" x14ac:dyDescent="0.2">
      <c r="L9477" s="12"/>
      <c r="M9477" s="13"/>
    </row>
    <row r="9478" spans="12:13" x14ac:dyDescent="0.2">
      <c r="L9478" s="12"/>
      <c r="M9478" s="13"/>
    </row>
    <row r="9479" spans="12:13" x14ac:dyDescent="0.2">
      <c r="L9479" s="12"/>
      <c r="M9479" s="13"/>
    </row>
    <row r="9480" spans="12:13" x14ac:dyDescent="0.2">
      <c r="L9480" s="12"/>
      <c r="M9480" s="13"/>
    </row>
    <row r="9481" spans="12:13" x14ac:dyDescent="0.2">
      <c r="L9481" s="12"/>
      <c r="M9481" s="13"/>
    </row>
    <row r="9482" spans="12:13" x14ac:dyDescent="0.2">
      <c r="L9482" s="12"/>
      <c r="M9482" s="13"/>
    </row>
    <row r="9483" spans="12:13" x14ac:dyDescent="0.2">
      <c r="L9483" s="12"/>
      <c r="M9483" s="13"/>
    </row>
    <row r="9484" spans="12:13" x14ac:dyDescent="0.2">
      <c r="L9484" s="12"/>
      <c r="M9484" s="13"/>
    </row>
    <row r="9485" spans="12:13" x14ac:dyDescent="0.2">
      <c r="L9485" s="12"/>
      <c r="M9485" s="13"/>
    </row>
    <row r="9486" spans="12:13" x14ac:dyDescent="0.2">
      <c r="L9486" s="12"/>
      <c r="M9486" s="13"/>
    </row>
    <row r="9487" spans="12:13" x14ac:dyDescent="0.2">
      <c r="L9487" s="12"/>
      <c r="M9487" s="13"/>
    </row>
    <row r="9488" spans="12:13" x14ac:dyDescent="0.2">
      <c r="L9488" s="12"/>
      <c r="M9488" s="13"/>
    </row>
    <row r="9489" spans="12:13" x14ac:dyDescent="0.2">
      <c r="L9489" s="12"/>
      <c r="M9489" s="13"/>
    </row>
    <row r="9490" spans="12:13" x14ac:dyDescent="0.2">
      <c r="L9490" s="12"/>
      <c r="M9490" s="13"/>
    </row>
    <row r="9491" spans="12:13" x14ac:dyDescent="0.2">
      <c r="L9491" s="12"/>
      <c r="M9491" s="13"/>
    </row>
    <row r="9492" spans="12:13" x14ac:dyDescent="0.2">
      <c r="L9492" s="12"/>
      <c r="M9492" s="13"/>
    </row>
    <row r="9493" spans="12:13" x14ac:dyDescent="0.2">
      <c r="L9493" s="12"/>
      <c r="M9493" s="13"/>
    </row>
    <row r="9494" spans="12:13" x14ac:dyDescent="0.2">
      <c r="L9494" s="12"/>
      <c r="M9494" s="13"/>
    </row>
    <row r="9495" spans="12:13" x14ac:dyDescent="0.2">
      <c r="L9495" s="12"/>
      <c r="M9495" s="13"/>
    </row>
    <row r="9496" spans="12:13" x14ac:dyDescent="0.2">
      <c r="L9496" s="12"/>
      <c r="M9496" s="13"/>
    </row>
    <row r="9497" spans="12:13" x14ac:dyDescent="0.2">
      <c r="L9497" s="12"/>
      <c r="M9497" s="13"/>
    </row>
    <row r="9498" spans="12:13" x14ac:dyDescent="0.2">
      <c r="L9498" s="12"/>
      <c r="M9498" s="13"/>
    </row>
    <row r="9499" spans="12:13" x14ac:dyDescent="0.2">
      <c r="L9499" s="12"/>
      <c r="M9499" s="13"/>
    </row>
    <row r="9500" spans="12:13" x14ac:dyDescent="0.2">
      <c r="L9500" s="12"/>
      <c r="M9500" s="13"/>
    </row>
    <row r="9501" spans="12:13" x14ac:dyDescent="0.2">
      <c r="L9501" s="12"/>
      <c r="M9501" s="13"/>
    </row>
    <row r="9502" spans="12:13" x14ac:dyDescent="0.2">
      <c r="L9502" s="12"/>
      <c r="M9502" s="13"/>
    </row>
    <row r="9503" spans="12:13" x14ac:dyDescent="0.2">
      <c r="L9503" s="12"/>
      <c r="M9503" s="13"/>
    </row>
    <row r="9504" spans="12:13" x14ac:dyDescent="0.2">
      <c r="L9504" s="12"/>
      <c r="M9504" s="13"/>
    </row>
    <row r="9505" spans="12:13" x14ac:dyDescent="0.2">
      <c r="L9505" s="12"/>
      <c r="M9505" s="13"/>
    </row>
    <row r="9506" spans="12:13" x14ac:dyDescent="0.2">
      <c r="L9506" s="12"/>
      <c r="M9506" s="13"/>
    </row>
    <row r="9507" spans="12:13" x14ac:dyDescent="0.2">
      <c r="L9507" s="12"/>
      <c r="M9507" s="13"/>
    </row>
    <row r="9508" spans="12:13" x14ac:dyDescent="0.2">
      <c r="L9508" s="12"/>
      <c r="M9508" s="13"/>
    </row>
    <row r="9509" spans="12:13" x14ac:dyDescent="0.2">
      <c r="L9509" s="12"/>
      <c r="M9509" s="13"/>
    </row>
    <row r="9510" spans="12:13" x14ac:dyDescent="0.2">
      <c r="L9510" s="12"/>
      <c r="M9510" s="13"/>
    </row>
    <row r="9511" spans="12:13" x14ac:dyDescent="0.2">
      <c r="L9511" s="12"/>
      <c r="M9511" s="13"/>
    </row>
    <row r="9512" spans="12:13" x14ac:dyDescent="0.2">
      <c r="L9512" s="12"/>
      <c r="M9512" s="13"/>
    </row>
    <row r="9513" spans="12:13" x14ac:dyDescent="0.2">
      <c r="L9513" s="12"/>
      <c r="M9513" s="13"/>
    </row>
    <row r="9514" spans="12:13" x14ac:dyDescent="0.2">
      <c r="L9514" s="12"/>
      <c r="M9514" s="13"/>
    </row>
    <row r="9515" spans="12:13" x14ac:dyDescent="0.2">
      <c r="L9515" s="12"/>
      <c r="M9515" s="13"/>
    </row>
    <row r="9516" spans="12:13" x14ac:dyDescent="0.2">
      <c r="L9516" s="12"/>
      <c r="M9516" s="13"/>
    </row>
    <row r="9517" spans="12:13" x14ac:dyDescent="0.2">
      <c r="L9517" s="12"/>
      <c r="M9517" s="13"/>
    </row>
    <row r="9518" spans="12:13" x14ac:dyDescent="0.2">
      <c r="L9518" s="12"/>
      <c r="M9518" s="13"/>
    </row>
    <row r="9519" spans="12:13" x14ac:dyDescent="0.2">
      <c r="L9519" s="12"/>
      <c r="M9519" s="13"/>
    </row>
    <row r="9520" spans="12:13" x14ac:dyDescent="0.2">
      <c r="L9520" s="12"/>
      <c r="M9520" s="13"/>
    </row>
    <row r="9521" spans="12:13" x14ac:dyDescent="0.2">
      <c r="L9521" s="12"/>
      <c r="M9521" s="13"/>
    </row>
    <row r="9522" spans="12:13" x14ac:dyDescent="0.2">
      <c r="L9522" s="12"/>
      <c r="M9522" s="13"/>
    </row>
    <row r="9523" spans="12:13" x14ac:dyDescent="0.2">
      <c r="L9523" s="12"/>
      <c r="M9523" s="13"/>
    </row>
    <row r="9524" spans="12:13" x14ac:dyDescent="0.2">
      <c r="L9524" s="12"/>
      <c r="M9524" s="13"/>
    </row>
    <row r="9525" spans="12:13" x14ac:dyDescent="0.2">
      <c r="L9525" s="12"/>
      <c r="M9525" s="13"/>
    </row>
    <row r="9526" spans="12:13" x14ac:dyDescent="0.2">
      <c r="L9526" s="12"/>
      <c r="M9526" s="13"/>
    </row>
    <row r="9527" spans="12:13" x14ac:dyDescent="0.2">
      <c r="L9527" s="12"/>
      <c r="M9527" s="13"/>
    </row>
    <row r="9528" spans="12:13" x14ac:dyDescent="0.2">
      <c r="L9528" s="12"/>
      <c r="M9528" s="13"/>
    </row>
    <row r="9529" spans="12:13" x14ac:dyDescent="0.2">
      <c r="L9529" s="12"/>
      <c r="M9529" s="13"/>
    </row>
    <row r="9530" spans="12:13" x14ac:dyDescent="0.2">
      <c r="L9530" s="12"/>
      <c r="M9530" s="13"/>
    </row>
    <row r="9531" spans="12:13" x14ac:dyDescent="0.2">
      <c r="L9531" s="12"/>
      <c r="M9531" s="13"/>
    </row>
    <row r="9532" spans="12:13" x14ac:dyDescent="0.2">
      <c r="L9532" s="12"/>
      <c r="M9532" s="13"/>
    </row>
    <row r="9533" spans="12:13" x14ac:dyDescent="0.2">
      <c r="L9533" s="12"/>
      <c r="M9533" s="13"/>
    </row>
    <row r="9534" spans="12:13" x14ac:dyDescent="0.2">
      <c r="L9534" s="12"/>
      <c r="M9534" s="13"/>
    </row>
    <row r="9535" spans="12:13" x14ac:dyDescent="0.2">
      <c r="L9535" s="12"/>
      <c r="M9535" s="13"/>
    </row>
    <row r="9536" spans="12:13" x14ac:dyDescent="0.2">
      <c r="L9536" s="12"/>
      <c r="M9536" s="13"/>
    </row>
    <row r="9537" spans="12:13" x14ac:dyDescent="0.2">
      <c r="L9537" s="12"/>
      <c r="M9537" s="13"/>
    </row>
    <row r="9538" spans="12:13" x14ac:dyDescent="0.2">
      <c r="L9538" s="12"/>
      <c r="M9538" s="13"/>
    </row>
    <row r="9539" spans="12:13" x14ac:dyDescent="0.2">
      <c r="L9539" s="12"/>
      <c r="M9539" s="13"/>
    </row>
    <row r="9540" spans="12:13" x14ac:dyDescent="0.2">
      <c r="L9540" s="12"/>
      <c r="M9540" s="13"/>
    </row>
    <row r="9541" spans="12:13" x14ac:dyDescent="0.2">
      <c r="L9541" s="12"/>
      <c r="M9541" s="13"/>
    </row>
    <row r="9542" spans="12:13" x14ac:dyDescent="0.2">
      <c r="L9542" s="12"/>
      <c r="M9542" s="13"/>
    </row>
    <row r="9543" spans="12:13" x14ac:dyDescent="0.2">
      <c r="L9543" s="12"/>
      <c r="M9543" s="13"/>
    </row>
    <row r="9544" spans="12:13" x14ac:dyDescent="0.2">
      <c r="L9544" s="12"/>
      <c r="M9544" s="13"/>
    </row>
    <row r="9545" spans="12:13" x14ac:dyDescent="0.2">
      <c r="L9545" s="12"/>
      <c r="M9545" s="13"/>
    </row>
    <row r="9546" spans="12:13" x14ac:dyDescent="0.2">
      <c r="L9546" s="12"/>
      <c r="M9546" s="13"/>
    </row>
    <row r="9547" spans="12:13" x14ac:dyDescent="0.2">
      <c r="L9547" s="12"/>
      <c r="M9547" s="13"/>
    </row>
    <row r="9548" spans="12:13" x14ac:dyDescent="0.2">
      <c r="L9548" s="12"/>
      <c r="M9548" s="13"/>
    </row>
    <row r="9549" spans="12:13" x14ac:dyDescent="0.2">
      <c r="L9549" s="12"/>
      <c r="M9549" s="13"/>
    </row>
    <row r="9550" spans="12:13" x14ac:dyDescent="0.2">
      <c r="L9550" s="12"/>
      <c r="M9550" s="13"/>
    </row>
    <row r="9551" spans="12:13" x14ac:dyDescent="0.2">
      <c r="L9551" s="12"/>
      <c r="M9551" s="13"/>
    </row>
    <row r="9552" spans="12:13" x14ac:dyDescent="0.2">
      <c r="L9552" s="12"/>
      <c r="M9552" s="13"/>
    </row>
    <row r="9553" spans="12:13" x14ac:dyDescent="0.2">
      <c r="L9553" s="12"/>
      <c r="M9553" s="13"/>
    </row>
    <row r="9554" spans="12:13" x14ac:dyDescent="0.2">
      <c r="L9554" s="12"/>
      <c r="M9554" s="13"/>
    </row>
    <row r="9555" spans="12:13" x14ac:dyDescent="0.2">
      <c r="L9555" s="12"/>
      <c r="M9555" s="13"/>
    </row>
    <row r="9556" spans="12:13" x14ac:dyDescent="0.2">
      <c r="L9556" s="12"/>
      <c r="M9556" s="13"/>
    </row>
    <row r="9557" spans="12:13" x14ac:dyDescent="0.2">
      <c r="L9557" s="12"/>
      <c r="M9557" s="13"/>
    </row>
    <row r="9558" spans="12:13" x14ac:dyDescent="0.2">
      <c r="L9558" s="12"/>
      <c r="M9558" s="13"/>
    </row>
    <row r="9559" spans="12:13" x14ac:dyDescent="0.2">
      <c r="L9559" s="12"/>
      <c r="M9559" s="13"/>
    </row>
    <row r="9560" spans="12:13" x14ac:dyDescent="0.2">
      <c r="L9560" s="12"/>
      <c r="M9560" s="13"/>
    </row>
    <row r="9561" spans="12:13" x14ac:dyDescent="0.2">
      <c r="L9561" s="12"/>
      <c r="M9561" s="13"/>
    </row>
    <row r="9562" spans="12:13" x14ac:dyDescent="0.2">
      <c r="L9562" s="12"/>
      <c r="M9562" s="13"/>
    </row>
    <row r="9563" spans="12:13" x14ac:dyDescent="0.2">
      <c r="L9563" s="12"/>
      <c r="M9563" s="13"/>
    </row>
    <row r="9564" spans="12:13" x14ac:dyDescent="0.2">
      <c r="L9564" s="12"/>
      <c r="M9564" s="13"/>
    </row>
    <row r="9565" spans="12:13" x14ac:dyDescent="0.2">
      <c r="L9565" s="12"/>
      <c r="M9565" s="13"/>
    </row>
    <row r="9566" spans="12:13" x14ac:dyDescent="0.2">
      <c r="L9566" s="12"/>
      <c r="M9566" s="13"/>
    </row>
    <row r="9567" spans="12:13" x14ac:dyDescent="0.2">
      <c r="L9567" s="12"/>
      <c r="M9567" s="13"/>
    </row>
    <row r="9568" spans="12:13" x14ac:dyDescent="0.2">
      <c r="L9568" s="12"/>
      <c r="M9568" s="13"/>
    </row>
    <row r="9569" spans="12:13" x14ac:dyDescent="0.2">
      <c r="L9569" s="12"/>
      <c r="M9569" s="13"/>
    </row>
    <row r="9570" spans="12:13" x14ac:dyDescent="0.2">
      <c r="L9570" s="12"/>
      <c r="M9570" s="13"/>
    </row>
    <row r="9571" spans="12:13" x14ac:dyDescent="0.2">
      <c r="L9571" s="12"/>
      <c r="M9571" s="13"/>
    </row>
    <row r="9572" spans="12:13" x14ac:dyDescent="0.2">
      <c r="L9572" s="12"/>
      <c r="M9572" s="13"/>
    </row>
    <row r="9573" spans="12:13" x14ac:dyDescent="0.2">
      <c r="L9573" s="12"/>
      <c r="M9573" s="13"/>
    </row>
    <row r="9574" spans="12:13" x14ac:dyDescent="0.2">
      <c r="L9574" s="12"/>
      <c r="M9574" s="13"/>
    </row>
    <row r="9575" spans="12:13" x14ac:dyDescent="0.2">
      <c r="L9575" s="12"/>
      <c r="M9575" s="13"/>
    </row>
    <row r="9576" spans="12:13" x14ac:dyDescent="0.2">
      <c r="L9576" s="12"/>
      <c r="M9576" s="13"/>
    </row>
    <row r="9577" spans="12:13" x14ac:dyDescent="0.2">
      <c r="L9577" s="12"/>
      <c r="M9577" s="13"/>
    </row>
    <row r="9578" spans="12:13" x14ac:dyDescent="0.2">
      <c r="L9578" s="12"/>
      <c r="M9578" s="13"/>
    </row>
    <row r="9579" spans="12:13" x14ac:dyDescent="0.2">
      <c r="L9579" s="12"/>
      <c r="M9579" s="13"/>
    </row>
    <row r="9580" spans="12:13" x14ac:dyDescent="0.2">
      <c r="L9580" s="12"/>
      <c r="M9580" s="13"/>
    </row>
    <row r="9581" spans="12:13" x14ac:dyDescent="0.2">
      <c r="L9581" s="12"/>
      <c r="M9581" s="13"/>
    </row>
    <row r="9582" spans="12:13" x14ac:dyDescent="0.2">
      <c r="L9582" s="12"/>
      <c r="M9582" s="13"/>
    </row>
    <row r="9583" spans="12:13" x14ac:dyDescent="0.2">
      <c r="L9583" s="12"/>
      <c r="M9583" s="13"/>
    </row>
    <row r="9584" spans="12:13" x14ac:dyDescent="0.2">
      <c r="L9584" s="12"/>
      <c r="M9584" s="13"/>
    </row>
    <row r="9585" spans="12:13" x14ac:dyDescent="0.2">
      <c r="L9585" s="12"/>
      <c r="M9585" s="13"/>
    </row>
    <row r="9586" spans="12:13" x14ac:dyDescent="0.2">
      <c r="L9586" s="12"/>
      <c r="M9586" s="13"/>
    </row>
    <row r="9587" spans="12:13" x14ac:dyDescent="0.2">
      <c r="L9587" s="12"/>
      <c r="M9587" s="13"/>
    </row>
    <row r="9588" spans="12:13" x14ac:dyDescent="0.2">
      <c r="L9588" s="12"/>
      <c r="M9588" s="13"/>
    </row>
    <row r="9589" spans="12:13" x14ac:dyDescent="0.2">
      <c r="L9589" s="12"/>
      <c r="M9589" s="13"/>
    </row>
    <row r="9590" spans="12:13" x14ac:dyDescent="0.2">
      <c r="L9590" s="12"/>
      <c r="M9590" s="13"/>
    </row>
    <row r="9591" spans="12:13" x14ac:dyDescent="0.2">
      <c r="L9591" s="12"/>
      <c r="M9591" s="13"/>
    </row>
    <row r="9592" spans="12:13" x14ac:dyDescent="0.2">
      <c r="L9592" s="12"/>
      <c r="M9592" s="13"/>
    </row>
    <row r="9593" spans="12:13" x14ac:dyDescent="0.2">
      <c r="L9593" s="12"/>
      <c r="M9593" s="13"/>
    </row>
    <row r="9594" spans="12:13" x14ac:dyDescent="0.2">
      <c r="L9594" s="12"/>
      <c r="M9594" s="13"/>
    </row>
    <row r="9595" spans="12:13" x14ac:dyDescent="0.2">
      <c r="L9595" s="12"/>
      <c r="M9595" s="13"/>
    </row>
    <row r="9596" spans="12:13" x14ac:dyDescent="0.2">
      <c r="L9596" s="12"/>
      <c r="M9596" s="13"/>
    </row>
    <row r="9597" spans="12:13" x14ac:dyDescent="0.2">
      <c r="L9597" s="12"/>
      <c r="M9597" s="13"/>
    </row>
    <row r="9598" spans="12:13" x14ac:dyDescent="0.2">
      <c r="L9598" s="12"/>
      <c r="M9598" s="13"/>
    </row>
    <row r="9599" spans="12:13" x14ac:dyDescent="0.2">
      <c r="L9599" s="12"/>
      <c r="M9599" s="13"/>
    </row>
    <row r="9600" spans="12:13" x14ac:dyDescent="0.2">
      <c r="L9600" s="12"/>
      <c r="M9600" s="13"/>
    </row>
    <row r="9601" spans="12:13" x14ac:dyDescent="0.2">
      <c r="L9601" s="12"/>
      <c r="M9601" s="13"/>
    </row>
    <row r="9602" spans="12:13" x14ac:dyDescent="0.2">
      <c r="L9602" s="12"/>
      <c r="M9602" s="13"/>
    </row>
    <row r="9603" spans="12:13" x14ac:dyDescent="0.2">
      <c r="L9603" s="12"/>
      <c r="M9603" s="13"/>
    </row>
    <row r="9604" spans="12:13" x14ac:dyDescent="0.2">
      <c r="L9604" s="12"/>
      <c r="M9604" s="13"/>
    </row>
    <row r="9605" spans="12:13" x14ac:dyDescent="0.2">
      <c r="L9605" s="12"/>
      <c r="M9605" s="13"/>
    </row>
    <row r="9606" spans="12:13" x14ac:dyDescent="0.2">
      <c r="L9606" s="12"/>
      <c r="M9606" s="13"/>
    </row>
    <row r="9607" spans="12:13" x14ac:dyDescent="0.2">
      <c r="L9607" s="12"/>
      <c r="M9607" s="13"/>
    </row>
    <row r="9608" spans="12:13" x14ac:dyDescent="0.2">
      <c r="L9608" s="12"/>
      <c r="M9608" s="13"/>
    </row>
    <row r="9609" spans="12:13" x14ac:dyDescent="0.2">
      <c r="L9609" s="12"/>
      <c r="M9609" s="13"/>
    </row>
    <row r="9610" spans="12:13" x14ac:dyDescent="0.2">
      <c r="L9610" s="12"/>
      <c r="M9610" s="13"/>
    </row>
    <row r="9611" spans="12:13" x14ac:dyDescent="0.2">
      <c r="L9611" s="12"/>
      <c r="M9611" s="13"/>
    </row>
    <row r="9612" spans="12:13" x14ac:dyDescent="0.2">
      <c r="L9612" s="12"/>
      <c r="M9612" s="13"/>
    </row>
    <row r="9613" spans="12:13" x14ac:dyDescent="0.2">
      <c r="L9613" s="12"/>
      <c r="M9613" s="13"/>
    </row>
    <row r="9614" spans="12:13" x14ac:dyDescent="0.2">
      <c r="L9614" s="12"/>
      <c r="M9614" s="13"/>
    </row>
    <row r="9615" spans="12:13" x14ac:dyDescent="0.2">
      <c r="L9615" s="12"/>
      <c r="M9615" s="13"/>
    </row>
    <row r="9616" spans="12:13" x14ac:dyDescent="0.2">
      <c r="L9616" s="12"/>
      <c r="M9616" s="13"/>
    </row>
    <row r="9617" spans="12:13" x14ac:dyDescent="0.2">
      <c r="L9617" s="12"/>
      <c r="M9617" s="13"/>
    </row>
    <row r="9618" spans="12:13" x14ac:dyDescent="0.2">
      <c r="L9618" s="12"/>
      <c r="M9618" s="13"/>
    </row>
    <row r="9619" spans="12:13" x14ac:dyDescent="0.2">
      <c r="L9619" s="12"/>
      <c r="M9619" s="13"/>
    </row>
    <row r="9620" spans="12:13" x14ac:dyDescent="0.2">
      <c r="L9620" s="12"/>
      <c r="M9620" s="13"/>
    </row>
    <row r="9621" spans="12:13" x14ac:dyDescent="0.2">
      <c r="L9621" s="12"/>
      <c r="M9621" s="13"/>
    </row>
    <row r="9622" spans="12:13" x14ac:dyDescent="0.2">
      <c r="L9622" s="12"/>
      <c r="M9622" s="13"/>
    </row>
    <row r="9623" spans="12:13" x14ac:dyDescent="0.2">
      <c r="L9623" s="12"/>
      <c r="M9623" s="13"/>
    </row>
    <row r="9624" spans="12:13" x14ac:dyDescent="0.2">
      <c r="L9624" s="12"/>
      <c r="M9624" s="13"/>
    </row>
    <row r="9625" spans="12:13" x14ac:dyDescent="0.2">
      <c r="L9625" s="12"/>
      <c r="M9625" s="13"/>
    </row>
    <row r="9626" spans="12:13" x14ac:dyDescent="0.2">
      <c r="L9626" s="12"/>
      <c r="M9626" s="13"/>
    </row>
    <row r="9627" spans="12:13" x14ac:dyDescent="0.2">
      <c r="L9627" s="12"/>
      <c r="M9627" s="13"/>
    </row>
    <row r="9628" spans="12:13" x14ac:dyDescent="0.2">
      <c r="L9628" s="12"/>
      <c r="M9628" s="13"/>
    </row>
    <row r="9629" spans="12:13" x14ac:dyDescent="0.2">
      <c r="L9629" s="12"/>
      <c r="M9629" s="13"/>
    </row>
    <row r="9630" spans="12:13" x14ac:dyDescent="0.2">
      <c r="L9630" s="12"/>
      <c r="M9630" s="13"/>
    </row>
    <row r="9631" spans="12:13" x14ac:dyDescent="0.2">
      <c r="L9631" s="12"/>
      <c r="M9631" s="13"/>
    </row>
    <row r="9632" spans="12:13" x14ac:dyDescent="0.2">
      <c r="L9632" s="12"/>
      <c r="M9632" s="13"/>
    </row>
    <row r="9633" spans="12:13" x14ac:dyDescent="0.2">
      <c r="L9633" s="12"/>
      <c r="M9633" s="13"/>
    </row>
    <row r="9634" spans="12:13" x14ac:dyDescent="0.2">
      <c r="L9634" s="12"/>
      <c r="M9634" s="13"/>
    </row>
    <row r="9635" spans="12:13" x14ac:dyDescent="0.2">
      <c r="L9635" s="12"/>
      <c r="M9635" s="13"/>
    </row>
    <row r="9636" spans="12:13" x14ac:dyDescent="0.2">
      <c r="L9636" s="12"/>
      <c r="M9636" s="13"/>
    </row>
    <row r="9637" spans="12:13" x14ac:dyDescent="0.2">
      <c r="L9637" s="12"/>
      <c r="M9637" s="13"/>
    </row>
    <row r="9638" spans="12:13" x14ac:dyDescent="0.2">
      <c r="L9638" s="12"/>
      <c r="M9638" s="13"/>
    </row>
    <row r="9639" spans="12:13" x14ac:dyDescent="0.2">
      <c r="L9639" s="12"/>
      <c r="M9639" s="13"/>
    </row>
    <row r="9640" spans="12:13" x14ac:dyDescent="0.2">
      <c r="L9640" s="12"/>
      <c r="M9640" s="13"/>
    </row>
    <row r="9641" spans="12:13" x14ac:dyDescent="0.2">
      <c r="L9641" s="12"/>
      <c r="M9641" s="13"/>
    </row>
    <row r="9642" spans="12:13" x14ac:dyDescent="0.2">
      <c r="L9642" s="12"/>
      <c r="M9642" s="13"/>
    </row>
    <row r="9643" spans="12:13" x14ac:dyDescent="0.2">
      <c r="L9643" s="12"/>
      <c r="M9643" s="13"/>
    </row>
    <row r="9644" spans="12:13" x14ac:dyDescent="0.2">
      <c r="L9644" s="12"/>
      <c r="M9644" s="13"/>
    </row>
    <row r="9645" spans="12:13" x14ac:dyDescent="0.2">
      <c r="L9645" s="12"/>
      <c r="M9645" s="13"/>
    </row>
    <row r="9646" spans="12:13" x14ac:dyDescent="0.2">
      <c r="L9646" s="12"/>
      <c r="M9646" s="13"/>
    </row>
    <row r="9647" spans="12:13" x14ac:dyDescent="0.2">
      <c r="L9647" s="12"/>
      <c r="M9647" s="13"/>
    </row>
    <row r="9648" spans="12:13" x14ac:dyDescent="0.2">
      <c r="L9648" s="12"/>
      <c r="M9648" s="13"/>
    </row>
    <row r="9649" spans="12:13" x14ac:dyDescent="0.2">
      <c r="L9649" s="12"/>
      <c r="M9649" s="13"/>
    </row>
    <row r="9650" spans="12:13" x14ac:dyDescent="0.2">
      <c r="L9650" s="12"/>
      <c r="M9650" s="13"/>
    </row>
    <row r="9651" spans="12:13" x14ac:dyDescent="0.2">
      <c r="L9651" s="12"/>
      <c r="M9651" s="13"/>
    </row>
    <row r="9652" spans="12:13" x14ac:dyDescent="0.2">
      <c r="L9652" s="12"/>
      <c r="M9652" s="13"/>
    </row>
    <row r="9653" spans="12:13" x14ac:dyDescent="0.2">
      <c r="L9653" s="12"/>
      <c r="M9653" s="13"/>
    </row>
    <row r="9654" spans="12:13" x14ac:dyDescent="0.2">
      <c r="L9654" s="12"/>
      <c r="M9654" s="13"/>
    </row>
    <row r="9655" spans="12:13" x14ac:dyDescent="0.2">
      <c r="L9655" s="12"/>
      <c r="M9655" s="13"/>
    </row>
    <row r="9656" spans="12:13" x14ac:dyDescent="0.2">
      <c r="L9656" s="12"/>
      <c r="M9656" s="13"/>
    </row>
    <row r="9657" spans="12:13" x14ac:dyDescent="0.2">
      <c r="L9657" s="12"/>
      <c r="M9657" s="13"/>
    </row>
    <row r="9658" spans="12:13" x14ac:dyDescent="0.2">
      <c r="L9658" s="12"/>
      <c r="M9658" s="13"/>
    </row>
    <row r="9659" spans="12:13" x14ac:dyDescent="0.2">
      <c r="L9659" s="12"/>
      <c r="M9659" s="13"/>
    </row>
    <row r="9660" spans="12:13" x14ac:dyDescent="0.2">
      <c r="L9660" s="12"/>
      <c r="M9660" s="13"/>
    </row>
    <row r="9661" spans="12:13" x14ac:dyDescent="0.2">
      <c r="L9661" s="12"/>
      <c r="M9661" s="13"/>
    </row>
    <row r="9662" spans="12:13" x14ac:dyDescent="0.2">
      <c r="L9662" s="12"/>
      <c r="M9662" s="13"/>
    </row>
    <row r="9663" spans="12:13" x14ac:dyDescent="0.2">
      <c r="L9663" s="12"/>
      <c r="M9663" s="13"/>
    </row>
    <row r="9664" spans="12:13" x14ac:dyDescent="0.2">
      <c r="L9664" s="12"/>
      <c r="M9664" s="13"/>
    </row>
    <row r="9665" spans="12:13" x14ac:dyDescent="0.2">
      <c r="L9665" s="12"/>
      <c r="M9665" s="13"/>
    </row>
    <row r="9666" spans="12:13" x14ac:dyDescent="0.2">
      <c r="L9666" s="12"/>
      <c r="M9666" s="13"/>
    </row>
    <row r="9667" spans="12:13" x14ac:dyDescent="0.2">
      <c r="L9667" s="12"/>
      <c r="M9667" s="13"/>
    </row>
    <row r="9668" spans="12:13" x14ac:dyDescent="0.2">
      <c r="L9668" s="12"/>
      <c r="M9668" s="13"/>
    </row>
    <row r="9669" spans="12:13" x14ac:dyDescent="0.2">
      <c r="L9669" s="12"/>
      <c r="M9669" s="13"/>
    </row>
    <row r="9670" spans="12:13" x14ac:dyDescent="0.2">
      <c r="L9670" s="12"/>
      <c r="M9670" s="13"/>
    </row>
    <row r="9671" spans="12:13" x14ac:dyDescent="0.2">
      <c r="L9671" s="12"/>
      <c r="M9671" s="13"/>
    </row>
    <row r="9672" spans="12:13" x14ac:dyDescent="0.2">
      <c r="L9672" s="12"/>
      <c r="M9672" s="13"/>
    </row>
    <row r="9673" spans="12:13" x14ac:dyDescent="0.2">
      <c r="L9673" s="12"/>
      <c r="M9673" s="13"/>
    </row>
    <row r="9674" spans="12:13" x14ac:dyDescent="0.2">
      <c r="L9674" s="12"/>
      <c r="M9674" s="13"/>
    </row>
    <row r="9675" spans="12:13" x14ac:dyDescent="0.2">
      <c r="L9675" s="12"/>
      <c r="M9675" s="13"/>
    </row>
    <row r="9676" spans="12:13" x14ac:dyDescent="0.2">
      <c r="L9676" s="12"/>
      <c r="M9676" s="13"/>
    </row>
    <row r="9677" spans="12:13" x14ac:dyDescent="0.2">
      <c r="L9677" s="12"/>
      <c r="M9677" s="13"/>
    </row>
    <row r="9678" spans="12:13" x14ac:dyDescent="0.2">
      <c r="L9678" s="12"/>
      <c r="M9678" s="13"/>
    </row>
    <row r="9679" spans="12:13" x14ac:dyDescent="0.2">
      <c r="L9679" s="12"/>
      <c r="M9679" s="13"/>
    </row>
    <row r="9680" spans="12:13" x14ac:dyDescent="0.2">
      <c r="L9680" s="12"/>
      <c r="M9680" s="13"/>
    </row>
    <row r="9681" spans="12:13" x14ac:dyDescent="0.2">
      <c r="L9681" s="12"/>
      <c r="M9681" s="13"/>
    </row>
    <row r="9682" spans="12:13" x14ac:dyDescent="0.2">
      <c r="L9682" s="12"/>
      <c r="M9682" s="13"/>
    </row>
    <row r="9683" spans="12:13" x14ac:dyDescent="0.2">
      <c r="L9683" s="12"/>
      <c r="M9683" s="13"/>
    </row>
    <row r="9684" spans="12:13" x14ac:dyDescent="0.2">
      <c r="L9684" s="12"/>
      <c r="M9684" s="13"/>
    </row>
    <row r="9685" spans="12:13" x14ac:dyDescent="0.2">
      <c r="L9685" s="12"/>
      <c r="M9685" s="13"/>
    </row>
    <row r="9686" spans="12:13" x14ac:dyDescent="0.2">
      <c r="L9686" s="12"/>
      <c r="M9686" s="13"/>
    </row>
    <row r="9687" spans="12:13" x14ac:dyDescent="0.2">
      <c r="L9687" s="12"/>
      <c r="M9687" s="13"/>
    </row>
    <row r="9688" spans="12:13" x14ac:dyDescent="0.2">
      <c r="L9688" s="12"/>
      <c r="M9688" s="13"/>
    </row>
    <row r="9689" spans="12:13" x14ac:dyDescent="0.2">
      <c r="L9689" s="12"/>
      <c r="M9689" s="13"/>
    </row>
    <row r="9690" spans="12:13" x14ac:dyDescent="0.2">
      <c r="L9690" s="12"/>
      <c r="M9690" s="13"/>
    </row>
    <row r="9691" spans="12:13" x14ac:dyDescent="0.2">
      <c r="L9691" s="12"/>
      <c r="M9691" s="13"/>
    </row>
    <row r="9692" spans="12:13" x14ac:dyDescent="0.2">
      <c r="L9692" s="12"/>
      <c r="M9692" s="13"/>
    </row>
    <row r="9693" spans="12:13" x14ac:dyDescent="0.2">
      <c r="L9693" s="12"/>
      <c r="M9693" s="13"/>
    </row>
    <row r="9694" spans="12:13" x14ac:dyDescent="0.2">
      <c r="L9694" s="12"/>
      <c r="M9694" s="13"/>
    </row>
    <row r="9695" spans="12:13" x14ac:dyDescent="0.2">
      <c r="L9695" s="12"/>
      <c r="M9695" s="13"/>
    </row>
    <row r="9696" spans="12:13" x14ac:dyDescent="0.2">
      <c r="L9696" s="12"/>
      <c r="M9696" s="13"/>
    </row>
    <row r="9697" spans="12:13" x14ac:dyDescent="0.2">
      <c r="L9697" s="12"/>
      <c r="M9697" s="13"/>
    </row>
    <row r="9698" spans="12:13" x14ac:dyDescent="0.2">
      <c r="L9698" s="12"/>
      <c r="M9698" s="13"/>
    </row>
    <row r="9699" spans="12:13" x14ac:dyDescent="0.2">
      <c r="L9699" s="12"/>
      <c r="M9699" s="13"/>
    </row>
    <row r="9700" spans="12:13" x14ac:dyDescent="0.2">
      <c r="L9700" s="12"/>
      <c r="M9700" s="13"/>
    </row>
    <row r="9701" spans="12:13" x14ac:dyDescent="0.2">
      <c r="L9701" s="12"/>
      <c r="M9701" s="13"/>
    </row>
    <row r="9702" spans="12:13" x14ac:dyDescent="0.2">
      <c r="L9702" s="12"/>
      <c r="M9702" s="13"/>
    </row>
    <row r="9703" spans="12:13" x14ac:dyDescent="0.2">
      <c r="L9703" s="12"/>
      <c r="M9703" s="13"/>
    </row>
    <row r="9704" spans="12:13" x14ac:dyDescent="0.2">
      <c r="L9704" s="12"/>
      <c r="M9704" s="13"/>
    </row>
    <row r="9705" spans="12:13" x14ac:dyDescent="0.2">
      <c r="L9705" s="12"/>
      <c r="M9705" s="13"/>
    </row>
    <row r="9706" spans="12:13" x14ac:dyDescent="0.2">
      <c r="L9706" s="12"/>
      <c r="M9706" s="13"/>
    </row>
    <row r="9707" spans="12:13" x14ac:dyDescent="0.2">
      <c r="L9707" s="12"/>
      <c r="M9707" s="13"/>
    </row>
    <row r="9708" spans="12:13" x14ac:dyDescent="0.2">
      <c r="L9708" s="12"/>
      <c r="M9708" s="13"/>
    </row>
    <row r="9709" spans="12:13" x14ac:dyDescent="0.2">
      <c r="L9709" s="12"/>
      <c r="M9709" s="13"/>
    </row>
    <row r="9710" spans="12:13" x14ac:dyDescent="0.2">
      <c r="L9710" s="12"/>
      <c r="M9710" s="13"/>
    </row>
    <row r="9711" spans="12:13" x14ac:dyDescent="0.2">
      <c r="L9711" s="12"/>
      <c r="M9711" s="13"/>
    </row>
    <row r="9712" spans="12:13" x14ac:dyDescent="0.2">
      <c r="L9712" s="12"/>
      <c r="M9712" s="13"/>
    </row>
    <row r="9713" spans="12:13" x14ac:dyDescent="0.2">
      <c r="L9713" s="12"/>
      <c r="M9713" s="13"/>
    </row>
    <row r="9714" spans="12:13" x14ac:dyDescent="0.2">
      <c r="L9714" s="12"/>
      <c r="M9714" s="13"/>
    </row>
    <row r="9715" spans="12:13" x14ac:dyDescent="0.2">
      <c r="L9715" s="12"/>
      <c r="M9715" s="13"/>
    </row>
    <row r="9716" spans="12:13" x14ac:dyDescent="0.2">
      <c r="L9716" s="12"/>
      <c r="M9716" s="13"/>
    </row>
    <row r="9717" spans="12:13" x14ac:dyDescent="0.2">
      <c r="L9717" s="12"/>
      <c r="M9717" s="13"/>
    </row>
    <row r="9718" spans="12:13" x14ac:dyDescent="0.2">
      <c r="L9718" s="12"/>
      <c r="M9718" s="13"/>
    </row>
    <row r="9719" spans="12:13" x14ac:dyDescent="0.2">
      <c r="L9719" s="12"/>
      <c r="M9719" s="13"/>
    </row>
    <row r="9720" spans="12:13" x14ac:dyDescent="0.2">
      <c r="L9720" s="12"/>
      <c r="M9720" s="13"/>
    </row>
    <row r="9721" spans="12:13" x14ac:dyDescent="0.2">
      <c r="L9721" s="12"/>
      <c r="M9721" s="13"/>
    </row>
    <row r="9722" spans="12:13" x14ac:dyDescent="0.2">
      <c r="L9722" s="12"/>
      <c r="M9722" s="13"/>
    </row>
    <row r="9723" spans="12:13" x14ac:dyDescent="0.2">
      <c r="L9723" s="12"/>
      <c r="M9723" s="13"/>
    </row>
    <row r="9724" spans="12:13" x14ac:dyDescent="0.2">
      <c r="L9724" s="12"/>
      <c r="M9724" s="13"/>
    </row>
    <row r="9725" spans="12:13" x14ac:dyDescent="0.2">
      <c r="L9725" s="12"/>
      <c r="M9725" s="13"/>
    </row>
    <row r="9726" spans="12:13" x14ac:dyDescent="0.2">
      <c r="L9726" s="12"/>
      <c r="M9726" s="13"/>
    </row>
    <row r="9727" spans="12:13" x14ac:dyDescent="0.2">
      <c r="L9727" s="12"/>
      <c r="M9727" s="13"/>
    </row>
    <row r="9728" spans="12:13" x14ac:dyDescent="0.2">
      <c r="L9728" s="12"/>
      <c r="M9728" s="13"/>
    </row>
    <row r="9729" spans="12:13" x14ac:dyDescent="0.2">
      <c r="L9729" s="12"/>
      <c r="M9729" s="13"/>
    </row>
    <row r="9730" spans="12:13" x14ac:dyDescent="0.2">
      <c r="L9730" s="17"/>
      <c r="M9730" s="18"/>
    </row>
    <row r="9731" spans="12:13" x14ac:dyDescent="0.2">
      <c r="L9731" s="12"/>
      <c r="M9731" s="13"/>
    </row>
    <row r="9732" spans="12:13" x14ac:dyDescent="0.2">
      <c r="L9732" s="12"/>
      <c r="M9732" s="13"/>
    </row>
    <row r="9733" spans="12:13" x14ac:dyDescent="0.2">
      <c r="L9733" s="12"/>
      <c r="M9733" s="13"/>
    </row>
    <row r="9734" spans="12:13" x14ac:dyDescent="0.2">
      <c r="L9734" s="12"/>
      <c r="M9734" s="13"/>
    </row>
    <row r="9735" spans="12:13" x14ac:dyDescent="0.2">
      <c r="L9735" s="12"/>
      <c r="M9735" s="13"/>
    </row>
    <row r="9736" spans="12:13" x14ac:dyDescent="0.2">
      <c r="L9736" s="12"/>
      <c r="M9736" s="13"/>
    </row>
    <row r="9737" spans="12:13" x14ac:dyDescent="0.2">
      <c r="L9737" s="12"/>
      <c r="M9737" s="13"/>
    </row>
    <row r="9738" spans="12:13" x14ac:dyDescent="0.2">
      <c r="L9738" s="12"/>
      <c r="M9738" s="13"/>
    </row>
    <row r="9739" spans="12:13" x14ac:dyDescent="0.2">
      <c r="L9739" s="12"/>
      <c r="M9739" s="13"/>
    </row>
    <row r="9740" spans="12:13" x14ac:dyDescent="0.2">
      <c r="L9740" s="12"/>
      <c r="M9740" s="13"/>
    </row>
    <row r="9741" spans="12:13" x14ac:dyDescent="0.2">
      <c r="L9741" s="12"/>
      <c r="M9741" s="13"/>
    </row>
    <row r="9742" spans="12:13" x14ac:dyDescent="0.2">
      <c r="L9742" s="12"/>
      <c r="M9742" s="13"/>
    </row>
    <row r="9743" spans="12:13" x14ac:dyDescent="0.2">
      <c r="L9743" s="12"/>
      <c r="M9743" s="13"/>
    </row>
    <row r="9744" spans="12:13" x14ac:dyDescent="0.2">
      <c r="L9744" s="12"/>
      <c r="M9744" s="13"/>
    </row>
    <row r="9745" spans="12:13" x14ac:dyDescent="0.2">
      <c r="L9745" s="12"/>
      <c r="M9745" s="13"/>
    </row>
    <row r="9746" spans="12:13" x14ac:dyDescent="0.2">
      <c r="L9746" s="12"/>
      <c r="M9746" s="13"/>
    </row>
    <row r="9747" spans="12:13" x14ac:dyDescent="0.2">
      <c r="L9747" s="12"/>
      <c r="M9747" s="13"/>
    </row>
    <row r="9748" spans="12:13" x14ac:dyDescent="0.2">
      <c r="L9748" s="12"/>
      <c r="M9748" s="13"/>
    </row>
    <row r="9749" spans="12:13" x14ac:dyDescent="0.2">
      <c r="L9749" s="12"/>
      <c r="M9749" s="13"/>
    </row>
    <row r="9750" spans="12:13" x14ac:dyDescent="0.2">
      <c r="L9750" s="12"/>
      <c r="M9750" s="13"/>
    </row>
    <row r="9751" spans="12:13" x14ac:dyDescent="0.2">
      <c r="L9751" s="12"/>
      <c r="M9751" s="13"/>
    </row>
    <row r="9752" spans="12:13" x14ac:dyDescent="0.2">
      <c r="L9752" s="12"/>
      <c r="M9752" s="13"/>
    </row>
    <row r="9753" spans="12:13" x14ac:dyDescent="0.2">
      <c r="L9753" s="12"/>
      <c r="M9753" s="13"/>
    </row>
    <row r="9754" spans="12:13" x14ac:dyDescent="0.2">
      <c r="L9754" s="12"/>
      <c r="M9754" s="13"/>
    </row>
    <row r="9755" spans="12:13" x14ac:dyDescent="0.2">
      <c r="L9755" s="12"/>
      <c r="M9755" s="13"/>
    </row>
    <row r="9756" spans="12:13" x14ac:dyDescent="0.2">
      <c r="L9756" s="12"/>
      <c r="M9756" s="13"/>
    </row>
    <row r="9757" spans="12:13" x14ac:dyDescent="0.2">
      <c r="L9757" s="12"/>
      <c r="M9757" s="13"/>
    </row>
    <row r="9758" spans="12:13" x14ac:dyDescent="0.2">
      <c r="L9758" s="12"/>
      <c r="M9758" s="13"/>
    </row>
    <row r="9759" spans="12:13" x14ac:dyDescent="0.2">
      <c r="L9759" s="12"/>
      <c r="M9759" s="13"/>
    </row>
    <row r="9760" spans="12:13" x14ac:dyDescent="0.2">
      <c r="L9760" s="12"/>
      <c r="M9760" s="13"/>
    </row>
    <row r="9761" spans="12:13" x14ac:dyDescent="0.2">
      <c r="L9761" s="12"/>
      <c r="M9761" s="13"/>
    </row>
    <row r="9762" spans="12:13" x14ac:dyDescent="0.2">
      <c r="L9762" s="12"/>
      <c r="M9762" s="13"/>
    </row>
    <row r="9763" spans="12:13" x14ac:dyDescent="0.2">
      <c r="L9763" s="12"/>
      <c r="M9763" s="13"/>
    </row>
    <row r="9764" spans="12:13" x14ac:dyDescent="0.2">
      <c r="L9764" s="12"/>
      <c r="M9764" s="13"/>
    </row>
    <row r="9765" spans="12:13" x14ac:dyDescent="0.2">
      <c r="L9765" s="12"/>
      <c r="M9765" s="13"/>
    </row>
    <row r="9766" spans="12:13" x14ac:dyDescent="0.2">
      <c r="L9766" s="12"/>
      <c r="M9766" s="13"/>
    </row>
    <row r="9767" spans="12:13" x14ac:dyDescent="0.2">
      <c r="L9767" s="12"/>
      <c r="M9767" s="13"/>
    </row>
    <row r="9768" spans="12:13" x14ac:dyDescent="0.2">
      <c r="L9768" s="12"/>
      <c r="M9768" s="13"/>
    </row>
    <row r="9769" spans="12:13" x14ac:dyDescent="0.2">
      <c r="L9769" s="12"/>
      <c r="M9769" s="13"/>
    </row>
    <row r="9770" spans="12:13" x14ac:dyDescent="0.2">
      <c r="L9770" s="12"/>
      <c r="M9770" s="13"/>
    </row>
    <row r="9771" spans="12:13" x14ac:dyDescent="0.2">
      <c r="L9771" s="12"/>
      <c r="M9771" s="13"/>
    </row>
    <row r="9772" spans="12:13" x14ac:dyDescent="0.2">
      <c r="L9772" s="12"/>
      <c r="M9772" s="13"/>
    </row>
    <row r="9773" spans="12:13" x14ac:dyDescent="0.2">
      <c r="L9773" s="12"/>
      <c r="M9773" s="13"/>
    </row>
    <row r="9774" spans="12:13" x14ac:dyDescent="0.2">
      <c r="L9774" s="12"/>
      <c r="M9774" s="13"/>
    </row>
    <row r="9775" spans="12:13" x14ac:dyDescent="0.2">
      <c r="L9775" s="12"/>
      <c r="M9775" s="13"/>
    </row>
    <row r="9776" spans="12:13" x14ac:dyDescent="0.2">
      <c r="L9776" s="12"/>
      <c r="M9776" s="13"/>
    </row>
    <row r="9777" spans="12:13" x14ac:dyDescent="0.2">
      <c r="L9777" s="12"/>
      <c r="M9777" s="13"/>
    </row>
    <row r="9778" spans="12:13" x14ac:dyDescent="0.2">
      <c r="L9778" s="12"/>
      <c r="M9778" s="13"/>
    </row>
    <row r="9779" spans="12:13" x14ac:dyDescent="0.2">
      <c r="L9779" s="12"/>
      <c r="M9779" s="13"/>
    </row>
    <row r="9780" spans="12:13" x14ac:dyDescent="0.2">
      <c r="L9780" s="12"/>
      <c r="M9780" s="13"/>
    </row>
    <row r="9781" spans="12:13" x14ac:dyDescent="0.2">
      <c r="L9781" s="12"/>
      <c r="M9781" s="13"/>
    </row>
    <row r="9782" spans="12:13" x14ac:dyDescent="0.2">
      <c r="L9782" s="12"/>
      <c r="M9782" s="13"/>
    </row>
    <row r="9783" spans="12:13" x14ac:dyDescent="0.2">
      <c r="L9783" s="12"/>
      <c r="M9783" s="13"/>
    </row>
    <row r="9784" spans="12:13" x14ac:dyDescent="0.2">
      <c r="L9784" s="12"/>
      <c r="M9784" s="13"/>
    </row>
    <row r="9785" spans="12:13" x14ac:dyDescent="0.2">
      <c r="L9785" s="12"/>
      <c r="M9785" s="13"/>
    </row>
    <row r="9786" spans="12:13" x14ac:dyDescent="0.2">
      <c r="L9786" s="12"/>
      <c r="M9786" s="13"/>
    </row>
    <row r="9787" spans="12:13" x14ac:dyDescent="0.2">
      <c r="L9787" s="12"/>
      <c r="M9787" s="13"/>
    </row>
    <row r="9788" spans="12:13" x14ac:dyDescent="0.2">
      <c r="L9788" s="12"/>
      <c r="M9788" s="13"/>
    </row>
    <row r="9789" spans="12:13" x14ac:dyDescent="0.2">
      <c r="L9789" s="12"/>
      <c r="M9789" s="13"/>
    </row>
    <row r="9790" spans="12:13" x14ac:dyDescent="0.2">
      <c r="L9790" s="12"/>
      <c r="M9790" s="13"/>
    </row>
    <row r="9791" spans="12:13" x14ac:dyDescent="0.2">
      <c r="L9791" s="12"/>
      <c r="M9791" s="13"/>
    </row>
    <row r="9792" spans="12:13" x14ac:dyDescent="0.2">
      <c r="L9792" s="12"/>
      <c r="M9792" s="13"/>
    </row>
    <row r="9793" spans="12:13" x14ac:dyDescent="0.2">
      <c r="L9793" s="12"/>
      <c r="M9793" s="13"/>
    </row>
    <row r="9794" spans="12:13" x14ac:dyDescent="0.2">
      <c r="L9794" s="12"/>
      <c r="M9794" s="13"/>
    </row>
    <row r="9795" spans="12:13" x14ac:dyDescent="0.2">
      <c r="L9795" s="12"/>
      <c r="M9795" s="13"/>
    </row>
    <row r="9796" spans="12:13" x14ac:dyDescent="0.2">
      <c r="L9796" s="12"/>
      <c r="M9796" s="13"/>
    </row>
    <row r="9797" spans="12:13" x14ac:dyDescent="0.2">
      <c r="L9797" s="12"/>
      <c r="M9797" s="13"/>
    </row>
    <row r="9798" spans="12:13" x14ac:dyDescent="0.2">
      <c r="L9798" s="12"/>
      <c r="M9798" s="13"/>
    </row>
    <row r="9799" spans="12:13" x14ac:dyDescent="0.2">
      <c r="L9799" s="12"/>
      <c r="M9799" s="13"/>
    </row>
    <row r="9800" spans="12:13" x14ac:dyDescent="0.2">
      <c r="L9800" s="12"/>
      <c r="M9800" s="13"/>
    </row>
    <row r="9801" spans="12:13" x14ac:dyDescent="0.2">
      <c r="L9801" s="12"/>
      <c r="M9801" s="13"/>
    </row>
    <row r="9802" spans="12:13" x14ac:dyDescent="0.2">
      <c r="L9802" s="12"/>
      <c r="M9802" s="13"/>
    </row>
    <row r="9803" spans="12:13" x14ac:dyDescent="0.2">
      <c r="L9803" s="12"/>
      <c r="M9803" s="13"/>
    </row>
    <row r="9804" spans="12:13" x14ac:dyDescent="0.2">
      <c r="L9804" s="12"/>
      <c r="M9804" s="13"/>
    </row>
    <row r="9805" spans="12:13" x14ac:dyDescent="0.2">
      <c r="L9805" s="12"/>
      <c r="M9805" s="13"/>
    </row>
    <row r="9806" spans="12:13" x14ac:dyDescent="0.2">
      <c r="L9806" s="12"/>
      <c r="M9806" s="13"/>
    </row>
    <row r="9807" spans="12:13" x14ac:dyDescent="0.2">
      <c r="L9807" s="12"/>
      <c r="M9807" s="13"/>
    </row>
    <row r="9808" spans="12:13" x14ac:dyDescent="0.2">
      <c r="L9808" s="12"/>
      <c r="M9808" s="13"/>
    </row>
    <row r="9809" spans="12:13" x14ac:dyDescent="0.2">
      <c r="L9809" s="12"/>
      <c r="M9809" s="13"/>
    </row>
    <row r="9810" spans="12:13" x14ac:dyDescent="0.2">
      <c r="L9810" s="12"/>
      <c r="M9810" s="13"/>
    </row>
    <row r="9811" spans="12:13" x14ac:dyDescent="0.2">
      <c r="L9811" s="12"/>
      <c r="M9811" s="13"/>
    </row>
    <row r="9812" spans="12:13" x14ac:dyDescent="0.2">
      <c r="L9812" s="12"/>
      <c r="M9812" s="13"/>
    </row>
    <row r="9813" spans="12:13" x14ac:dyDescent="0.2">
      <c r="L9813" s="12"/>
      <c r="M9813" s="13"/>
    </row>
    <row r="9814" spans="12:13" x14ac:dyDescent="0.2">
      <c r="L9814" s="12"/>
      <c r="M9814" s="13"/>
    </row>
    <row r="9815" spans="12:13" x14ac:dyDescent="0.2">
      <c r="L9815" s="12"/>
      <c r="M9815" s="13"/>
    </row>
    <row r="9816" spans="12:13" x14ac:dyDescent="0.2">
      <c r="L9816" s="12"/>
      <c r="M9816" s="13"/>
    </row>
    <row r="9817" spans="12:13" x14ac:dyDescent="0.2">
      <c r="L9817" s="12"/>
      <c r="M9817" s="13"/>
    </row>
    <row r="9818" spans="12:13" x14ac:dyDescent="0.2">
      <c r="L9818" s="12"/>
      <c r="M9818" s="13"/>
    </row>
    <row r="9819" spans="12:13" x14ac:dyDescent="0.2">
      <c r="L9819" s="12"/>
      <c r="M9819" s="13"/>
    </row>
    <row r="9820" spans="12:13" x14ac:dyDescent="0.2">
      <c r="L9820" s="12"/>
      <c r="M9820" s="13"/>
    </row>
    <row r="9821" spans="12:13" x14ac:dyDescent="0.2">
      <c r="L9821" s="12"/>
      <c r="M9821" s="13"/>
    </row>
    <row r="9822" spans="12:13" x14ac:dyDescent="0.2">
      <c r="L9822" s="12"/>
      <c r="M9822" s="13"/>
    </row>
    <row r="9823" spans="12:13" x14ac:dyDescent="0.2">
      <c r="L9823" s="12"/>
      <c r="M9823" s="13"/>
    </row>
    <row r="9824" spans="12:13" x14ac:dyDescent="0.2">
      <c r="L9824" s="12"/>
      <c r="M9824" s="13"/>
    </row>
    <row r="9825" spans="12:13" x14ac:dyDescent="0.2">
      <c r="L9825" s="12"/>
      <c r="M9825" s="13"/>
    </row>
    <row r="9826" spans="12:13" x14ac:dyDescent="0.2">
      <c r="L9826" s="12"/>
      <c r="M9826" s="13"/>
    </row>
    <row r="9827" spans="12:13" x14ac:dyDescent="0.2">
      <c r="L9827" s="12"/>
      <c r="M9827" s="13"/>
    </row>
    <row r="9828" spans="12:13" x14ac:dyDescent="0.2">
      <c r="L9828" s="12"/>
      <c r="M9828" s="13"/>
    </row>
    <row r="9829" spans="12:13" x14ac:dyDescent="0.2">
      <c r="L9829" s="12"/>
      <c r="M9829" s="13"/>
    </row>
    <row r="9830" spans="12:13" x14ac:dyDescent="0.2">
      <c r="L9830" s="12"/>
      <c r="M9830" s="13"/>
    </row>
    <row r="9831" spans="12:13" x14ac:dyDescent="0.2">
      <c r="L9831" s="12"/>
      <c r="M9831" s="13"/>
    </row>
    <row r="9832" spans="12:13" x14ac:dyDescent="0.2">
      <c r="L9832" s="12"/>
      <c r="M9832" s="13"/>
    </row>
    <row r="9833" spans="12:13" x14ac:dyDescent="0.2">
      <c r="L9833" s="12"/>
      <c r="M9833" s="13"/>
    </row>
    <row r="9834" spans="12:13" x14ac:dyDescent="0.2">
      <c r="L9834" s="12"/>
      <c r="M9834" s="13"/>
    </row>
    <row r="9835" spans="12:13" x14ac:dyDescent="0.2">
      <c r="L9835" s="12"/>
      <c r="M9835" s="13"/>
    </row>
    <row r="9836" spans="12:13" x14ac:dyDescent="0.2">
      <c r="L9836" s="12"/>
      <c r="M9836" s="13"/>
    </row>
    <row r="9837" spans="12:13" x14ac:dyDescent="0.2">
      <c r="L9837" s="12"/>
      <c r="M9837" s="13"/>
    </row>
    <row r="9838" spans="12:13" x14ac:dyDescent="0.2">
      <c r="L9838" s="12"/>
      <c r="M9838" s="13"/>
    </row>
    <row r="9839" spans="12:13" x14ac:dyDescent="0.2">
      <c r="L9839" s="12"/>
      <c r="M9839" s="13"/>
    </row>
    <row r="9840" spans="12:13" x14ac:dyDescent="0.2">
      <c r="L9840" s="12"/>
      <c r="M9840" s="13"/>
    </row>
    <row r="9841" spans="12:13" x14ac:dyDescent="0.2">
      <c r="L9841" s="12"/>
      <c r="M9841" s="13"/>
    </row>
    <row r="9842" spans="12:13" x14ac:dyDescent="0.2">
      <c r="L9842" s="12"/>
      <c r="M9842" s="13"/>
    </row>
    <row r="9843" spans="12:13" x14ac:dyDescent="0.2">
      <c r="L9843" s="12"/>
      <c r="M9843" s="13"/>
    </row>
    <row r="9844" spans="12:13" x14ac:dyDescent="0.2">
      <c r="L9844" s="12"/>
      <c r="M9844" s="13"/>
    </row>
    <row r="9845" spans="12:13" x14ac:dyDescent="0.2">
      <c r="L9845" s="12"/>
      <c r="M9845" s="13"/>
    </row>
    <row r="9846" spans="12:13" x14ac:dyDescent="0.2">
      <c r="L9846" s="12"/>
      <c r="M9846" s="13"/>
    </row>
    <row r="9847" spans="12:13" x14ac:dyDescent="0.2">
      <c r="L9847" s="12"/>
      <c r="M9847" s="13"/>
    </row>
    <row r="9848" spans="12:13" x14ac:dyDescent="0.2">
      <c r="L9848" s="12"/>
      <c r="M9848" s="13"/>
    </row>
    <row r="9849" spans="12:13" x14ac:dyDescent="0.2">
      <c r="L9849" s="12"/>
      <c r="M9849" s="13"/>
    </row>
    <row r="9850" spans="12:13" x14ac:dyDescent="0.2">
      <c r="L9850" s="12"/>
      <c r="M9850" s="13"/>
    </row>
    <row r="9851" spans="12:13" x14ac:dyDescent="0.2">
      <c r="L9851" s="12"/>
      <c r="M9851" s="13"/>
    </row>
    <row r="9852" spans="12:13" x14ac:dyDescent="0.2">
      <c r="L9852" s="12"/>
      <c r="M9852" s="13"/>
    </row>
    <row r="9853" spans="12:13" x14ac:dyDescent="0.2">
      <c r="L9853" s="12"/>
      <c r="M9853" s="13"/>
    </row>
    <row r="9854" spans="12:13" x14ac:dyDescent="0.2">
      <c r="L9854" s="12"/>
      <c r="M9854" s="13"/>
    </row>
    <row r="9855" spans="12:13" x14ac:dyDescent="0.2">
      <c r="L9855" s="12"/>
      <c r="M9855" s="13"/>
    </row>
    <row r="9856" spans="12:13" x14ac:dyDescent="0.2">
      <c r="L9856" s="12"/>
      <c r="M9856" s="13"/>
    </row>
    <row r="9857" spans="12:13" x14ac:dyDescent="0.2">
      <c r="L9857" s="12"/>
      <c r="M9857" s="13"/>
    </row>
    <row r="9858" spans="12:13" x14ac:dyDescent="0.2">
      <c r="L9858" s="12"/>
      <c r="M9858" s="13"/>
    </row>
    <row r="9859" spans="12:13" x14ac:dyDescent="0.2">
      <c r="L9859" s="12"/>
      <c r="M9859" s="13"/>
    </row>
    <row r="9860" spans="12:13" x14ac:dyDescent="0.2">
      <c r="L9860" s="12"/>
      <c r="M9860" s="13"/>
    </row>
    <row r="9861" spans="12:13" x14ac:dyDescent="0.2">
      <c r="L9861" s="12"/>
      <c r="M9861" s="13"/>
    </row>
    <row r="9862" spans="12:13" x14ac:dyDescent="0.2">
      <c r="L9862" s="12"/>
      <c r="M9862" s="13"/>
    </row>
    <row r="9863" spans="12:13" x14ac:dyDescent="0.2">
      <c r="L9863" s="12"/>
      <c r="M9863" s="13"/>
    </row>
    <row r="9864" spans="12:13" x14ac:dyDescent="0.2">
      <c r="L9864" s="12"/>
      <c r="M9864" s="13"/>
    </row>
    <row r="9865" spans="12:13" x14ac:dyDescent="0.2">
      <c r="L9865" s="12"/>
      <c r="M9865" s="13"/>
    </row>
    <row r="9866" spans="12:13" x14ac:dyDescent="0.2">
      <c r="L9866" s="12"/>
      <c r="M9866" s="13"/>
    </row>
    <row r="9867" spans="12:13" x14ac:dyDescent="0.2">
      <c r="L9867" s="12"/>
      <c r="M9867" s="13"/>
    </row>
    <row r="9868" spans="12:13" x14ac:dyDescent="0.2">
      <c r="L9868" s="12"/>
      <c r="M9868" s="13"/>
    </row>
    <row r="9869" spans="12:13" x14ac:dyDescent="0.2">
      <c r="L9869" s="12"/>
      <c r="M9869" s="13"/>
    </row>
    <row r="9870" spans="12:13" x14ac:dyDescent="0.2">
      <c r="L9870" s="12"/>
      <c r="M9870" s="13"/>
    </row>
    <row r="9871" spans="12:13" x14ac:dyDescent="0.2">
      <c r="L9871" s="12"/>
      <c r="M9871" s="13"/>
    </row>
    <row r="9872" spans="12:13" x14ac:dyDescent="0.2">
      <c r="L9872" s="12"/>
      <c r="M9872" s="13"/>
    </row>
    <row r="9873" spans="12:13" x14ac:dyDescent="0.2">
      <c r="L9873" s="12"/>
      <c r="M9873" s="13"/>
    </row>
    <row r="9874" spans="12:13" x14ac:dyDescent="0.2">
      <c r="L9874" s="12"/>
      <c r="M9874" s="13"/>
    </row>
    <row r="9875" spans="12:13" x14ac:dyDescent="0.2">
      <c r="L9875" s="12"/>
      <c r="M9875" s="13"/>
    </row>
    <row r="9876" spans="12:13" x14ac:dyDescent="0.2">
      <c r="L9876" s="12"/>
      <c r="M9876" s="13"/>
    </row>
    <row r="9877" spans="12:13" x14ac:dyDescent="0.2">
      <c r="L9877" s="12"/>
      <c r="M9877" s="13"/>
    </row>
    <row r="9878" spans="12:13" x14ac:dyDescent="0.2">
      <c r="L9878" s="12"/>
      <c r="M9878" s="13"/>
    </row>
    <row r="9879" spans="12:13" x14ac:dyDescent="0.2">
      <c r="L9879" s="12"/>
      <c r="M9879" s="13"/>
    </row>
    <row r="9880" spans="12:13" x14ac:dyDescent="0.2">
      <c r="L9880" s="12"/>
      <c r="M9880" s="13"/>
    </row>
    <row r="9881" spans="12:13" x14ac:dyDescent="0.2">
      <c r="L9881" s="12"/>
      <c r="M9881" s="13"/>
    </row>
    <row r="9882" spans="12:13" x14ac:dyDescent="0.2">
      <c r="L9882" s="12"/>
      <c r="M9882" s="13"/>
    </row>
    <row r="9883" spans="12:13" x14ac:dyDescent="0.2">
      <c r="L9883" s="12"/>
      <c r="M9883" s="13"/>
    </row>
    <row r="9884" spans="12:13" x14ac:dyDescent="0.2">
      <c r="L9884" s="12"/>
      <c r="M9884" s="13"/>
    </row>
    <row r="9885" spans="12:13" x14ac:dyDescent="0.2">
      <c r="L9885" s="12"/>
      <c r="M9885" s="13"/>
    </row>
    <row r="9886" spans="12:13" x14ac:dyDescent="0.2">
      <c r="L9886" s="12"/>
      <c r="M9886" s="13"/>
    </row>
    <row r="9887" spans="12:13" x14ac:dyDescent="0.2">
      <c r="L9887" s="12"/>
      <c r="M9887" s="13"/>
    </row>
    <row r="9888" spans="12:13" x14ac:dyDescent="0.2">
      <c r="L9888" s="12"/>
      <c r="M9888" s="13"/>
    </row>
    <row r="9889" spans="12:13" x14ac:dyDescent="0.2">
      <c r="L9889" s="12"/>
      <c r="M9889" s="13"/>
    </row>
    <row r="9890" spans="12:13" x14ac:dyDescent="0.2">
      <c r="L9890" s="12"/>
      <c r="M9890" s="13"/>
    </row>
    <row r="9891" spans="12:13" x14ac:dyDescent="0.2">
      <c r="L9891" s="12"/>
      <c r="M9891" s="13"/>
    </row>
    <row r="9892" spans="12:13" x14ac:dyDescent="0.2">
      <c r="L9892" s="12"/>
      <c r="M9892" s="13"/>
    </row>
    <row r="9893" spans="12:13" x14ac:dyDescent="0.2">
      <c r="L9893" s="12"/>
      <c r="M9893" s="13"/>
    </row>
    <row r="9894" spans="12:13" x14ac:dyDescent="0.2">
      <c r="L9894" s="12"/>
      <c r="M9894" s="13"/>
    </row>
    <row r="9895" spans="12:13" x14ac:dyDescent="0.2">
      <c r="L9895" s="12"/>
      <c r="M9895" s="13"/>
    </row>
    <row r="9896" spans="12:13" x14ac:dyDescent="0.2">
      <c r="L9896" s="12"/>
      <c r="M9896" s="13"/>
    </row>
    <row r="9897" spans="12:13" x14ac:dyDescent="0.2">
      <c r="L9897" s="12"/>
      <c r="M9897" s="13"/>
    </row>
    <row r="9898" spans="12:13" x14ac:dyDescent="0.2">
      <c r="L9898" s="12"/>
      <c r="M9898" s="13"/>
    </row>
    <row r="9899" spans="12:13" x14ac:dyDescent="0.2">
      <c r="L9899" s="12"/>
      <c r="M9899" s="13"/>
    </row>
    <row r="9900" spans="12:13" x14ac:dyDescent="0.2">
      <c r="L9900" s="12"/>
      <c r="M9900" s="13"/>
    </row>
    <row r="9901" spans="12:13" x14ac:dyDescent="0.2">
      <c r="L9901" s="12"/>
      <c r="M9901" s="13"/>
    </row>
    <row r="9902" spans="12:13" x14ac:dyDescent="0.2">
      <c r="L9902" s="12"/>
      <c r="M9902" s="13"/>
    </row>
    <row r="9903" spans="12:13" x14ac:dyDescent="0.2">
      <c r="L9903" s="12"/>
      <c r="M9903" s="13"/>
    </row>
    <row r="9904" spans="12:13" x14ac:dyDescent="0.2">
      <c r="L9904" s="12"/>
      <c r="M9904" s="13"/>
    </row>
    <row r="9905" spans="12:13" x14ac:dyDescent="0.2">
      <c r="L9905" s="12"/>
      <c r="M9905" s="13"/>
    </row>
    <row r="9906" spans="12:13" x14ac:dyDescent="0.2">
      <c r="L9906" s="12"/>
      <c r="M9906" s="13"/>
    </row>
    <row r="9907" spans="12:13" x14ac:dyDescent="0.2">
      <c r="L9907" s="12"/>
      <c r="M9907" s="13"/>
    </row>
    <row r="9908" spans="12:13" x14ac:dyDescent="0.2">
      <c r="L9908" s="12"/>
      <c r="M9908" s="13"/>
    </row>
    <row r="9909" spans="12:13" x14ac:dyDescent="0.2">
      <c r="L9909" s="12"/>
      <c r="M9909" s="13"/>
    </row>
    <row r="9910" spans="12:13" x14ac:dyDescent="0.2">
      <c r="L9910" s="12"/>
      <c r="M9910" s="13"/>
    </row>
    <row r="9911" spans="12:13" x14ac:dyDescent="0.2">
      <c r="L9911" s="12"/>
      <c r="M9911" s="13"/>
    </row>
    <row r="9912" spans="12:13" x14ac:dyDescent="0.2">
      <c r="L9912" s="12"/>
      <c r="M9912" s="13"/>
    </row>
    <row r="9913" spans="12:13" x14ac:dyDescent="0.2">
      <c r="L9913" s="12"/>
      <c r="M9913" s="13"/>
    </row>
    <row r="9914" spans="12:13" x14ac:dyDescent="0.2">
      <c r="L9914" s="12"/>
      <c r="M9914" s="13"/>
    </row>
    <row r="9915" spans="12:13" x14ac:dyDescent="0.2">
      <c r="L9915" s="12"/>
      <c r="M9915" s="13"/>
    </row>
    <row r="9916" spans="12:13" x14ac:dyDescent="0.2">
      <c r="L9916" s="12"/>
      <c r="M9916" s="13"/>
    </row>
    <row r="9917" spans="12:13" x14ac:dyDescent="0.2">
      <c r="L9917" s="12"/>
      <c r="M9917" s="13"/>
    </row>
    <row r="9918" spans="12:13" x14ac:dyDescent="0.2">
      <c r="L9918" s="12"/>
      <c r="M9918" s="13"/>
    </row>
    <row r="9919" spans="12:13" x14ac:dyDescent="0.2">
      <c r="L9919" s="12"/>
      <c r="M9919" s="13"/>
    </row>
    <row r="9920" spans="12:13" x14ac:dyDescent="0.2">
      <c r="L9920" s="12"/>
      <c r="M9920" s="13"/>
    </row>
    <row r="9921" spans="12:13" x14ac:dyDescent="0.2">
      <c r="L9921" s="12"/>
      <c r="M9921" s="13"/>
    </row>
    <row r="9922" spans="12:13" x14ac:dyDescent="0.2">
      <c r="L9922" s="12"/>
      <c r="M9922" s="13"/>
    </row>
    <row r="9923" spans="12:13" x14ac:dyDescent="0.2">
      <c r="L9923" s="12"/>
      <c r="M9923" s="13"/>
    </row>
    <row r="9924" spans="12:13" x14ac:dyDescent="0.2">
      <c r="L9924" s="12"/>
      <c r="M9924" s="13"/>
    </row>
    <row r="9925" spans="12:13" x14ac:dyDescent="0.2">
      <c r="L9925" s="12"/>
      <c r="M9925" s="13"/>
    </row>
    <row r="9926" spans="12:13" x14ac:dyDescent="0.2">
      <c r="L9926" s="12"/>
      <c r="M9926" s="13"/>
    </row>
    <row r="9927" spans="12:13" x14ac:dyDescent="0.2">
      <c r="L9927" s="12"/>
      <c r="M9927" s="13"/>
    </row>
    <row r="9928" spans="12:13" x14ac:dyDescent="0.2">
      <c r="L9928" s="12"/>
      <c r="M9928" s="13"/>
    </row>
    <row r="9929" spans="12:13" x14ac:dyDescent="0.2">
      <c r="L9929" s="12"/>
      <c r="M9929" s="13"/>
    </row>
    <row r="9930" spans="12:13" x14ac:dyDescent="0.2">
      <c r="L9930" s="12"/>
      <c r="M9930" s="13"/>
    </row>
    <row r="9931" spans="12:13" x14ac:dyDescent="0.2">
      <c r="L9931" s="12"/>
      <c r="M9931" s="13"/>
    </row>
    <row r="9932" spans="12:13" x14ac:dyDescent="0.2">
      <c r="L9932" s="12"/>
      <c r="M9932" s="13"/>
    </row>
    <row r="9933" spans="12:13" x14ac:dyDescent="0.2">
      <c r="L9933" s="12"/>
      <c r="M9933" s="13"/>
    </row>
    <row r="9934" spans="12:13" x14ac:dyDescent="0.2">
      <c r="L9934" s="12"/>
      <c r="M9934" s="13"/>
    </row>
    <row r="9935" spans="12:13" x14ac:dyDescent="0.2">
      <c r="L9935" s="12"/>
      <c r="M9935" s="13"/>
    </row>
    <row r="9936" spans="12:13" x14ac:dyDescent="0.2">
      <c r="L9936" s="12"/>
      <c r="M9936" s="13"/>
    </row>
    <row r="9937" spans="12:13" x14ac:dyDescent="0.2">
      <c r="L9937" s="12"/>
      <c r="M9937" s="13"/>
    </row>
    <row r="9938" spans="12:13" x14ac:dyDescent="0.2">
      <c r="L9938" s="12"/>
      <c r="M9938" s="13"/>
    </row>
    <row r="9939" spans="12:13" x14ac:dyDescent="0.2">
      <c r="L9939" s="12"/>
      <c r="M9939" s="13"/>
    </row>
    <row r="9940" spans="12:13" x14ac:dyDescent="0.2">
      <c r="L9940" s="12"/>
      <c r="M9940" s="13"/>
    </row>
    <row r="9941" spans="12:13" x14ac:dyDescent="0.2">
      <c r="L9941" s="12"/>
      <c r="M9941" s="13"/>
    </row>
    <row r="9942" spans="12:13" x14ac:dyDescent="0.2">
      <c r="L9942" s="12"/>
      <c r="M9942" s="13"/>
    </row>
    <row r="9943" spans="12:13" x14ac:dyDescent="0.2">
      <c r="L9943" s="12"/>
      <c r="M9943" s="13"/>
    </row>
    <row r="9944" spans="12:13" x14ac:dyDescent="0.2">
      <c r="L9944" s="12"/>
      <c r="M9944" s="13"/>
    </row>
    <row r="9945" spans="12:13" x14ac:dyDescent="0.2">
      <c r="L9945" s="12"/>
      <c r="M9945" s="13"/>
    </row>
    <row r="9946" spans="12:13" x14ac:dyDescent="0.2">
      <c r="L9946" s="12"/>
      <c r="M9946" s="13"/>
    </row>
    <row r="9947" spans="12:13" x14ac:dyDescent="0.2">
      <c r="L9947" s="12"/>
      <c r="M9947" s="13"/>
    </row>
    <row r="9948" spans="12:13" x14ac:dyDescent="0.2">
      <c r="L9948" s="12"/>
      <c r="M9948" s="13"/>
    </row>
    <row r="9949" spans="12:13" x14ac:dyDescent="0.2">
      <c r="L9949" s="12"/>
      <c r="M9949" s="13"/>
    </row>
    <row r="9950" spans="12:13" x14ac:dyDescent="0.2">
      <c r="L9950" s="12"/>
      <c r="M9950" s="13"/>
    </row>
    <row r="9951" spans="12:13" x14ac:dyDescent="0.2">
      <c r="L9951" s="12"/>
      <c r="M9951" s="13"/>
    </row>
    <row r="9952" spans="12:13" x14ac:dyDescent="0.2">
      <c r="L9952" s="12"/>
      <c r="M9952" s="13"/>
    </row>
    <row r="9953" spans="12:13" x14ac:dyDescent="0.2">
      <c r="L9953" s="12"/>
      <c r="M9953" s="13"/>
    </row>
    <row r="9954" spans="12:13" x14ac:dyDescent="0.2">
      <c r="L9954" s="12"/>
      <c r="M9954" s="13"/>
    </row>
    <row r="9955" spans="12:13" x14ac:dyDescent="0.2">
      <c r="L9955" s="12"/>
      <c r="M9955" s="13"/>
    </row>
    <row r="9956" spans="12:13" x14ac:dyDescent="0.2">
      <c r="L9956" s="12"/>
      <c r="M9956" s="13"/>
    </row>
    <row r="9957" spans="12:13" x14ac:dyDescent="0.2">
      <c r="L9957" s="12"/>
      <c r="M9957" s="13"/>
    </row>
    <row r="9958" spans="12:13" x14ac:dyDescent="0.2">
      <c r="L9958" s="12"/>
      <c r="M9958" s="13"/>
    </row>
    <row r="9959" spans="12:13" x14ac:dyDescent="0.2">
      <c r="L9959" s="12"/>
      <c r="M9959" s="13"/>
    </row>
    <row r="9960" spans="12:13" x14ac:dyDescent="0.2">
      <c r="L9960" s="12"/>
      <c r="M9960" s="13"/>
    </row>
    <row r="9961" spans="12:13" x14ac:dyDescent="0.2">
      <c r="L9961" s="12"/>
      <c r="M9961" s="13"/>
    </row>
    <row r="9962" spans="12:13" x14ac:dyDescent="0.2">
      <c r="L9962" s="12"/>
      <c r="M9962" s="13"/>
    </row>
    <row r="9963" spans="12:13" x14ac:dyDescent="0.2">
      <c r="L9963" s="12"/>
      <c r="M9963" s="13"/>
    </row>
    <row r="9964" spans="12:13" x14ac:dyDescent="0.2">
      <c r="L9964" s="12"/>
      <c r="M9964" s="13"/>
    </row>
    <row r="9965" spans="12:13" x14ac:dyDescent="0.2">
      <c r="L9965" s="12"/>
      <c r="M9965" s="13"/>
    </row>
    <row r="9966" spans="12:13" x14ac:dyDescent="0.2">
      <c r="L9966" s="12"/>
      <c r="M9966" s="13"/>
    </row>
    <row r="9967" spans="12:13" x14ac:dyDescent="0.2">
      <c r="L9967" s="12"/>
      <c r="M9967" s="13"/>
    </row>
    <row r="9968" spans="12:13" x14ac:dyDescent="0.2">
      <c r="L9968" s="12"/>
      <c r="M9968" s="13"/>
    </row>
    <row r="9969" spans="12:13" x14ac:dyDescent="0.2">
      <c r="L9969" s="12"/>
      <c r="M9969" s="13"/>
    </row>
    <row r="9970" spans="12:13" x14ac:dyDescent="0.2">
      <c r="L9970" s="12"/>
      <c r="M9970" s="13"/>
    </row>
    <row r="9971" spans="12:13" x14ac:dyDescent="0.2">
      <c r="L9971" s="12"/>
      <c r="M9971" s="13"/>
    </row>
    <row r="9972" spans="12:13" x14ac:dyDescent="0.2">
      <c r="L9972" s="12"/>
      <c r="M9972" s="13"/>
    </row>
    <row r="9973" spans="12:13" x14ac:dyDescent="0.2">
      <c r="L9973" s="12"/>
      <c r="M9973" s="13"/>
    </row>
    <row r="9974" spans="12:13" x14ac:dyDescent="0.2">
      <c r="L9974" s="12"/>
      <c r="M9974" s="13"/>
    </row>
    <row r="9975" spans="12:13" x14ac:dyDescent="0.2">
      <c r="L9975" s="12"/>
      <c r="M9975" s="13"/>
    </row>
    <row r="9976" spans="12:13" x14ac:dyDescent="0.2">
      <c r="L9976" s="12"/>
      <c r="M9976" s="13"/>
    </row>
    <row r="9977" spans="12:13" x14ac:dyDescent="0.2">
      <c r="L9977" s="12"/>
      <c r="M9977" s="13"/>
    </row>
    <row r="9978" spans="12:13" x14ac:dyDescent="0.2">
      <c r="L9978" s="12"/>
      <c r="M9978" s="13"/>
    </row>
    <row r="9979" spans="12:13" x14ac:dyDescent="0.2">
      <c r="L9979" s="12"/>
      <c r="M9979" s="13"/>
    </row>
    <row r="9980" spans="12:13" x14ac:dyDescent="0.2">
      <c r="L9980" s="12"/>
      <c r="M9980" s="13"/>
    </row>
    <row r="9981" spans="12:13" x14ac:dyDescent="0.2">
      <c r="L9981" s="12"/>
      <c r="M9981" s="13"/>
    </row>
    <row r="9982" spans="12:13" x14ac:dyDescent="0.2">
      <c r="L9982" s="12"/>
      <c r="M9982" s="13"/>
    </row>
    <row r="9983" spans="12:13" x14ac:dyDescent="0.2">
      <c r="L9983" s="12"/>
      <c r="M9983" s="13"/>
    </row>
    <row r="9984" spans="12:13" x14ac:dyDescent="0.2">
      <c r="L9984" s="12"/>
      <c r="M9984" s="13"/>
    </row>
    <row r="9985" spans="12:13" x14ac:dyDescent="0.2">
      <c r="L9985" s="12"/>
      <c r="M9985" s="13"/>
    </row>
    <row r="9986" spans="12:13" x14ac:dyDescent="0.2">
      <c r="L9986" s="17"/>
      <c r="M9986" s="18"/>
    </row>
    <row r="9987" spans="12:13" x14ac:dyDescent="0.2">
      <c r="L9987" s="12"/>
      <c r="M9987" s="13"/>
    </row>
    <row r="9988" spans="12:13" x14ac:dyDescent="0.2">
      <c r="L9988" s="12"/>
      <c r="M9988" s="13"/>
    </row>
    <row r="9989" spans="12:13" x14ac:dyDescent="0.2">
      <c r="L9989" s="12"/>
      <c r="M9989" s="13"/>
    </row>
    <row r="9990" spans="12:13" x14ac:dyDescent="0.2">
      <c r="L9990" s="12"/>
      <c r="M9990" s="13"/>
    </row>
    <row r="9991" spans="12:13" x14ac:dyDescent="0.2">
      <c r="L9991" s="12"/>
      <c r="M9991" s="13"/>
    </row>
    <row r="9992" spans="12:13" x14ac:dyDescent="0.2">
      <c r="L9992" s="12"/>
      <c r="M9992" s="13"/>
    </row>
    <row r="9993" spans="12:13" x14ac:dyDescent="0.2">
      <c r="L9993" s="12"/>
      <c r="M9993" s="13"/>
    </row>
    <row r="9994" spans="12:13" x14ac:dyDescent="0.2">
      <c r="L9994" s="12"/>
      <c r="M9994" s="13"/>
    </row>
    <row r="9995" spans="12:13" x14ac:dyDescent="0.2">
      <c r="L9995" s="12"/>
      <c r="M9995" s="13"/>
    </row>
    <row r="9996" spans="12:13" x14ac:dyDescent="0.2">
      <c r="L9996" s="12"/>
      <c r="M9996" s="13"/>
    </row>
    <row r="9997" spans="12:13" x14ac:dyDescent="0.2">
      <c r="L9997" s="12"/>
      <c r="M9997" s="13"/>
    </row>
    <row r="9998" spans="12:13" x14ac:dyDescent="0.2">
      <c r="L9998" s="12"/>
      <c r="M9998" s="13"/>
    </row>
    <row r="9999" spans="12:13" x14ac:dyDescent="0.2">
      <c r="L9999" s="12"/>
      <c r="M9999" s="13"/>
    </row>
    <row r="10000" spans="12:13" x14ac:dyDescent="0.2">
      <c r="L10000" s="12"/>
      <c r="M10000" s="13"/>
    </row>
    <row r="10001" spans="12:13" x14ac:dyDescent="0.2">
      <c r="L10001" s="12"/>
      <c r="M10001" s="13"/>
    </row>
    <row r="10002" spans="12:13" x14ac:dyDescent="0.2">
      <c r="L10002" s="12"/>
      <c r="M10002" s="13"/>
    </row>
    <row r="10003" spans="12:13" x14ac:dyDescent="0.2">
      <c r="L10003" s="12"/>
      <c r="M10003" s="13"/>
    </row>
    <row r="10004" spans="12:13" x14ac:dyDescent="0.2">
      <c r="L10004" s="12"/>
      <c r="M10004" s="13"/>
    </row>
    <row r="10005" spans="12:13" x14ac:dyDescent="0.2">
      <c r="L10005" s="12"/>
      <c r="M10005" s="13"/>
    </row>
    <row r="10006" spans="12:13" x14ac:dyDescent="0.2">
      <c r="L10006" s="12"/>
      <c r="M10006" s="13"/>
    </row>
    <row r="10007" spans="12:13" x14ac:dyDescent="0.2">
      <c r="L10007" s="12"/>
      <c r="M10007" s="13"/>
    </row>
    <row r="10008" spans="12:13" x14ac:dyDescent="0.2">
      <c r="L10008" s="12"/>
      <c r="M10008" s="13"/>
    </row>
    <row r="10009" spans="12:13" x14ac:dyDescent="0.2">
      <c r="L10009" s="12"/>
      <c r="M10009" s="13"/>
    </row>
    <row r="10010" spans="12:13" x14ac:dyDescent="0.2">
      <c r="L10010" s="12"/>
      <c r="M10010" s="13"/>
    </row>
    <row r="10011" spans="12:13" x14ac:dyDescent="0.2">
      <c r="L10011" s="12"/>
      <c r="M10011" s="13"/>
    </row>
    <row r="10012" spans="12:13" x14ac:dyDescent="0.2">
      <c r="L10012" s="12"/>
      <c r="M10012" s="13"/>
    </row>
    <row r="10013" spans="12:13" x14ac:dyDescent="0.2">
      <c r="L10013" s="12"/>
      <c r="M10013" s="13"/>
    </row>
    <row r="10014" spans="12:13" x14ac:dyDescent="0.2">
      <c r="L10014" s="12"/>
      <c r="M10014" s="13"/>
    </row>
    <row r="10015" spans="12:13" x14ac:dyDescent="0.2">
      <c r="L10015" s="12"/>
      <c r="M10015" s="13"/>
    </row>
    <row r="10016" spans="12:13" x14ac:dyDescent="0.2">
      <c r="L10016" s="12"/>
      <c r="M10016" s="13"/>
    </row>
    <row r="10017" spans="12:13" x14ac:dyDescent="0.2">
      <c r="L10017" s="12"/>
      <c r="M10017" s="13"/>
    </row>
    <row r="10018" spans="12:13" x14ac:dyDescent="0.2">
      <c r="L10018" s="12"/>
      <c r="M10018" s="13"/>
    </row>
    <row r="10019" spans="12:13" x14ac:dyDescent="0.2">
      <c r="L10019" s="12"/>
      <c r="M10019" s="13"/>
    </row>
    <row r="10020" spans="12:13" x14ac:dyDescent="0.2">
      <c r="L10020" s="12"/>
      <c r="M10020" s="13"/>
    </row>
    <row r="10021" spans="12:13" x14ac:dyDescent="0.2">
      <c r="L10021" s="12"/>
      <c r="M10021" s="13"/>
    </row>
    <row r="10022" spans="12:13" x14ac:dyDescent="0.2">
      <c r="L10022" s="12"/>
      <c r="M10022" s="13"/>
    </row>
    <row r="10023" spans="12:13" x14ac:dyDescent="0.2">
      <c r="L10023" s="12"/>
      <c r="M10023" s="13"/>
    </row>
    <row r="10024" spans="12:13" x14ac:dyDescent="0.2">
      <c r="L10024" s="12"/>
      <c r="M10024" s="13"/>
    </row>
    <row r="10025" spans="12:13" x14ac:dyDescent="0.2">
      <c r="L10025" s="12"/>
      <c r="M10025" s="13"/>
    </row>
    <row r="10026" spans="12:13" x14ac:dyDescent="0.2">
      <c r="L10026" s="12"/>
      <c r="M10026" s="13"/>
    </row>
    <row r="10027" spans="12:13" x14ac:dyDescent="0.2">
      <c r="L10027" s="12"/>
      <c r="M10027" s="13"/>
    </row>
    <row r="10028" spans="12:13" x14ac:dyDescent="0.2">
      <c r="L10028" s="12"/>
      <c r="M10028" s="13"/>
    </row>
    <row r="10029" spans="12:13" x14ac:dyDescent="0.2">
      <c r="L10029" s="12"/>
      <c r="M10029" s="13"/>
    </row>
    <row r="10030" spans="12:13" x14ac:dyDescent="0.2">
      <c r="L10030" s="12"/>
      <c r="M10030" s="13"/>
    </row>
    <row r="10031" spans="12:13" x14ac:dyDescent="0.2">
      <c r="L10031" s="12"/>
      <c r="M10031" s="13"/>
    </row>
    <row r="10032" spans="12:13" x14ac:dyDescent="0.2">
      <c r="L10032" s="12"/>
      <c r="M10032" s="13"/>
    </row>
    <row r="10033" spans="12:13" x14ac:dyDescent="0.2">
      <c r="L10033" s="12"/>
      <c r="M10033" s="13"/>
    </row>
    <row r="10034" spans="12:13" x14ac:dyDescent="0.2">
      <c r="L10034" s="12"/>
      <c r="M10034" s="13"/>
    </row>
    <row r="10035" spans="12:13" x14ac:dyDescent="0.2">
      <c r="L10035" s="12"/>
      <c r="M10035" s="13"/>
    </row>
    <row r="10036" spans="12:13" x14ac:dyDescent="0.2">
      <c r="L10036" s="12"/>
      <c r="M10036" s="13"/>
    </row>
    <row r="10037" spans="12:13" x14ac:dyDescent="0.2">
      <c r="L10037" s="12"/>
      <c r="M10037" s="13"/>
    </row>
    <row r="10038" spans="12:13" x14ac:dyDescent="0.2">
      <c r="L10038" s="12"/>
      <c r="M10038" s="13"/>
    </row>
    <row r="10039" spans="12:13" x14ac:dyDescent="0.2">
      <c r="L10039" s="12"/>
      <c r="M10039" s="13"/>
    </row>
    <row r="10040" spans="12:13" x14ac:dyDescent="0.2">
      <c r="L10040" s="12"/>
      <c r="M10040" s="13"/>
    </row>
    <row r="10041" spans="12:13" x14ac:dyDescent="0.2">
      <c r="L10041" s="12"/>
      <c r="M10041" s="13"/>
    </row>
    <row r="10042" spans="12:13" x14ac:dyDescent="0.2">
      <c r="L10042" s="12"/>
      <c r="M10042" s="13"/>
    </row>
    <row r="10043" spans="12:13" x14ac:dyDescent="0.2">
      <c r="L10043" s="12"/>
      <c r="M10043" s="13"/>
    </row>
    <row r="10044" spans="12:13" x14ac:dyDescent="0.2">
      <c r="L10044" s="12"/>
      <c r="M10044" s="13"/>
    </row>
    <row r="10045" spans="12:13" x14ac:dyDescent="0.2">
      <c r="L10045" s="12"/>
      <c r="M10045" s="13"/>
    </row>
    <row r="10046" spans="12:13" x14ac:dyDescent="0.2">
      <c r="L10046" s="12"/>
      <c r="M10046" s="13"/>
    </row>
    <row r="10047" spans="12:13" x14ac:dyDescent="0.2">
      <c r="L10047" s="12"/>
      <c r="M10047" s="13"/>
    </row>
    <row r="10048" spans="12:13" x14ac:dyDescent="0.2">
      <c r="L10048" s="12"/>
      <c r="M10048" s="13"/>
    </row>
    <row r="10049" spans="12:13" x14ac:dyDescent="0.2">
      <c r="L10049" s="12"/>
      <c r="M10049" s="13"/>
    </row>
    <row r="10050" spans="12:13" x14ac:dyDescent="0.2">
      <c r="L10050" s="12"/>
      <c r="M10050" s="13"/>
    </row>
    <row r="10051" spans="12:13" x14ac:dyDescent="0.2">
      <c r="L10051" s="12"/>
      <c r="M10051" s="13"/>
    </row>
    <row r="10052" spans="12:13" x14ac:dyDescent="0.2">
      <c r="L10052" s="12"/>
      <c r="M10052" s="13"/>
    </row>
    <row r="10053" spans="12:13" x14ac:dyDescent="0.2">
      <c r="L10053" s="12"/>
      <c r="M10053" s="13"/>
    </row>
    <row r="10054" spans="12:13" x14ac:dyDescent="0.2">
      <c r="L10054" s="12"/>
      <c r="M10054" s="13"/>
    </row>
    <row r="10055" spans="12:13" x14ac:dyDescent="0.2">
      <c r="L10055" s="12"/>
      <c r="M10055" s="13"/>
    </row>
    <row r="10056" spans="12:13" x14ac:dyDescent="0.2">
      <c r="L10056" s="12"/>
      <c r="M10056" s="13"/>
    </row>
    <row r="10057" spans="12:13" x14ac:dyDescent="0.2">
      <c r="L10057" s="12"/>
      <c r="M10057" s="13"/>
    </row>
    <row r="10058" spans="12:13" x14ac:dyDescent="0.2">
      <c r="L10058" s="12"/>
      <c r="M10058" s="13"/>
    </row>
    <row r="10059" spans="12:13" x14ac:dyDescent="0.2">
      <c r="L10059" s="12"/>
      <c r="M10059" s="13"/>
    </row>
    <row r="10060" spans="12:13" x14ac:dyDescent="0.2">
      <c r="L10060" s="12"/>
      <c r="M10060" s="13"/>
    </row>
    <row r="10061" spans="12:13" x14ac:dyDescent="0.2">
      <c r="L10061" s="12"/>
      <c r="M10061" s="13"/>
    </row>
    <row r="10062" spans="12:13" x14ac:dyDescent="0.2">
      <c r="L10062" s="12"/>
      <c r="M10062" s="13"/>
    </row>
    <row r="10063" spans="12:13" x14ac:dyDescent="0.2">
      <c r="L10063" s="12"/>
      <c r="M10063" s="13"/>
    </row>
    <row r="10064" spans="12:13" x14ac:dyDescent="0.2">
      <c r="L10064" s="12"/>
      <c r="M10064" s="13"/>
    </row>
    <row r="10065" spans="12:13" x14ac:dyDescent="0.2">
      <c r="L10065" s="12"/>
      <c r="M10065" s="13"/>
    </row>
    <row r="10066" spans="12:13" x14ac:dyDescent="0.2">
      <c r="L10066" s="12"/>
      <c r="M10066" s="13"/>
    </row>
    <row r="10067" spans="12:13" x14ac:dyDescent="0.2">
      <c r="L10067" s="12"/>
      <c r="M10067" s="13"/>
    </row>
    <row r="10068" spans="12:13" x14ac:dyDescent="0.2">
      <c r="L10068" s="12"/>
      <c r="M10068" s="13"/>
    </row>
    <row r="10069" spans="12:13" x14ac:dyDescent="0.2">
      <c r="L10069" s="12"/>
      <c r="M10069" s="13"/>
    </row>
    <row r="10070" spans="12:13" x14ac:dyDescent="0.2">
      <c r="L10070" s="12"/>
      <c r="M10070" s="13"/>
    </row>
    <row r="10071" spans="12:13" x14ac:dyDescent="0.2">
      <c r="L10071" s="12"/>
      <c r="M10071" s="13"/>
    </row>
    <row r="10072" spans="12:13" x14ac:dyDescent="0.2">
      <c r="L10072" s="12"/>
      <c r="M10072" s="13"/>
    </row>
    <row r="10073" spans="12:13" x14ac:dyDescent="0.2">
      <c r="L10073" s="12"/>
      <c r="M10073" s="13"/>
    </row>
    <row r="10074" spans="12:13" x14ac:dyDescent="0.2">
      <c r="L10074" s="12"/>
      <c r="M10074" s="13"/>
    </row>
    <row r="10075" spans="12:13" x14ac:dyDescent="0.2">
      <c r="L10075" s="12"/>
      <c r="M10075" s="13"/>
    </row>
    <row r="10076" spans="12:13" x14ac:dyDescent="0.2">
      <c r="L10076" s="12"/>
      <c r="M10076" s="13"/>
    </row>
    <row r="10077" spans="12:13" x14ac:dyDescent="0.2">
      <c r="L10077" s="12"/>
      <c r="M10077" s="13"/>
    </row>
    <row r="10078" spans="12:13" x14ac:dyDescent="0.2">
      <c r="L10078" s="12"/>
      <c r="M10078" s="13"/>
    </row>
    <row r="10079" spans="12:13" x14ac:dyDescent="0.2">
      <c r="L10079" s="12"/>
      <c r="M10079" s="13"/>
    </row>
    <row r="10080" spans="12:13" x14ac:dyDescent="0.2">
      <c r="L10080" s="12"/>
      <c r="M10080" s="13"/>
    </row>
    <row r="10081" spans="12:13" x14ac:dyDescent="0.2">
      <c r="L10081" s="12"/>
      <c r="M10081" s="13"/>
    </row>
    <row r="10082" spans="12:13" x14ac:dyDescent="0.2">
      <c r="L10082" s="12"/>
      <c r="M10082" s="13"/>
    </row>
    <row r="10083" spans="12:13" x14ac:dyDescent="0.2">
      <c r="L10083" s="12"/>
      <c r="M10083" s="13"/>
    </row>
    <row r="10084" spans="12:13" x14ac:dyDescent="0.2">
      <c r="L10084" s="12"/>
      <c r="M10084" s="13"/>
    </row>
    <row r="10085" spans="12:13" x14ac:dyDescent="0.2">
      <c r="L10085" s="12"/>
      <c r="M10085" s="13"/>
    </row>
    <row r="10086" spans="12:13" x14ac:dyDescent="0.2">
      <c r="L10086" s="12"/>
      <c r="M10086" s="13"/>
    </row>
    <row r="10087" spans="12:13" x14ac:dyDescent="0.2">
      <c r="L10087" s="12"/>
      <c r="M10087" s="13"/>
    </row>
    <row r="10088" spans="12:13" x14ac:dyDescent="0.2">
      <c r="L10088" s="12"/>
      <c r="M10088" s="13"/>
    </row>
    <row r="10089" spans="12:13" x14ac:dyDescent="0.2">
      <c r="L10089" s="12"/>
      <c r="M10089" s="13"/>
    </row>
    <row r="10090" spans="12:13" x14ac:dyDescent="0.2">
      <c r="L10090" s="12"/>
      <c r="M10090" s="13"/>
    </row>
    <row r="10091" spans="12:13" x14ac:dyDescent="0.2">
      <c r="L10091" s="12"/>
      <c r="M10091" s="13"/>
    </row>
    <row r="10092" spans="12:13" x14ac:dyDescent="0.2">
      <c r="L10092" s="12"/>
      <c r="M10092" s="13"/>
    </row>
    <row r="10093" spans="12:13" x14ac:dyDescent="0.2">
      <c r="L10093" s="12"/>
      <c r="M10093" s="13"/>
    </row>
    <row r="10094" spans="12:13" x14ac:dyDescent="0.2">
      <c r="L10094" s="12"/>
      <c r="M10094" s="13"/>
    </row>
    <row r="10095" spans="12:13" x14ac:dyDescent="0.2">
      <c r="L10095" s="12"/>
      <c r="M10095" s="13"/>
    </row>
    <row r="10096" spans="12:13" x14ac:dyDescent="0.2">
      <c r="L10096" s="12"/>
      <c r="M10096" s="13"/>
    </row>
    <row r="10097" spans="12:13" x14ac:dyDescent="0.2">
      <c r="L10097" s="12"/>
      <c r="M10097" s="13"/>
    </row>
    <row r="10098" spans="12:13" x14ac:dyDescent="0.2">
      <c r="L10098" s="12"/>
      <c r="M10098" s="13"/>
    </row>
    <row r="10099" spans="12:13" x14ac:dyDescent="0.2">
      <c r="L10099" s="12"/>
      <c r="M10099" s="13"/>
    </row>
    <row r="10100" spans="12:13" x14ac:dyDescent="0.2">
      <c r="L10100" s="12"/>
      <c r="M10100" s="13"/>
    </row>
    <row r="10101" spans="12:13" x14ac:dyDescent="0.2">
      <c r="L10101" s="12"/>
      <c r="M10101" s="13"/>
    </row>
    <row r="10102" spans="12:13" x14ac:dyDescent="0.2">
      <c r="L10102" s="12"/>
      <c r="M10102" s="13"/>
    </row>
    <row r="10103" spans="12:13" x14ac:dyDescent="0.2">
      <c r="L10103" s="12"/>
      <c r="M10103" s="13"/>
    </row>
    <row r="10104" spans="12:13" x14ac:dyDescent="0.2">
      <c r="L10104" s="12"/>
      <c r="M10104" s="13"/>
    </row>
    <row r="10105" spans="12:13" x14ac:dyDescent="0.2">
      <c r="L10105" s="12"/>
      <c r="M10105" s="13"/>
    </row>
    <row r="10106" spans="12:13" x14ac:dyDescent="0.2">
      <c r="L10106" s="12"/>
      <c r="M10106" s="13"/>
    </row>
    <row r="10107" spans="12:13" x14ac:dyDescent="0.2">
      <c r="L10107" s="12"/>
      <c r="M10107" s="13"/>
    </row>
    <row r="10108" spans="12:13" x14ac:dyDescent="0.2">
      <c r="L10108" s="12"/>
      <c r="M10108" s="13"/>
    </row>
    <row r="10109" spans="12:13" x14ac:dyDescent="0.2">
      <c r="L10109" s="12"/>
      <c r="M10109" s="13"/>
    </row>
    <row r="10110" spans="12:13" x14ac:dyDescent="0.2">
      <c r="L10110" s="12"/>
      <c r="M10110" s="13"/>
    </row>
    <row r="10111" spans="12:13" x14ac:dyDescent="0.2">
      <c r="L10111" s="12"/>
      <c r="M10111" s="13"/>
    </row>
    <row r="10112" spans="12:13" x14ac:dyDescent="0.2">
      <c r="L10112" s="12"/>
      <c r="M10112" s="13"/>
    </row>
    <row r="10113" spans="12:13" x14ac:dyDescent="0.2">
      <c r="L10113" s="12"/>
      <c r="M10113" s="13"/>
    </row>
    <row r="10114" spans="12:13" x14ac:dyDescent="0.2">
      <c r="L10114" s="12"/>
      <c r="M10114" s="13"/>
    </row>
    <row r="10115" spans="12:13" x14ac:dyDescent="0.2">
      <c r="L10115" s="12"/>
      <c r="M10115" s="13"/>
    </row>
    <row r="10116" spans="12:13" x14ac:dyDescent="0.2">
      <c r="L10116" s="12"/>
      <c r="M10116" s="13"/>
    </row>
    <row r="10117" spans="12:13" x14ac:dyDescent="0.2">
      <c r="L10117" s="12"/>
      <c r="M10117" s="13"/>
    </row>
    <row r="10118" spans="12:13" x14ac:dyDescent="0.2">
      <c r="L10118" s="12"/>
      <c r="M10118" s="13"/>
    </row>
    <row r="10119" spans="12:13" x14ac:dyDescent="0.2">
      <c r="L10119" s="12"/>
      <c r="M10119" s="13"/>
    </row>
    <row r="10120" spans="12:13" x14ac:dyDescent="0.2">
      <c r="L10120" s="12"/>
      <c r="M10120" s="13"/>
    </row>
    <row r="10121" spans="12:13" x14ac:dyDescent="0.2">
      <c r="L10121" s="12"/>
      <c r="M10121" s="13"/>
    </row>
    <row r="10122" spans="12:13" x14ac:dyDescent="0.2">
      <c r="L10122" s="12"/>
      <c r="M10122" s="13"/>
    </row>
    <row r="10123" spans="12:13" x14ac:dyDescent="0.2">
      <c r="L10123" s="12"/>
      <c r="M10123" s="13"/>
    </row>
    <row r="10124" spans="12:13" x14ac:dyDescent="0.2">
      <c r="L10124" s="12"/>
      <c r="M10124" s="13"/>
    </row>
    <row r="10125" spans="12:13" x14ac:dyDescent="0.2">
      <c r="L10125" s="12"/>
      <c r="M10125" s="13"/>
    </row>
    <row r="10126" spans="12:13" x14ac:dyDescent="0.2">
      <c r="L10126" s="12"/>
      <c r="M10126" s="13"/>
    </row>
    <row r="10127" spans="12:13" x14ac:dyDescent="0.2">
      <c r="L10127" s="12"/>
      <c r="M10127" s="13"/>
    </row>
    <row r="10128" spans="12:13" x14ac:dyDescent="0.2">
      <c r="L10128" s="12"/>
      <c r="M10128" s="13"/>
    </row>
    <row r="10129" spans="12:13" x14ac:dyDescent="0.2">
      <c r="L10129" s="12"/>
      <c r="M10129" s="13"/>
    </row>
    <row r="10130" spans="12:13" x14ac:dyDescent="0.2">
      <c r="L10130" s="12"/>
      <c r="M10130" s="13"/>
    </row>
    <row r="10131" spans="12:13" x14ac:dyDescent="0.2">
      <c r="L10131" s="12"/>
      <c r="M10131" s="13"/>
    </row>
    <row r="10132" spans="12:13" x14ac:dyDescent="0.2">
      <c r="L10132" s="12"/>
      <c r="M10132" s="13"/>
    </row>
    <row r="10133" spans="12:13" x14ac:dyDescent="0.2">
      <c r="L10133" s="12"/>
      <c r="M10133" s="13"/>
    </row>
    <row r="10134" spans="12:13" x14ac:dyDescent="0.2">
      <c r="L10134" s="12"/>
      <c r="M10134" s="13"/>
    </row>
    <row r="10135" spans="12:13" x14ac:dyDescent="0.2">
      <c r="L10135" s="12"/>
      <c r="M10135" s="13"/>
    </row>
    <row r="10136" spans="12:13" x14ac:dyDescent="0.2">
      <c r="L10136" s="12"/>
      <c r="M10136" s="13"/>
    </row>
    <row r="10137" spans="12:13" x14ac:dyDescent="0.2">
      <c r="L10137" s="12"/>
      <c r="M10137" s="13"/>
    </row>
    <row r="10138" spans="12:13" x14ac:dyDescent="0.2">
      <c r="L10138" s="12"/>
      <c r="M10138" s="13"/>
    </row>
    <row r="10139" spans="12:13" x14ac:dyDescent="0.2">
      <c r="L10139" s="12"/>
      <c r="M10139" s="13"/>
    </row>
    <row r="10140" spans="12:13" x14ac:dyDescent="0.2">
      <c r="L10140" s="12"/>
      <c r="M10140" s="13"/>
    </row>
    <row r="10141" spans="12:13" x14ac:dyDescent="0.2">
      <c r="L10141" s="12"/>
      <c r="M10141" s="13"/>
    </row>
    <row r="10142" spans="12:13" x14ac:dyDescent="0.2">
      <c r="L10142" s="12"/>
      <c r="M10142" s="13"/>
    </row>
    <row r="10143" spans="12:13" x14ac:dyDescent="0.2">
      <c r="L10143" s="12"/>
      <c r="M10143" s="13"/>
    </row>
    <row r="10144" spans="12:13" x14ac:dyDescent="0.2">
      <c r="L10144" s="12"/>
      <c r="M10144" s="13"/>
    </row>
    <row r="10145" spans="12:13" x14ac:dyDescent="0.2">
      <c r="L10145" s="12"/>
      <c r="M10145" s="13"/>
    </row>
    <row r="10146" spans="12:13" x14ac:dyDescent="0.2">
      <c r="L10146" s="12"/>
      <c r="M10146" s="13"/>
    </row>
    <row r="10147" spans="12:13" x14ac:dyDescent="0.2">
      <c r="L10147" s="12"/>
      <c r="M10147" s="13"/>
    </row>
    <row r="10148" spans="12:13" x14ac:dyDescent="0.2">
      <c r="L10148" s="12"/>
      <c r="M10148" s="13"/>
    </row>
    <row r="10149" spans="12:13" x14ac:dyDescent="0.2">
      <c r="L10149" s="12"/>
      <c r="M10149" s="13"/>
    </row>
    <row r="10150" spans="12:13" x14ac:dyDescent="0.2">
      <c r="L10150" s="12"/>
      <c r="M10150" s="13"/>
    </row>
    <row r="10151" spans="12:13" x14ac:dyDescent="0.2">
      <c r="L10151" s="12"/>
      <c r="M10151" s="13"/>
    </row>
    <row r="10152" spans="12:13" x14ac:dyDescent="0.2">
      <c r="L10152" s="12"/>
      <c r="M10152" s="13"/>
    </row>
    <row r="10153" spans="12:13" x14ac:dyDescent="0.2">
      <c r="L10153" s="12"/>
      <c r="M10153" s="13"/>
    </row>
    <row r="10154" spans="12:13" x14ac:dyDescent="0.2">
      <c r="L10154" s="12"/>
      <c r="M10154" s="13"/>
    </row>
    <row r="10155" spans="12:13" x14ac:dyDescent="0.2">
      <c r="L10155" s="12"/>
      <c r="M10155" s="13"/>
    </row>
    <row r="10156" spans="12:13" x14ac:dyDescent="0.2">
      <c r="L10156" s="12"/>
      <c r="M10156" s="13"/>
    </row>
    <row r="10157" spans="12:13" x14ac:dyDescent="0.2">
      <c r="L10157" s="12"/>
      <c r="M10157" s="13"/>
    </row>
    <row r="10158" spans="12:13" x14ac:dyDescent="0.2">
      <c r="L10158" s="12"/>
      <c r="M10158" s="13"/>
    </row>
    <row r="10159" spans="12:13" x14ac:dyDescent="0.2">
      <c r="L10159" s="12"/>
      <c r="M10159" s="13"/>
    </row>
    <row r="10160" spans="12:13" x14ac:dyDescent="0.2">
      <c r="L10160" s="12"/>
      <c r="M10160" s="13"/>
    </row>
    <row r="10161" spans="12:13" x14ac:dyDescent="0.2">
      <c r="L10161" s="12"/>
      <c r="M10161" s="13"/>
    </row>
    <row r="10162" spans="12:13" x14ac:dyDescent="0.2">
      <c r="L10162" s="12"/>
      <c r="M10162" s="13"/>
    </row>
    <row r="10163" spans="12:13" x14ac:dyDescent="0.2">
      <c r="L10163" s="12"/>
      <c r="M10163" s="13"/>
    </row>
    <row r="10164" spans="12:13" x14ac:dyDescent="0.2">
      <c r="L10164" s="12"/>
      <c r="M10164" s="13"/>
    </row>
    <row r="10165" spans="12:13" x14ac:dyDescent="0.2">
      <c r="L10165" s="12"/>
      <c r="M10165" s="13"/>
    </row>
    <row r="10166" spans="12:13" x14ac:dyDescent="0.2">
      <c r="L10166" s="12"/>
      <c r="M10166" s="13"/>
    </row>
    <row r="10167" spans="12:13" x14ac:dyDescent="0.2">
      <c r="L10167" s="12"/>
      <c r="M10167" s="13"/>
    </row>
    <row r="10168" spans="12:13" x14ac:dyDescent="0.2">
      <c r="L10168" s="12"/>
      <c r="M10168" s="13"/>
    </row>
    <row r="10169" spans="12:13" x14ac:dyDescent="0.2">
      <c r="L10169" s="12"/>
      <c r="M10169" s="13"/>
    </row>
    <row r="10170" spans="12:13" x14ac:dyDescent="0.2">
      <c r="L10170" s="12"/>
      <c r="M10170" s="13"/>
    </row>
    <row r="10171" spans="12:13" x14ac:dyDescent="0.2">
      <c r="L10171" s="12"/>
      <c r="M10171" s="13"/>
    </row>
    <row r="10172" spans="12:13" x14ac:dyDescent="0.2">
      <c r="L10172" s="12"/>
      <c r="M10172" s="13"/>
    </row>
    <row r="10173" spans="12:13" x14ac:dyDescent="0.2">
      <c r="L10173" s="12"/>
      <c r="M10173" s="13"/>
    </row>
    <row r="10174" spans="12:13" x14ac:dyDescent="0.2">
      <c r="L10174" s="12"/>
      <c r="M10174" s="13"/>
    </row>
    <row r="10175" spans="12:13" x14ac:dyDescent="0.2">
      <c r="L10175" s="12"/>
      <c r="M10175" s="13"/>
    </row>
    <row r="10176" spans="12:13" x14ac:dyDescent="0.2">
      <c r="L10176" s="12"/>
      <c r="M10176" s="13"/>
    </row>
    <row r="10177" spans="12:13" x14ac:dyDescent="0.2">
      <c r="L10177" s="12"/>
      <c r="M10177" s="13"/>
    </row>
    <row r="10178" spans="12:13" x14ac:dyDescent="0.2">
      <c r="L10178" s="12"/>
      <c r="M10178" s="13"/>
    </row>
    <row r="10179" spans="12:13" x14ac:dyDescent="0.2">
      <c r="L10179" s="12"/>
      <c r="M10179" s="13"/>
    </row>
    <row r="10180" spans="12:13" x14ac:dyDescent="0.2">
      <c r="L10180" s="12"/>
      <c r="M10180" s="13"/>
    </row>
    <row r="10181" spans="12:13" x14ac:dyDescent="0.2">
      <c r="L10181" s="12"/>
      <c r="M10181" s="13"/>
    </row>
    <row r="10182" spans="12:13" x14ac:dyDescent="0.2">
      <c r="L10182" s="12"/>
      <c r="M10182" s="13"/>
    </row>
    <row r="10183" spans="12:13" x14ac:dyDescent="0.2">
      <c r="L10183" s="12"/>
      <c r="M10183" s="13"/>
    </row>
    <row r="10184" spans="12:13" x14ac:dyDescent="0.2">
      <c r="L10184" s="12"/>
      <c r="M10184" s="13"/>
    </row>
    <row r="10185" spans="12:13" x14ac:dyDescent="0.2">
      <c r="L10185" s="12"/>
      <c r="M10185" s="13"/>
    </row>
    <row r="10186" spans="12:13" x14ac:dyDescent="0.2">
      <c r="L10186" s="12"/>
      <c r="M10186" s="13"/>
    </row>
    <row r="10187" spans="12:13" x14ac:dyDescent="0.2">
      <c r="L10187" s="12"/>
      <c r="M10187" s="13"/>
    </row>
    <row r="10188" spans="12:13" x14ac:dyDescent="0.2">
      <c r="L10188" s="12"/>
      <c r="M10188" s="13"/>
    </row>
    <row r="10189" spans="12:13" x14ac:dyDescent="0.2">
      <c r="L10189" s="12"/>
      <c r="M10189" s="13"/>
    </row>
    <row r="10190" spans="12:13" x14ac:dyDescent="0.2">
      <c r="L10190" s="12"/>
      <c r="M10190" s="13"/>
    </row>
    <row r="10191" spans="12:13" x14ac:dyDescent="0.2">
      <c r="L10191" s="12"/>
      <c r="M10191" s="13"/>
    </row>
    <row r="10192" spans="12:13" x14ac:dyDescent="0.2">
      <c r="L10192" s="12"/>
      <c r="M10192" s="13"/>
    </row>
    <row r="10193" spans="12:13" x14ac:dyDescent="0.2">
      <c r="L10193" s="12"/>
      <c r="M10193" s="13"/>
    </row>
    <row r="10194" spans="12:13" x14ac:dyDescent="0.2">
      <c r="L10194" s="12"/>
      <c r="M10194" s="13"/>
    </row>
    <row r="10195" spans="12:13" x14ac:dyDescent="0.2">
      <c r="L10195" s="12"/>
      <c r="M10195" s="13"/>
    </row>
    <row r="10196" spans="12:13" x14ac:dyDescent="0.2">
      <c r="L10196" s="12"/>
      <c r="M10196" s="13"/>
    </row>
    <row r="10197" spans="12:13" x14ac:dyDescent="0.2">
      <c r="L10197" s="12"/>
      <c r="M10197" s="13"/>
    </row>
    <row r="10198" spans="12:13" x14ac:dyDescent="0.2">
      <c r="L10198" s="12"/>
      <c r="M10198" s="13"/>
    </row>
    <row r="10199" spans="12:13" x14ac:dyDescent="0.2">
      <c r="L10199" s="12"/>
      <c r="M10199" s="13"/>
    </row>
    <row r="10200" spans="12:13" x14ac:dyDescent="0.2">
      <c r="L10200" s="12"/>
      <c r="M10200" s="13"/>
    </row>
    <row r="10201" spans="12:13" x14ac:dyDescent="0.2">
      <c r="L10201" s="12"/>
      <c r="M10201" s="13"/>
    </row>
    <row r="10202" spans="12:13" x14ac:dyDescent="0.2">
      <c r="L10202" s="12"/>
      <c r="M10202" s="13"/>
    </row>
    <row r="10203" spans="12:13" x14ac:dyDescent="0.2">
      <c r="L10203" s="12"/>
      <c r="M10203" s="13"/>
    </row>
    <row r="10204" spans="12:13" x14ac:dyDescent="0.2">
      <c r="L10204" s="12"/>
      <c r="M10204" s="13"/>
    </row>
    <row r="10205" spans="12:13" x14ac:dyDescent="0.2">
      <c r="L10205" s="12"/>
      <c r="M10205" s="13"/>
    </row>
    <row r="10206" spans="12:13" x14ac:dyDescent="0.2">
      <c r="L10206" s="12"/>
      <c r="M10206" s="13"/>
    </row>
    <row r="10207" spans="12:13" x14ac:dyDescent="0.2">
      <c r="L10207" s="12"/>
      <c r="M10207" s="13"/>
    </row>
    <row r="10208" spans="12:13" x14ac:dyDescent="0.2">
      <c r="L10208" s="12"/>
      <c r="M10208" s="13"/>
    </row>
    <row r="10209" spans="12:13" x14ac:dyDescent="0.2">
      <c r="L10209" s="12"/>
      <c r="M10209" s="13"/>
    </row>
    <row r="10210" spans="12:13" x14ac:dyDescent="0.2">
      <c r="L10210" s="12"/>
      <c r="M10210" s="13"/>
    </row>
    <row r="10211" spans="12:13" x14ac:dyDescent="0.2">
      <c r="L10211" s="12"/>
      <c r="M10211" s="13"/>
    </row>
    <row r="10212" spans="12:13" x14ac:dyDescent="0.2">
      <c r="L10212" s="12"/>
      <c r="M10212" s="13"/>
    </row>
    <row r="10213" spans="12:13" x14ac:dyDescent="0.2">
      <c r="L10213" s="12"/>
      <c r="M10213" s="13"/>
    </row>
    <row r="10214" spans="12:13" x14ac:dyDescent="0.2">
      <c r="L10214" s="12"/>
      <c r="M10214" s="13"/>
    </row>
    <row r="10215" spans="12:13" x14ac:dyDescent="0.2">
      <c r="L10215" s="12"/>
      <c r="M10215" s="13"/>
    </row>
    <row r="10216" spans="12:13" x14ac:dyDescent="0.2">
      <c r="L10216" s="12"/>
      <c r="M10216" s="13"/>
    </row>
    <row r="10217" spans="12:13" x14ac:dyDescent="0.2">
      <c r="L10217" s="12"/>
      <c r="M10217" s="13"/>
    </row>
    <row r="10218" spans="12:13" x14ac:dyDescent="0.2">
      <c r="L10218" s="12"/>
      <c r="M10218" s="13"/>
    </row>
    <row r="10219" spans="12:13" x14ac:dyDescent="0.2">
      <c r="L10219" s="12"/>
      <c r="M10219" s="13"/>
    </row>
    <row r="10220" spans="12:13" x14ac:dyDescent="0.2">
      <c r="L10220" s="12"/>
      <c r="M10220" s="13"/>
    </row>
    <row r="10221" spans="12:13" x14ac:dyDescent="0.2">
      <c r="L10221" s="12"/>
      <c r="M10221" s="13"/>
    </row>
    <row r="10222" spans="12:13" x14ac:dyDescent="0.2">
      <c r="L10222" s="12"/>
      <c r="M10222" s="13"/>
    </row>
    <row r="10223" spans="12:13" x14ac:dyDescent="0.2">
      <c r="L10223" s="12"/>
      <c r="M10223" s="13"/>
    </row>
    <row r="10224" spans="12:13" x14ac:dyDescent="0.2">
      <c r="L10224" s="12"/>
      <c r="M10224" s="13"/>
    </row>
    <row r="10225" spans="12:13" x14ac:dyDescent="0.2">
      <c r="L10225" s="12"/>
      <c r="M10225" s="13"/>
    </row>
    <row r="10226" spans="12:13" x14ac:dyDescent="0.2">
      <c r="L10226" s="12"/>
      <c r="M10226" s="13"/>
    </row>
    <row r="10227" spans="12:13" x14ac:dyDescent="0.2">
      <c r="L10227" s="12"/>
      <c r="M10227" s="13"/>
    </row>
    <row r="10228" spans="12:13" x14ac:dyDescent="0.2">
      <c r="L10228" s="12"/>
      <c r="M10228" s="13"/>
    </row>
    <row r="10229" spans="12:13" x14ac:dyDescent="0.2">
      <c r="L10229" s="12"/>
      <c r="M10229" s="13"/>
    </row>
    <row r="10230" spans="12:13" x14ac:dyDescent="0.2">
      <c r="L10230" s="12"/>
      <c r="M10230" s="13"/>
    </row>
    <row r="10231" spans="12:13" x14ac:dyDescent="0.2">
      <c r="L10231" s="12"/>
      <c r="M10231" s="13"/>
    </row>
    <row r="10232" spans="12:13" x14ac:dyDescent="0.2">
      <c r="L10232" s="12"/>
      <c r="M10232" s="13"/>
    </row>
    <row r="10233" spans="12:13" x14ac:dyDescent="0.2">
      <c r="L10233" s="12"/>
      <c r="M10233" s="13"/>
    </row>
    <row r="10234" spans="12:13" x14ac:dyDescent="0.2">
      <c r="L10234" s="12"/>
      <c r="M10234" s="13"/>
    </row>
    <row r="10235" spans="12:13" x14ac:dyDescent="0.2">
      <c r="L10235" s="12"/>
      <c r="M10235" s="13"/>
    </row>
    <row r="10236" spans="12:13" x14ac:dyDescent="0.2">
      <c r="L10236" s="12"/>
      <c r="M10236" s="13"/>
    </row>
    <row r="10237" spans="12:13" x14ac:dyDescent="0.2">
      <c r="L10237" s="12"/>
      <c r="M10237" s="13"/>
    </row>
    <row r="10238" spans="12:13" x14ac:dyDescent="0.2">
      <c r="L10238" s="12"/>
      <c r="M10238" s="13"/>
    </row>
    <row r="10239" spans="12:13" x14ac:dyDescent="0.2">
      <c r="L10239" s="12"/>
      <c r="M10239" s="13"/>
    </row>
    <row r="10240" spans="12:13" x14ac:dyDescent="0.2">
      <c r="L10240" s="12"/>
      <c r="M10240" s="13"/>
    </row>
    <row r="10241" spans="12:13" x14ac:dyDescent="0.2">
      <c r="L10241" s="12"/>
      <c r="M10241" s="13"/>
    </row>
    <row r="10242" spans="12:13" x14ac:dyDescent="0.2">
      <c r="L10242" s="17"/>
      <c r="M10242" s="18"/>
    </row>
    <row r="10243" spans="12:13" x14ac:dyDescent="0.2">
      <c r="L10243" s="12"/>
      <c r="M10243" s="13"/>
    </row>
    <row r="10244" spans="12:13" x14ac:dyDescent="0.2">
      <c r="L10244" s="12"/>
      <c r="M10244" s="13"/>
    </row>
    <row r="10245" spans="12:13" x14ac:dyDescent="0.2">
      <c r="L10245" s="12"/>
      <c r="M10245" s="13"/>
    </row>
    <row r="10246" spans="12:13" x14ac:dyDescent="0.2">
      <c r="L10246" s="12"/>
      <c r="M10246" s="13"/>
    </row>
    <row r="10247" spans="12:13" x14ac:dyDescent="0.2">
      <c r="L10247" s="12"/>
      <c r="M10247" s="13"/>
    </row>
    <row r="10248" spans="12:13" x14ac:dyDescent="0.2">
      <c r="L10248" s="12"/>
      <c r="M10248" s="13"/>
    </row>
    <row r="10249" spans="12:13" x14ac:dyDescent="0.2">
      <c r="L10249" s="12"/>
      <c r="M10249" s="13"/>
    </row>
    <row r="10250" spans="12:13" x14ac:dyDescent="0.2">
      <c r="L10250" s="12"/>
      <c r="M10250" s="13"/>
    </row>
    <row r="10251" spans="12:13" x14ac:dyDescent="0.2">
      <c r="L10251" s="12"/>
      <c r="M10251" s="13"/>
    </row>
    <row r="10252" spans="12:13" x14ac:dyDescent="0.2">
      <c r="L10252" s="12"/>
      <c r="M10252" s="13"/>
    </row>
    <row r="10253" spans="12:13" x14ac:dyDescent="0.2">
      <c r="L10253" s="12"/>
      <c r="M10253" s="13"/>
    </row>
    <row r="10254" spans="12:13" x14ac:dyDescent="0.2">
      <c r="L10254" s="12"/>
      <c r="M10254" s="13"/>
    </row>
    <row r="10255" spans="12:13" x14ac:dyDescent="0.2">
      <c r="L10255" s="12"/>
      <c r="M10255" s="13"/>
    </row>
    <row r="10256" spans="12:13" x14ac:dyDescent="0.2">
      <c r="L10256" s="12"/>
      <c r="M10256" s="13"/>
    </row>
    <row r="10257" spans="12:13" x14ac:dyDescent="0.2">
      <c r="L10257" s="12"/>
      <c r="M10257" s="13"/>
    </row>
    <row r="10258" spans="12:13" x14ac:dyDescent="0.2">
      <c r="L10258" s="12"/>
      <c r="M10258" s="13"/>
    </row>
    <row r="10259" spans="12:13" x14ac:dyDescent="0.2">
      <c r="L10259" s="12"/>
      <c r="M10259" s="13"/>
    </row>
    <row r="10260" spans="12:13" x14ac:dyDescent="0.2">
      <c r="L10260" s="12"/>
      <c r="M10260" s="13"/>
    </row>
    <row r="10261" spans="12:13" x14ac:dyDescent="0.2">
      <c r="L10261" s="12"/>
      <c r="M10261" s="13"/>
    </row>
    <row r="10262" spans="12:13" x14ac:dyDescent="0.2">
      <c r="L10262" s="12"/>
      <c r="M10262" s="13"/>
    </row>
    <row r="10263" spans="12:13" x14ac:dyDescent="0.2">
      <c r="L10263" s="12"/>
      <c r="M10263" s="13"/>
    </row>
    <row r="10264" spans="12:13" x14ac:dyDescent="0.2">
      <c r="L10264" s="12"/>
      <c r="M10264" s="13"/>
    </row>
    <row r="10265" spans="12:13" x14ac:dyDescent="0.2">
      <c r="L10265" s="12"/>
      <c r="M10265" s="13"/>
    </row>
    <row r="10266" spans="12:13" x14ac:dyDescent="0.2">
      <c r="L10266" s="12"/>
      <c r="M10266" s="13"/>
    </row>
    <row r="10267" spans="12:13" x14ac:dyDescent="0.2">
      <c r="L10267" s="12"/>
      <c r="M10267" s="13"/>
    </row>
    <row r="10268" spans="12:13" x14ac:dyDescent="0.2">
      <c r="L10268" s="12"/>
      <c r="M10268" s="13"/>
    </row>
    <row r="10269" spans="12:13" x14ac:dyDescent="0.2">
      <c r="L10269" s="12"/>
      <c r="M10269" s="13"/>
    </row>
    <row r="10270" spans="12:13" x14ac:dyDescent="0.2">
      <c r="L10270" s="12"/>
      <c r="M10270" s="13"/>
    </row>
    <row r="10271" spans="12:13" x14ac:dyDescent="0.2">
      <c r="L10271" s="12"/>
      <c r="M10271" s="13"/>
    </row>
    <row r="10272" spans="12:13" x14ac:dyDescent="0.2">
      <c r="L10272" s="12"/>
      <c r="M10272" s="13"/>
    </row>
    <row r="10273" spans="12:13" x14ac:dyDescent="0.2">
      <c r="L10273" s="12"/>
      <c r="M10273" s="13"/>
    </row>
    <row r="10274" spans="12:13" x14ac:dyDescent="0.2">
      <c r="L10274" s="12"/>
      <c r="M10274" s="13"/>
    </row>
    <row r="10275" spans="12:13" x14ac:dyDescent="0.2">
      <c r="L10275" s="12"/>
      <c r="M10275" s="13"/>
    </row>
    <row r="10276" spans="12:13" x14ac:dyDescent="0.2">
      <c r="L10276" s="12"/>
      <c r="M10276" s="13"/>
    </row>
    <row r="10277" spans="12:13" x14ac:dyDescent="0.2">
      <c r="L10277" s="12"/>
      <c r="M10277" s="13"/>
    </row>
    <row r="10278" spans="12:13" x14ac:dyDescent="0.2">
      <c r="L10278" s="12"/>
      <c r="M10278" s="13"/>
    </row>
    <row r="10279" spans="12:13" x14ac:dyDescent="0.2">
      <c r="L10279" s="12"/>
      <c r="M10279" s="13"/>
    </row>
    <row r="10280" spans="12:13" x14ac:dyDescent="0.2">
      <c r="L10280" s="12"/>
      <c r="M10280" s="13"/>
    </row>
    <row r="10281" spans="12:13" x14ac:dyDescent="0.2">
      <c r="L10281" s="12"/>
      <c r="M10281" s="13"/>
    </row>
    <row r="10282" spans="12:13" x14ac:dyDescent="0.2">
      <c r="L10282" s="12"/>
      <c r="M10282" s="13"/>
    </row>
    <row r="10283" spans="12:13" x14ac:dyDescent="0.2">
      <c r="L10283" s="12"/>
      <c r="M10283" s="13"/>
    </row>
    <row r="10284" spans="12:13" x14ac:dyDescent="0.2">
      <c r="L10284" s="12"/>
      <c r="M10284" s="13"/>
    </row>
    <row r="10285" spans="12:13" x14ac:dyDescent="0.2">
      <c r="L10285" s="12"/>
      <c r="M10285" s="13"/>
    </row>
    <row r="10286" spans="12:13" x14ac:dyDescent="0.2">
      <c r="L10286" s="12"/>
      <c r="M10286" s="13"/>
    </row>
    <row r="10287" spans="12:13" x14ac:dyDescent="0.2">
      <c r="L10287" s="12"/>
      <c r="M10287" s="13"/>
    </row>
    <row r="10288" spans="12:13" x14ac:dyDescent="0.2">
      <c r="L10288" s="12"/>
      <c r="M10288" s="13"/>
    </row>
    <row r="10289" spans="12:13" x14ac:dyDescent="0.2">
      <c r="L10289" s="12"/>
      <c r="M10289" s="13"/>
    </row>
    <row r="10290" spans="12:13" x14ac:dyDescent="0.2">
      <c r="L10290" s="12"/>
      <c r="M10290" s="13"/>
    </row>
    <row r="10291" spans="12:13" x14ac:dyDescent="0.2">
      <c r="L10291" s="12"/>
      <c r="M10291" s="13"/>
    </row>
    <row r="10292" spans="12:13" x14ac:dyDescent="0.2">
      <c r="L10292" s="12"/>
      <c r="M10292" s="13"/>
    </row>
    <row r="10293" spans="12:13" x14ac:dyDescent="0.2">
      <c r="L10293" s="12"/>
      <c r="M10293" s="13"/>
    </row>
    <row r="10294" spans="12:13" x14ac:dyDescent="0.2">
      <c r="L10294" s="12"/>
      <c r="M10294" s="13"/>
    </row>
    <row r="10295" spans="12:13" x14ac:dyDescent="0.2">
      <c r="L10295" s="12"/>
      <c r="M10295" s="13"/>
    </row>
    <row r="10296" spans="12:13" x14ac:dyDescent="0.2">
      <c r="L10296" s="12"/>
      <c r="M10296" s="13"/>
    </row>
    <row r="10297" spans="12:13" x14ac:dyDescent="0.2">
      <c r="L10297" s="12"/>
      <c r="M10297" s="13"/>
    </row>
    <row r="10298" spans="12:13" x14ac:dyDescent="0.2">
      <c r="L10298" s="12"/>
      <c r="M10298" s="13"/>
    </row>
    <row r="10299" spans="12:13" x14ac:dyDescent="0.2">
      <c r="L10299" s="12"/>
      <c r="M10299" s="13"/>
    </row>
    <row r="10300" spans="12:13" x14ac:dyDescent="0.2">
      <c r="L10300" s="12"/>
      <c r="M10300" s="13"/>
    </row>
    <row r="10301" spans="12:13" x14ac:dyDescent="0.2">
      <c r="L10301" s="12"/>
      <c r="M10301" s="13"/>
    </row>
    <row r="10302" spans="12:13" x14ac:dyDescent="0.2">
      <c r="L10302" s="12"/>
      <c r="M10302" s="13"/>
    </row>
    <row r="10303" spans="12:13" x14ac:dyDescent="0.2">
      <c r="L10303" s="12"/>
      <c r="M10303" s="13"/>
    </row>
    <row r="10304" spans="12:13" x14ac:dyDescent="0.2">
      <c r="L10304" s="12"/>
      <c r="M10304" s="13"/>
    </row>
    <row r="10305" spans="12:13" x14ac:dyDescent="0.2">
      <c r="L10305" s="12"/>
      <c r="M10305" s="13"/>
    </row>
    <row r="10306" spans="12:13" x14ac:dyDescent="0.2">
      <c r="L10306" s="12"/>
      <c r="M10306" s="13"/>
    </row>
    <row r="10307" spans="12:13" x14ac:dyDescent="0.2">
      <c r="L10307" s="12"/>
      <c r="M10307" s="13"/>
    </row>
    <row r="10308" spans="12:13" x14ac:dyDescent="0.2">
      <c r="L10308" s="12"/>
      <c r="M10308" s="13"/>
    </row>
    <row r="10309" spans="12:13" x14ac:dyDescent="0.2">
      <c r="L10309" s="12"/>
      <c r="M10309" s="13"/>
    </row>
    <row r="10310" spans="12:13" x14ac:dyDescent="0.2">
      <c r="L10310" s="12"/>
      <c r="M10310" s="13"/>
    </row>
    <row r="10311" spans="12:13" x14ac:dyDescent="0.2">
      <c r="L10311" s="12"/>
      <c r="M10311" s="13"/>
    </row>
    <row r="10312" spans="12:13" x14ac:dyDescent="0.2">
      <c r="L10312" s="12"/>
      <c r="M10312" s="13"/>
    </row>
    <row r="10313" spans="12:13" x14ac:dyDescent="0.2">
      <c r="L10313" s="12"/>
      <c r="M10313" s="13"/>
    </row>
    <row r="10314" spans="12:13" x14ac:dyDescent="0.2">
      <c r="L10314" s="12"/>
      <c r="M10314" s="13"/>
    </row>
    <row r="10315" spans="12:13" x14ac:dyDescent="0.2">
      <c r="L10315" s="12"/>
      <c r="M10315" s="13"/>
    </row>
    <row r="10316" spans="12:13" x14ac:dyDescent="0.2">
      <c r="L10316" s="12"/>
      <c r="M10316" s="13"/>
    </row>
    <row r="10317" spans="12:13" x14ac:dyDescent="0.2">
      <c r="L10317" s="12"/>
      <c r="M10317" s="13"/>
    </row>
    <row r="10318" spans="12:13" x14ac:dyDescent="0.2">
      <c r="L10318" s="12"/>
      <c r="M10318" s="13"/>
    </row>
    <row r="10319" spans="12:13" x14ac:dyDescent="0.2">
      <c r="L10319" s="12"/>
      <c r="M10319" s="13"/>
    </row>
    <row r="10320" spans="12:13" x14ac:dyDescent="0.2">
      <c r="L10320" s="12"/>
      <c r="M10320" s="13"/>
    </row>
    <row r="10321" spans="12:13" x14ac:dyDescent="0.2">
      <c r="L10321" s="12"/>
      <c r="M10321" s="13"/>
    </row>
    <row r="10322" spans="12:13" x14ac:dyDescent="0.2">
      <c r="L10322" s="12"/>
      <c r="M10322" s="13"/>
    </row>
    <row r="10323" spans="12:13" x14ac:dyDescent="0.2">
      <c r="L10323" s="12"/>
      <c r="M10323" s="13"/>
    </row>
    <row r="10324" spans="12:13" x14ac:dyDescent="0.2">
      <c r="L10324" s="12"/>
      <c r="M10324" s="13"/>
    </row>
    <row r="10325" spans="12:13" x14ac:dyDescent="0.2">
      <c r="L10325" s="12"/>
      <c r="M10325" s="13"/>
    </row>
    <row r="10326" spans="12:13" x14ac:dyDescent="0.2">
      <c r="L10326" s="12"/>
      <c r="M10326" s="13"/>
    </row>
    <row r="10327" spans="12:13" x14ac:dyDescent="0.2">
      <c r="L10327" s="12"/>
      <c r="M10327" s="13"/>
    </row>
    <row r="10328" spans="12:13" x14ac:dyDescent="0.2">
      <c r="L10328" s="12"/>
      <c r="M10328" s="13"/>
    </row>
    <row r="10329" spans="12:13" x14ac:dyDescent="0.2">
      <c r="L10329" s="12"/>
      <c r="M10329" s="13"/>
    </row>
    <row r="10330" spans="12:13" x14ac:dyDescent="0.2">
      <c r="L10330" s="12"/>
      <c r="M10330" s="13"/>
    </row>
    <row r="10331" spans="12:13" x14ac:dyDescent="0.2">
      <c r="L10331" s="12"/>
      <c r="M10331" s="13"/>
    </row>
    <row r="10332" spans="12:13" x14ac:dyDescent="0.2">
      <c r="L10332" s="12"/>
      <c r="M10332" s="13"/>
    </row>
    <row r="10333" spans="12:13" x14ac:dyDescent="0.2">
      <c r="L10333" s="12"/>
      <c r="M10333" s="13"/>
    </row>
    <row r="10334" spans="12:13" x14ac:dyDescent="0.2">
      <c r="L10334" s="12"/>
      <c r="M10334" s="13"/>
    </row>
    <row r="10335" spans="12:13" x14ac:dyDescent="0.2">
      <c r="L10335" s="12"/>
      <c r="M10335" s="13"/>
    </row>
    <row r="10336" spans="12:13" x14ac:dyDescent="0.2">
      <c r="L10336" s="12"/>
      <c r="M10336" s="13"/>
    </row>
    <row r="10337" spans="12:13" x14ac:dyDescent="0.2">
      <c r="L10337" s="12"/>
      <c r="M10337" s="13"/>
    </row>
    <row r="10338" spans="12:13" x14ac:dyDescent="0.2">
      <c r="L10338" s="12"/>
      <c r="M10338" s="13"/>
    </row>
    <row r="10339" spans="12:13" x14ac:dyDescent="0.2">
      <c r="L10339" s="12"/>
      <c r="M10339" s="13"/>
    </row>
    <row r="10340" spans="12:13" x14ac:dyDescent="0.2">
      <c r="L10340" s="12"/>
      <c r="M10340" s="13"/>
    </row>
    <row r="10341" spans="12:13" x14ac:dyDescent="0.2">
      <c r="L10341" s="12"/>
      <c r="M10341" s="13"/>
    </row>
    <row r="10342" spans="12:13" x14ac:dyDescent="0.2">
      <c r="L10342" s="12"/>
      <c r="M10342" s="13"/>
    </row>
    <row r="10343" spans="12:13" x14ac:dyDescent="0.2">
      <c r="L10343" s="12"/>
      <c r="M10343" s="13"/>
    </row>
    <row r="10344" spans="12:13" x14ac:dyDescent="0.2">
      <c r="L10344" s="12"/>
      <c r="M10344" s="13"/>
    </row>
    <row r="10345" spans="12:13" x14ac:dyDescent="0.2">
      <c r="L10345" s="12"/>
      <c r="M10345" s="13"/>
    </row>
    <row r="10346" spans="12:13" x14ac:dyDescent="0.2">
      <c r="L10346" s="12"/>
      <c r="M10346" s="13"/>
    </row>
    <row r="10347" spans="12:13" x14ac:dyDescent="0.2">
      <c r="L10347" s="12"/>
      <c r="M10347" s="13"/>
    </row>
    <row r="10348" spans="12:13" x14ac:dyDescent="0.2">
      <c r="L10348" s="12"/>
      <c r="M10348" s="13"/>
    </row>
    <row r="10349" spans="12:13" x14ac:dyDescent="0.2">
      <c r="L10349" s="12"/>
      <c r="M10349" s="13"/>
    </row>
    <row r="10350" spans="12:13" x14ac:dyDescent="0.2">
      <c r="L10350" s="12"/>
      <c r="M10350" s="13"/>
    </row>
    <row r="10351" spans="12:13" x14ac:dyDescent="0.2">
      <c r="L10351" s="12"/>
      <c r="M10351" s="13"/>
    </row>
    <row r="10352" spans="12:13" x14ac:dyDescent="0.2">
      <c r="L10352" s="12"/>
      <c r="M10352" s="13"/>
    </row>
    <row r="10353" spans="12:13" x14ac:dyDescent="0.2">
      <c r="L10353" s="12"/>
      <c r="M10353" s="13"/>
    </row>
    <row r="10354" spans="12:13" x14ac:dyDescent="0.2">
      <c r="L10354" s="12"/>
      <c r="M10354" s="13"/>
    </row>
    <row r="10355" spans="12:13" x14ac:dyDescent="0.2">
      <c r="L10355" s="12"/>
      <c r="M10355" s="13"/>
    </row>
    <row r="10356" spans="12:13" x14ac:dyDescent="0.2">
      <c r="L10356" s="12"/>
      <c r="M10356" s="13"/>
    </row>
    <row r="10357" spans="12:13" x14ac:dyDescent="0.2">
      <c r="L10357" s="12"/>
      <c r="M10357" s="13"/>
    </row>
    <row r="10358" spans="12:13" x14ac:dyDescent="0.2">
      <c r="L10358" s="12"/>
      <c r="M10358" s="13"/>
    </row>
    <row r="10359" spans="12:13" x14ac:dyDescent="0.2">
      <c r="L10359" s="12"/>
      <c r="M10359" s="13"/>
    </row>
    <row r="10360" spans="12:13" x14ac:dyDescent="0.2">
      <c r="L10360" s="12"/>
      <c r="M10360" s="13"/>
    </row>
    <row r="10361" spans="12:13" x14ac:dyDescent="0.2">
      <c r="L10361" s="12"/>
      <c r="M10361" s="13"/>
    </row>
    <row r="10362" spans="12:13" x14ac:dyDescent="0.2">
      <c r="L10362" s="12"/>
      <c r="M10362" s="13"/>
    </row>
    <row r="10363" spans="12:13" x14ac:dyDescent="0.2">
      <c r="L10363" s="12"/>
      <c r="M10363" s="13"/>
    </row>
    <row r="10364" spans="12:13" x14ac:dyDescent="0.2">
      <c r="L10364" s="12"/>
      <c r="M10364" s="13"/>
    </row>
    <row r="10365" spans="12:13" x14ac:dyDescent="0.2">
      <c r="L10365" s="12"/>
      <c r="M10365" s="13"/>
    </row>
    <row r="10366" spans="12:13" x14ac:dyDescent="0.2">
      <c r="L10366" s="12"/>
      <c r="M10366" s="13"/>
    </row>
    <row r="10367" spans="12:13" x14ac:dyDescent="0.2">
      <c r="L10367" s="12"/>
      <c r="M10367" s="13"/>
    </row>
    <row r="10368" spans="12:13" x14ac:dyDescent="0.2">
      <c r="L10368" s="12"/>
      <c r="M10368" s="13"/>
    </row>
    <row r="10369" spans="12:13" x14ac:dyDescent="0.2">
      <c r="L10369" s="12"/>
      <c r="M10369" s="13"/>
    </row>
    <row r="10370" spans="12:13" x14ac:dyDescent="0.2">
      <c r="L10370" s="12"/>
      <c r="M10370" s="13"/>
    </row>
    <row r="10371" spans="12:13" x14ac:dyDescent="0.2">
      <c r="L10371" s="12"/>
      <c r="M10371" s="13"/>
    </row>
    <row r="10372" spans="12:13" x14ac:dyDescent="0.2">
      <c r="L10372" s="12"/>
      <c r="M10372" s="13"/>
    </row>
    <row r="10373" spans="12:13" x14ac:dyDescent="0.2">
      <c r="L10373" s="12"/>
      <c r="M10373" s="13"/>
    </row>
    <row r="10374" spans="12:13" x14ac:dyDescent="0.2">
      <c r="L10374" s="12"/>
      <c r="M10374" s="13"/>
    </row>
    <row r="10375" spans="12:13" x14ac:dyDescent="0.2">
      <c r="L10375" s="12"/>
      <c r="M10375" s="13"/>
    </row>
    <row r="10376" spans="12:13" x14ac:dyDescent="0.2">
      <c r="L10376" s="12"/>
      <c r="M10376" s="13"/>
    </row>
    <row r="10377" spans="12:13" x14ac:dyDescent="0.2">
      <c r="L10377" s="12"/>
      <c r="M10377" s="13"/>
    </row>
    <row r="10378" spans="12:13" x14ac:dyDescent="0.2">
      <c r="L10378" s="12"/>
      <c r="M10378" s="13"/>
    </row>
    <row r="10379" spans="12:13" x14ac:dyDescent="0.2">
      <c r="L10379" s="12"/>
      <c r="M10379" s="13"/>
    </row>
    <row r="10380" spans="12:13" x14ac:dyDescent="0.2">
      <c r="L10380" s="12"/>
      <c r="M10380" s="13"/>
    </row>
    <row r="10381" spans="12:13" x14ac:dyDescent="0.2">
      <c r="L10381" s="12"/>
      <c r="M10381" s="13"/>
    </row>
    <row r="10382" spans="12:13" x14ac:dyDescent="0.2">
      <c r="L10382" s="12"/>
      <c r="M10382" s="13"/>
    </row>
    <row r="10383" spans="12:13" x14ac:dyDescent="0.2">
      <c r="L10383" s="12"/>
      <c r="M10383" s="13"/>
    </row>
    <row r="10384" spans="12:13" x14ac:dyDescent="0.2">
      <c r="L10384" s="12"/>
      <c r="M10384" s="13"/>
    </row>
    <row r="10385" spans="12:13" x14ac:dyDescent="0.2">
      <c r="L10385" s="12"/>
      <c r="M10385" s="13"/>
    </row>
    <row r="10386" spans="12:13" x14ac:dyDescent="0.2">
      <c r="L10386" s="12"/>
      <c r="M10386" s="13"/>
    </row>
    <row r="10387" spans="12:13" x14ac:dyDescent="0.2">
      <c r="L10387" s="12"/>
      <c r="M10387" s="13"/>
    </row>
    <row r="10388" spans="12:13" x14ac:dyDescent="0.2">
      <c r="L10388" s="12"/>
      <c r="M10388" s="13"/>
    </row>
    <row r="10389" spans="12:13" x14ac:dyDescent="0.2">
      <c r="L10389" s="12"/>
      <c r="M10389" s="13"/>
    </row>
    <row r="10390" spans="12:13" x14ac:dyDescent="0.2">
      <c r="L10390" s="12"/>
      <c r="M10390" s="13"/>
    </row>
    <row r="10391" spans="12:13" x14ac:dyDescent="0.2">
      <c r="L10391" s="12"/>
      <c r="M10391" s="13"/>
    </row>
    <row r="10392" spans="12:13" x14ac:dyDescent="0.2">
      <c r="L10392" s="12"/>
      <c r="M10392" s="13"/>
    </row>
    <row r="10393" spans="12:13" x14ac:dyDescent="0.2">
      <c r="L10393" s="12"/>
      <c r="M10393" s="13"/>
    </row>
    <row r="10394" spans="12:13" x14ac:dyDescent="0.2">
      <c r="L10394" s="12"/>
      <c r="M10394" s="13"/>
    </row>
    <row r="10395" spans="12:13" x14ac:dyDescent="0.2">
      <c r="L10395" s="12"/>
      <c r="M10395" s="13"/>
    </row>
    <row r="10396" spans="12:13" x14ac:dyDescent="0.2">
      <c r="L10396" s="12"/>
      <c r="M10396" s="13"/>
    </row>
    <row r="10397" spans="12:13" x14ac:dyDescent="0.2">
      <c r="L10397" s="12"/>
      <c r="M10397" s="13"/>
    </row>
    <row r="10398" spans="12:13" x14ac:dyDescent="0.2">
      <c r="L10398" s="12"/>
      <c r="M10398" s="13"/>
    </row>
    <row r="10399" spans="12:13" x14ac:dyDescent="0.2">
      <c r="L10399" s="12"/>
      <c r="M10399" s="13"/>
    </row>
    <row r="10400" spans="12:13" x14ac:dyDescent="0.2">
      <c r="L10400" s="12"/>
      <c r="M10400" s="13"/>
    </row>
    <row r="10401" spans="12:13" x14ac:dyDescent="0.2">
      <c r="L10401" s="12"/>
      <c r="M10401" s="13"/>
    </row>
    <row r="10402" spans="12:13" x14ac:dyDescent="0.2">
      <c r="L10402" s="12"/>
      <c r="M10402" s="13"/>
    </row>
    <row r="10403" spans="12:13" x14ac:dyDescent="0.2">
      <c r="L10403" s="12"/>
      <c r="M10403" s="13"/>
    </row>
    <row r="10404" spans="12:13" x14ac:dyDescent="0.2">
      <c r="L10404" s="12"/>
      <c r="M10404" s="13"/>
    </row>
    <row r="10405" spans="12:13" x14ac:dyDescent="0.2">
      <c r="L10405" s="12"/>
      <c r="M10405" s="13"/>
    </row>
    <row r="10406" spans="12:13" x14ac:dyDescent="0.2">
      <c r="L10406" s="12"/>
      <c r="M10406" s="13"/>
    </row>
    <row r="10407" spans="12:13" x14ac:dyDescent="0.2">
      <c r="L10407" s="12"/>
      <c r="M10407" s="13"/>
    </row>
    <row r="10408" spans="12:13" x14ac:dyDescent="0.2">
      <c r="L10408" s="12"/>
      <c r="M10408" s="13"/>
    </row>
    <row r="10409" spans="12:13" x14ac:dyDescent="0.2">
      <c r="L10409" s="12"/>
      <c r="M10409" s="13"/>
    </row>
    <row r="10410" spans="12:13" x14ac:dyDescent="0.2">
      <c r="L10410" s="12"/>
      <c r="M10410" s="13"/>
    </row>
    <row r="10411" spans="12:13" x14ac:dyDescent="0.2">
      <c r="L10411" s="12"/>
      <c r="M10411" s="13"/>
    </row>
    <row r="10412" spans="12:13" x14ac:dyDescent="0.2">
      <c r="L10412" s="12"/>
      <c r="M10412" s="13"/>
    </row>
    <row r="10413" spans="12:13" x14ac:dyDescent="0.2">
      <c r="L10413" s="12"/>
      <c r="M10413" s="13"/>
    </row>
    <row r="10414" spans="12:13" x14ac:dyDescent="0.2">
      <c r="L10414" s="12"/>
      <c r="M10414" s="13"/>
    </row>
    <row r="10415" spans="12:13" x14ac:dyDescent="0.2">
      <c r="L10415" s="12"/>
      <c r="M10415" s="13"/>
    </row>
    <row r="10416" spans="12:13" x14ac:dyDescent="0.2">
      <c r="L10416" s="12"/>
      <c r="M10416" s="13"/>
    </row>
    <row r="10417" spans="12:13" x14ac:dyDescent="0.2">
      <c r="L10417" s="12"/>
      <c r="M10417" s="13"/>
    </row>
    <row r="10418" spans="12:13" x14ac:dyDescent="0.2">
      <c r="L10418" s="12"/>
      <c r="M10418" s="13"/>
    </row>
    <row r="10419" spans="12:13" x14ac:dyDescent="0.2">
      <c r="L10419" s="12"/>
      <c r="M10419" s="13"/>
    </row>
    <row r="10420" spans="12:13" x14ac:dyDescent="0.2">
      <c r="L10420" s="12"/>
      <c r="M10420" s="13"/>
    </row>
    <row r="10421" spans="12:13" x14ac:dyDescent="0.2">
      <c r="L10421" s="12"/>
      <c r="M10421" s="13"/>
    </row>
    <row r="10422" spans="12:13" x14ac:dyDescent="0.2">
      <c r="L10422" s="12"/>
      <c r="M10422" s="13"/>
    </row>
    <row r="10423" spans="12:13" x14ac:dyDescent="0.2">
      <c r="L10423" s="12"/>
      <c r="M10423" s="13"/>
    </row>
    <row r="10424" spans="12:13" x14ac:dyDescent="0.2">
      <c r="L10424" s="12"/>
      <c r="M10424" s="13"/>
    </row>
    <row r="10425" spans="12:13" x14ac:dyDescent="0.2">
      <c r="L10425" s="12"/>
      <c r="M10425" s="13"/>
    </row>
    <row r="10426" spans="12:13" x14ac:dyDescent="0.2">
      <c r="L10426" s="12"/>
      <c r="M10426" s="13"/>
    </row>
    <row r="10427" spans="12:13" x14ac:dyDescent="0.2">
      <c r="L10427" s="12"/>
      <c r="M10427" s="13"/>
    </row>
    <row r="10428" spans="12:13" x14ac:dyDescent="0.2">
      <c r="L10428" s="12"/>
      <c r="M10428" s="13"/>
    </row>
    <row r="10429" spans="12:13" x14ac:dyDescent="0.2">
      <c r="L10429" s="12"/>
      <c r="M10429" s="13"/>
    </row>
    <row r="10430" spans="12:13" x14ac:dyDescent="0.2">
      <c r="L10430" s="12"/>
      <c r="M10430" s="13"/>
    </row>
    <row r="10431" spans="12:13" x14ac:dyDescent="0.2">
      <c r="L10431" s="12"/>
      <c r="M10431" s="13"/>
    </row>
    <row r="10432" spans="12:13" x14ac:dyDescent="0.2">
      <c r="L10432" s="12"/>
      <c r="M10432" s="13"/>
    </row>
    <row r="10433" spans="12:13" x14ac:dyDescent="0.2">
      <c r="L10433" s="12"/>
      <c r="M10433" s="13"/>
    </row>
    <row r="10434" spans="12:13" x14ac:dyDescent="0.2">
      <c r="L10434" s="12"/>
      <c r="M10434" s="13"/>
    </row>
    <row r="10435" spans="12:13" x14ac:dyDescent="0.2">
      <c r="L10435" s="12"/>
      <c r="M10435" s="13"/>
    </row>
    <row r="10436" spans="12:13" x14ac:dyDescent="0.2">
      <c r="L10436" s="12"/>
      <c r="M10436" s="13"/>
    </row>
    <row r="10437" spans="12:13" x14ac:dyDescent="0.2">
      <c r="L10437" s="12"/>
      <c r="M10437" s="13"/>
    </row>
    <row r="10438" spans="12:13" x14ac:dyDescent="0.2">
      <c r="L10438" s="12"/>
      <c r="M10438" s="13"/>
    </row>
    <row r="10439" spans="12:13" x14ac:dyDescent="0.2">
      <c r="L10439" s="12"/>
      <c r="M10439" s="13"/>
    </row>
    <row r="10440" spans="12:13" x14ac:dyDescent="0.2">
      <c r="L10440" s="12"/>
      <c r="M10440" s="13"/>
    </row>
    <row r="10441" spans="12:13" x14ac:dyDescent="0.2">
      <c r="L10441" s="12"/>
      <c r="M10441" s="13"/>
    </row>
    <row r="10442" spans="12:13" x14ac:dyDescent="0.2">
      <c r="L10442" s="12"/>
      <c r="M10442" s="13"/>
    </row>
    <row r="10443" spans="12:13" x14ac:dyDescent="0.2">
      <c r="L10443" s="12"/>
      <c r="M10443" s="13"/>
    </row>
    <row r="10444" spans="12:13" x14ac:dyDescent="0.2">
      <c r="L10444" s="12"/>
      <c r="M10444" s="13"/>
    </row>
    <row r="10445" spans="12:13" x14ac:dyDescent="0.2">
      <c r="L10445" s="12"/>
      <c r="M10445" s="13"/>
    </row>
    <row r="10446" spans="12:13" x14ac:dyDescent="0.2">
      <c r="L10446" s="12"/>
      <c r="M10446" s="13"/>
    </row>
    <row r="10447" spans="12:13" x14ac:dyDescent="0.2">
      <c r="L10447" s="12"/>
      <c r="M10447" s="13"/>
    </row>
    <row r="10448" spans="12:13" x14ac:dyDescent="0.2">
      <c r="L10448" s="12"/>
      <c r="M10448" s="13"/>
    </row>
    <row r="10449" spans="12:13" x14ac:dyDescent="0.2">
      <c r="L10449" s="12"/>
      <c r="M10449" s="13"/>
    </row>
    <row r="10450" spans="12:13" x14ac:dyDescent="0.2">
      <c r="L10450" s="12"/>
      <c r="M10450" s="13"/>
    </row>
    <row r="10451" spans="12:13" x14ac:dyDescent="0.2">
      <c r="L10451" s="12"/>
      <c r="M10451" s="13"/>
    </row>
    <row r="10452" spans="12:13" x14ac:dyDescent="0.2">
      <c r="L10452" s="12"/>
      <c r="M10452" s="13"/>
    </row>
    <row r="10453" spans="12:13" x14ac:dyDescent="0.2">
      <c r="L10453" s="12"/>
      <c r="M10453" s="13"/>
    </row>
    <row r="10454" spans="12:13" x14ac:dyDescent="0.2">
      <c r="L10454" s="12"/>
      <c r="M10454" s="13"/>
    </row>
    <row r="10455" spans="12:13" x14ac:dyDescent="0.2">
      <c r="L10455" s="12"/>
      <c r="M10455" s="13"/>
    </row>
    <row r="10456" spans="12:13" x14ac:dyDescent="0.2">
      <c r="L10456" s="12"/>
      <c r="M10456" s="13"/>
    </row>
    <row r="10457" spans="12:13" x14ac:dyDescent="0.2">
      <c r="L10457" s="12"/>
      <c r="M10457" s="13"/>
    </row>
    <row r="10458" spans="12:13" x14ac:dyDescent="0.2">
      <c r="L10458" s="12"/>
      <c r="M10458" s="13"/>
    </row>
    <row r="10459" spans="12:13" x14ac:dyDescent="0.2">
      <c r="L10459" s="12"/>
      <c r="M10459" s="13"/>
    </row>
    <row r="10460" spans="12:13" x14ac:dyDescent="0.2">
      <c r="L10460" s="12"/>
      <c r="M10460" s="13"/>
    </row>
    <row r="10461" spans="12:13" x14ac:dyDescent="0.2">
      <c r="L10461" s="12"/>
      <c r="M10461" s="13"/>
    </row>
    <row r="10462" spans="12:13" x14ac:dyDescent="0.2">
      <c r="L10462" s="12"/>
      <c r="M10462" s="13"/>
    </row>
    <row r="10463" spans="12:13" x14ac:dyDescent="0.2">
      <c r="L10463" s="12"/>
      <c r="M10463" s="13"/>
    </row>
    <row r="10464" spans="12:13" x14ac:dyDescent="0.2">
      <c r="L10464" s="12"/>
      <c r="M10464" s="13"/>
    </row>
    <row r="10465" spans="12:13" x14ac:dyDescent="0.2">
      <c r="L10465" s="12"/>
      <c r="M10465" s="13"/>
    </row>
    <row r="10466" spans="12:13" x14ac:dyDescent="0.2">
      <c r="L10466" s="12"/>
      <c r="M10466" s="13"/>
    </row>
    <row r="10467" spans="12:13" x14ac:dyDescent="0.2">
      <c r="L10467" s="12"/>
      <c r="M10467" s="13"/>
    </row>
    <row r="10468" spans="12:13" x14ac:dyDescent="0.2">
      <c r="L10468" s="12"/>
      <c r="M10468" s="13"/>
    </row>
    <row r="10469" spans="12:13" x14ac:dyDescent="0.2">
      <c r="L10469" s="12"/>
      <c r="M10469" s="13"/>
    </row>
    <row r="10470" spans="12:13" x14ac:dyDescent="0.2">
      <c r="L10470" s="12"/>
      <c r="M10470" s="13"/>
    </row>
    <row r="10471" spans="12:13" x14ac:dyDescent="0.2">
      <c r="L10471" s="12"/>
      <c r="M10471" s="13"/>
    </row>
    <row r="10472" spans="12:13" x14ac:dyDescent="0.2">
      <c r="L10472" s="12"/>
      <c r="M10472" s="13"/>
    </row>
    <row r="10473" spans="12:13" x14ac:dyDescent="0.2">
      <c r="L10473" s="12"/>
      <c r="M10473" s="13"/>
    </row>
    <row r="10474" spans="12:13" x14ac:dyDescent="0.2">
      <c r="L10474" s="12"/>
      <c r="M10474" s="13"/>
    </row>
    <row r="10475" spans="12:13" x14ac:dyDescent="0.2">
      <c r="L10475" s="12"/>
      <c r="M10475" s="13"/>
    </row>
    <row r="10476" spans="12:13" x14ac:dyDescent="0.2">
      <c r="L10476" s="12"/>
      <c r="M10476" s="13"/>
    </row>
    <row r="10477" spans="12:13" x14ac:dyDescent="0.2">
      <c r="L10477" s="12"/>
      <c r="M10477" s="13"/>
    </row>
    <row r="10478" spans="12:13" x14ac:dyDescent="0.2">
      <c r="L10478" s="12"/>
      <c r="M10478" s="13"/>
    </row>
    <row r="10479" spans="12:13" x14ac:dyDescent="0.2">
      <c r="L10479" s="12"/>
      <c r="M10479" s="13"/>
    </row>
    <row r="10480" spans="12:13" x14ac:dyDescent="0.2">
      <c r="L10480" s="12"/>
      <c r="M10480" s="13"/>
    </row>
    <row r="10481" spans="12:13" x14ac:dyDescent="0.2">
      <c r="L10481" s="12"/>
      <c r="M10481" s="13"/>
    </row>
    <row r="10482" spans="12:13" x14ac:dyDescent="0.2">
      <c r="L10482" s="12"/>
      <c r="M10482" s="13"/>
    </row>
    <row r="10483" spans="12:13" x14ac:dyDescent="0.2">
      <c r="L10483" s="12"/>
      <c r="M10483" s="13"/>
    </row>
    <row r="10484" spans="12:13" x14ac:dyDescent="0.2">
      <c r="L10484" s="12"/>
      <c r="M10484" s="13"/>
    </row>
    <row r="10485" spans="12:13" x14ac:dyDescent="0.2">
      <c r="L10485" s="12"/>
      <c r="M10485" s="13"/>
    </row>
    <row r="10486" spans="12:13" x14ac:dyDescent="0.2">
      <c r="L10486" s="12"/>
      <c r="M10486" s="13"/>
    </row>
    <row r="10487" spans="12:13" x14ac:dyDescent="0.2">
      <c r="L10487" s="12"/>
      <c r="M10487" s="13"/>
    </row>
    <row r="10488" spans="12:13" x14ac:dyDescent="0.2">
      <c r="L10488" s="12"/>
      <c r="M10488" s="13"/>
    </row>
    <row r="10489" spans="12:13" x14ac:dyDescent="0.2">
      <c r="L10489" s="12"/>
      <c r="M10489" s="13"/>
    </row>
    <row r="10490" spans="12:13" x14ac:dyDescent="0.2">
      <c r="L10490" s="12"/>
      <c r="M10490" s="13"/>
    </row>
    <row r="10491" spans="12:13" x14ac:dyDescent="0.2">
      <c r="L10491" s="12"/>
      <c r="M10491" s="13"/>
    </row>
    <row r="10492" spans="12:13" x14ac:dyDescent="0.2">
      <c r="L10492" s="12"/>
      <c r="M10492" s="13"/>
    </row>
    <row r="10493" spans="12:13" x14ac:dyDescent="0.2">
      <c r="L10493" s="12"/>
      <c r="M10493" s="13"/>
    </row>
    <row r="10494" spans="12:13" x14ac:dyDescent="0.2">
      <c r="L10494" s="12"/>
      <c r="M10494" s="13"/>
    </row>
    <row r="10495" spans="12:13" x14ac:dyDescent="0.2">
      <c r="L10495" s="12"/>
      <c r="M10495" s="13"/>
    </row>
    <row r="10496" spans="12:13" x14ac:dyDescent="0.2">
      <c r="L10496" s="12"/>
      <c r="M10496" s="13"/>
    </row>
    <row r="10497" spans="12:13" x14ac:dyDescent="0.2">
      <c r="L10497" s="12"/>
      <c r="M10497" s="13"/>
    </row>
    <row r="10498" spans="12:13" x14ac:dyDescent="0.2">
      <c r="L10498" s="17"/>
      <c r="M10498" s="18"/>
    </row>
    <row r="10499" spans="12:13" x14ac:dyDescent="0.2">
      <c r="L10499" s="12"/>
      <c r="M10499" s="13"/>
    </row>
    <row r="10500" spans="12:13" x14ac:dyDescent="0.2">
      <c r="L10500" s="12"/>
      <c r="M10500" s="13"/>
    </row>
    <row r="10501" spans="12:13" x14ac:dyDescent="0.2">
      <c r="L10501" s="12"/>
      <c r="M10501" s="13"/>
    </row>
    <row r="10502" spans="12:13" x14ac:dyDescent="0.2">
      <c r="L10502" s="12"/>
      <c r="M10502" s="13"/>
    </row>
    <row r="10503" spans="12:13" x14ac:dyDescent="0.2">
      <c r="L10503" s="12"/>
      <c r="M10503" s="13"/>
    </row>
    <row r="10504" spans="12:13" x14ac:dyDescent="0.2">
      <c r="L10504" s="12"/>
      <c r="M10504" s="13"/>
    </row>
    <row r="10505" spans="12:13" x14ac:dyDescent="0.2">
      <c r="L10505" s="12"/>
      <c r="M10505" s="13"/>
    </row>
    <row r="10506" spans="12:13" x14ac:dyDescent="0.2">
      <c r="L10506" s="12"/>
      <c r="M10506" s="13"/>
    </row>
    <row r="10507" spans="12:13" x14ac:dyDescent="0.2">
      <c r="L10507" s="12"/>
      <c r="M10507" s="13"/>
    </row>
    <row r="10508" spans="12:13" x14ac:dyDescent="0.2">
      <c r="L10508" s="12"/>
      <c r="M10508" s="13"/>
    </row>
    <row r="10509" spans="12:13" x14ac:dyDescent="0.2">
      <c r="L10509" s="12"/>
      <c r="M10509" s="13"/>
    </row>
    <row r="10510" spans="12:13" x14ac:dyDescent="0.2">
      <c r="L10510" s="12"/>
      <c r="M10510" s="13"/>
    </row>
    <row r="10511" spans="12:13" x14ac:dyDescent="0.2">
      <c r="L10511" s="12"/>
      <c r="M10511" s="13"/>
    </row>
    <row r="10512" spans="12:13" x14ac:dyDescent="0.2">
      <c r="L10512" s="12"/>
      <c r="M10512" s="13"/>
    </row>
    <row r="10513" spans="12:13" x14ac:dyDescent="0.2">
      <c r="L10513" s="12"/>
      <c r="M10513" s="13"/>
    </row>
    <row r="10514" spans="12:13" x14ac:dyDescent="0.2">
      <c r="L10514" s="12"/>
      <c r="M10514" s="13"/>
    </row>
    <row r="10515" spans="12:13" x14ac:dyDescent="0.2">
      <c r="L10515" s="12"/>
      <c r="M10515" s="13"/>
    </row>
    <row r="10516" spans="12:13" x14ac:dyDescent="0.2">
      <c r="L10516" s="12"/>
      <c r="M10516" s="13"/>
    </row>
    <row r="10517" spans="12:13" x14ac:dyDescent="0.2">
      <c r="L10517" s="12"/>
      <c r="M10517" s="13"/>
    </row>
    <row r="10518" spans="12:13" x14ac:dyDescent="0.2">
      <c r="L10518" s="12"/>
      <c r="M10518" s="13"/>
    </row>
    <row r="10519" spans="12:13" x14ac:dyDescent="0.2">
      <c r="L10519" s="12"/>
      <c r="M10519" s="13"/>
    </row>
    <row r="10520" spans="12:13" x14ac:dyDescent="0.2">
      <c r="L10520" s="12"/>
      <c r="M10520" s="13"/>
    </row>
    <row r="10521" spans="12:13" x14ac:dyDescent="0.2">
      <c r="L10521" s="12"/>
      <c r="M10521" s="13"/>
    </row>
    <row r="10522" spans="12:13" x14ac:dyDescent="0.2">
      <c r="L10522" s="12"/>
      <c r="M10522" s="13"/>
    </row>
    <row r="10523" spans="12:13" x14ac:dyDescent="0.2">
      <c r="L10523" s="12"/>
      <c r="M10523" s="13"/>
    </row>
    <row r="10524" spans="12:13" x14ac:dyDescent="0.2">
      <c r="L10524" s="12"/>
      <c r="M10524" s="13"/>
    </row>
    <row r="10525" spans="12:13" x14ac:dyDescent="0.2">
      <c r="L10525" s="12"/>
      <c r="M10525" s="13"/>
    </row>
    <row r="10526" spans="12:13" x14ac:dyDescent="0.2">
      <c r="L10526" s="12"/>
      <c r="M10526" s="13"/>
    </row>
    <row r="10527" spans="12:13" x14ac:dyDescent="0.2">
      <c r="L10527" s="12"/>
      <c r="M10527" s="13"/>
    </row>
    <row r="10528" spans="12:13" x14ac:dyDescent="0.2">
      <c r="L10528" s="12"/>
      <c r="M10528" s="13"/>
    </row>
    <row r="10529" spans="12:13" x14ac:dyDescent="0.2">
      <c r="L10529" s="12"/>
      <c r="M10529" s="13"/>
    </row>
    <row r="10530" spans="12:13" x14ac:dyDescent="0.2">
      <c r="L10530" s="12"/>
      <c r="M10530" s="13"/>
    </row>
    <row r="10531" spans="12:13" x14ac:dyDescent="0.2">
      <c r="L10531" s="12"/>
      <c r="M10531" s="13"/>
    </row>
    <row r="10532" spans="12:13" x14ac:dyDescent="0.2">
      <c r="L10532" s="12"/>
      <c r="M10532" s="13"/>
    </row>
    <row r="10533" spans="12:13" x14ac:dyDescent="0.2">
      <c r="L10533" s="12"/>
      <c r="M10533" s="13"/>
    </row>
    <row r="10534" spans="12:13" x14ac:dyDescent="0.2">
      <c r="L10534" s="12"/>
      <c r="M10534" s="13"/>
    </row>
    <row r="10535" spans="12:13" x14ac:dyDescent="0.2">
      <c r="L10535" s="12"/>
      <c r="M10535" s="13"/>
    </row>
    <row r="10536" spans="12:13" x14ac:dyDescent="0.2">
      <c r="L10536" s="12"/>
      <c r="M10536" s="13"/>
    </row>
    <row r="10537" spans="12:13" x14ac:dyDescent="0.2">
      <c r="L10537" s="12"/>
      <c r="M10537" s="13"/>
    </row>
    <row r="10538" spans="12:13" x14ac:dyDescent="0.2">
      <c r="L10538" s="12"/>
      <c r="M10538" s="13"/>
    </row>
    <row r="10539" spans="12:13" x14ac:dyDescent="0.2">
      <c r="L10539" s="12"/>
      <c r="M10539" s="13"/>
    </row>
    <row r="10540" spans="12:13" x14ac:dyDescent="0.2">
      <c r="L10540" s="12"/>
      <c r="M10540" s="13"/>
    </row>
    <row r="10541" spans="12:13" x14ac:dyDescent="0.2">
      <c r="L10541" s="12"/>
      <c r="M10541" s="13"/>
    </row>
    <row r="10542" spans="12:13" x14ac:dyDescent="0.2">
      <c r="L10542" s="12"/>
      <c r="M10542" s="13"/>
    </row>
    <row r="10543" spans="12:13" x14ac:dyDescent="0.2">
      <c r="L10543" s="12"/>
      <c r="M10543" s="13"/>
    </row>
    <row r="10544" spans="12:13" x14ac:dyDescent="0.2">
      <c r="L10544" s="12"/>
      <c r="M10544" s="13"/>
    </row>
    <row r="10545" spans="12:13" x14ac:dyDescent="0.2">
      <c r="L10545" s="12"/>
      <c r="M10545" s="13"/>
    </row>
    <row r="10546" spans="12:13" x14ac:dyDescent="0.2">
      <c r="L10546" s="12"/>
      <c r="M10546" s="13"/>
    </row>
    <row r="10547" spans="12:13" x14ac:dyDescent="0.2">
      <c r="L10547" s="12"/>
      <c r="M10547" s="13"/>
    </row>
    <row r="10548" spans="12:13" x14ac:dyDescent="0.2">
      <c r="L10548" s="12"/>
      <c r="M10548" s="13"/>
    </row>
    <row r="10549" spans="12:13" x14ac:dyDescent="0.2">
      <c r="L10549" s="12"/>
      <c r="M10549" s="13"/>
    </row>
    <row r="10550" spans="12:13" x14ac:dyDescent="0.2">
      <c r="L10550" s="12"/>
      <c r="M10550" s="13"/>
    </row>
    <row r="10551" spans="12:13" x14ac:dyDescent="0.2">
      <c r="L10551" s="12"/>
      <c r="M10551" s="13"/>
    </row>
    <row r="10552" spans="12:13" x14ac:dyDescent="0.2">
      <c r="L10552" s="12"/>
      <c r="M10552" s="13"/>
    </row>
    <row r="10553" spans="12:13" x14ac:dyDescent="0.2">
      <c r="L10553" s="12"/>
      <c r="M10553" s="13"/>
    </row>
    <row r="10554" spans="12:13" x14ac:dyDescent="0.2">
      <c r="L10554" s="12"/>
      <c r="M10554" s="13"/>
    </row>
    <row r="10555" spans="12:13" x14ac:dyDescent="0.2">
      <c r="L10555" s="12"/>
      <c r="M10555" s="13"/>
    </row>
    <row r="10556" spans="12:13" x14ac:dyDescent="0.2">
      <c r="L10556" s="12"/>
      <c r="M10556" s="13"/>
    </row>
    <row r="10557" spans="12:13" x14ac:dyDescent="0.2">
      <c r="L10557" s="12"/>
      <c r="M10557" s="13"/>
    </row>
    <row r="10558" spans="12:13" x14ac:dyDescent="0.2">
      <c r="L10558" s="12"/>
      <c r="M10558" s="13"/>
    </row>
    <row r="10559" spans="12:13" x14ac:dyDescent="0.2">
      <c r="L10559" s="12"/>
      <c r="M10559" s="13"/>
    </row>
    <row r="10560" spans="12:13" x14ac:dyDescent="0.2">
      <c r="L10560" s="12"/>
      <c r="M10560" s="13"/>
    </row>
    <row r="10561" spans="12:13" x14ac:dyDescent="0.2">
      <c r="L10561" s="12"/>
      <c r="M10561" s="13"/>
    </row>
    <row r="10562" spans="12:13" x14ac:dyDescent="0.2">
      <c r="L10562" s="12"/>
      <c r="M10562" s="13"/>
    </row>
    <row r="10563" spans="12:13" x14ac:dyDescent="0.2">
      <c r="L10563" s="12"/>
      <c r="M10563" s="13"/>
    </row>
    <row r="10564" spans="12:13" x14ac:dyDescent="0.2">
      <c r="L10564" s="12"/>
      <c r="M10564" s="13"/>
    </row>
    <row r="10565" spans="12:13" x14ac:dyDescent="0.2">
      <c r="L10565" s="12"/>
      <c r="M10565" s="13"/>
    </row>
    <row r="10566" spans="12:13" x14ac:dyDescent="0.2">
      <c r="L10566" s="12"/>
      <c r="M10566" s="13"/>
    </row>
    <row r="10567" spans="12:13" x14ac:dyDescent="0.2">
      <c r="L10567" s="12"/>
      <c r="M10567" s="13"/>
    </row>
    <row r="10568" spans="12:13" x14ac:dyDescent="0.2">
      <c r="L10568" s="12"/>
      <c r="M10568" s="13"/>
    </row>
    <row r="10569" spans="12:13" x14ac:dyDescent="0.2">
      <c r="L10569" s="12"/>
      <c r="M10569" s="13"/>
    </row>
    <row r="10570" spans="12:13" x14ac:dyDescent="0.2">
      <c r="L10570" s="12"/>
      <c r="M10570" s="13"/>
    </row>
    <row r="10571" spans="12:13" x14ac:dyDescent="0.2">
      <c r="L10571" s="12"/>
      <c r="M10571" s="13"/>
    </row>
    <row r="10572" spans="12:13" x14ac:dyDescent="0.2">
      <c r="L10572" s="12"/>
      <c r="M10572" s="13"/>
    </row>
    <row r="10573" spans="12:13" x14ac:dyDescent="0.2">
      <c r="L10573" s="12"/>
      <c r="M10573" s="13"/>
    </row>
    <row r="10574" spans="12:13" x14ac:dyDescent="0.2">
      <c r="L10574" s="12"/>
      <c r="M10574" s="13"/>
    </row>
    <row r="10575" spans="12:13" x14ac:dyDescent="0.2">
      <c r="L10575" s="12"/>
      <c r="M10575" s="13"/>
    </row>
    <row r="10576" spans="12:13" x14ac:dyDescent="0.2">
      <c r="L10576" s="12"/>
      <c r="M10576" s="13"/>
    </row>
    <row r="10577" spans="12:13" x14ac:dyDescent="0.2">
      <c r="L10577" s="12"/>
      <c r="M10577" s="13"/>
    </row>
    <row r="10578" spans="12:13" x14ac:dyDescent="0.2">
      <c r="L10578" s="12"/>
      <c r="M10578" s="13"/>
    </row>
    <row r="10579" spans="12:13" x14ac:dyDescent="0.2">
      <c r="L10579" s="12"/>
      <c r="M10579" s="13"/>
    </row>
    <row r="10580" spans="12:13" x14ac:dyDescent="0.2">
      <c r="L10580" s="12"/>
      <c r="M10580" s="13"/>
    </row>
    <row r="10581" spans="12:13" x14ac:dyDescent="0.2">
      <c r="L10581" s="12"/>
      <c r="M10581" s="13"/>
    </row>
    <row r="10582" spans="12:13" x14ac:dyDescent="0.2">
      <c r="L10582" s="12"/>
      <c r="M10582" s="13"/>
    </row>
    <row r="10583" spans="12:13" x14ac:dyDescent="0.2">
      <c r="L10583" s="12"/>
      <c r="M10583" s="13"/>
    </row>
    <row r="10584" spans="12:13" x14ac:dyDescent="0.2">
      <c r="L10584" s="12"/>
      <c r="M10584" s="13"/>
    </row>
    <row r="10585" spans="12:13" x14ac:dyDescent="0.2">
      <c r="L10585" s="12"/>
      <c r="M10585" s="13"/>
    </row>
    <row r="10586" spans="12:13" x14ac:dyDescent="0.2">
      <c r="L10586" s="12"/>
      <c r="M10586" s="13"/>
    </row>
    <row r="10587" spans="12:13" x14ac:dyDescent="0.2">
      <c r="L10587" s="12"/>
      <c r="M10587" s="13"/>
    </row>
    <row r="10588" spans="12:13" x14ac:dyDescent="0.2">
      <c r="L10588" s="12"/>
      <c r="M10588" s="13"/>
    </row>
    <row r="10589" spans="12:13" x14ac:dyDescent="0.2">
      <c r="L10589" s="12"/>
      <c r="M10589" s="13"/>
    </row>
    <row r="10590" spans="12:13" x14ac:dyDescent="0.2">
      <c r="L10590" s="12"/>
      <c r="M10590" s="13"/>
    </row>
    <row r="10591" spans="12:13" x14ac:dyDescent="0.2">
      <c r="L10591" s="12"/>
      <c r="M10591" s="13"/>
    </row>
    <row r="10592" spans="12:13" x14ac:dyDescent="0.2">
      <c r="L10592" s="12"/>
      <c r="M10592" s="13"/>
    </row>
    <row r="10593" spans="12:13" x14ac:dyDescent="0.2">
      <c r="L10593" s="12"/>
      <c r="M10593" s="13"/>
    </row>
    <row r="10594" spans="12:13" x14ac:dyDescent="0.2">
      <c r="L10594" s="12"/>
      <c r="M10594" s="13"/>
    </row>
    <row r="10595" spans="12:13" x14ac:dyDescent="0.2">
      <c r="L10595" s="12"/>
      <c r="M10595" s="13"/>
    </row>
    <row r="10596" spans="12:13" x14ac:dyDescent="0.2">
      <c r="L10596" s="12"/>
      <c r="M10596" s="13"/>
    </row>
    <row r="10597" spans="12:13" x14ac:dyDescent="0.2">
      <c r="L10597" s="12"/>
      <c r="M10597" s="13"/>
    </row>
    <row r="10598" spans="12:13" x14ac:dyDescent="0.2">
      <c r="L10598" s="12"/>
      <c r="M10598" s="13"/>
    </row>
    <row r="10599" spans="12:13" x14ac:dyDescent="0.2">
      <c r="L10599" s="12"/>
      <c r="M10599" s="13"/>
    </row>
    <row r="10600" spans="12:13" x14ac:dyDescent="0.2">
      <c r="L10600" s="12"/>
      <c r="M10600" s="13"/>
    </row>
    <row r="10601" spans="12:13" x14ac:dyDescent="0.2">
      <c r="L10601" s="12"/>
      <c r="M10601" s="13"/>
    </row>
    <row r="10602" spans="12:13" x14ac:dyDescent="0.2">
      <c r="L10602" s="12"/>
      <c r="M10602" s="13"/>
    </row>
    <row r="10603" spans="12:13" x14ac:dyDescent="0.2">
      <c r="L10603" s="12"/>
      <c r="M10603" s="13"/>
    </row>
    <row r="10604" spans="12:13" x14ac:dyDescent="0.2">
      <c r="L10604" s="12"/>
      <c r="M10604" s="13"/>
    </row>
    <row r="10605" spans="12:13" x14ac:dyDescent="0.2">
      <c r="L10605" s="12"/>
      <c r="M10605" s="13"/>
    </row>
    <row r="10606" spans="12:13" x14ac:dyDescent="0.2">
      <c r="L10606" s="12"/>
      <c r="M10606" s="13"/>
    </row>
    <row r="10607" spans="12:13" x14ac:dyDescent="0.2">
      <c r="L10607" s="12"/>
      <c r="M10607" s="13"/>
    </row>
    <row r="10608" spans="12:13" x14ac:dyDescent="0.2">
      <c r="L10608" s="12"/>
      <c r="M10608" s="13"/>
    </row>
    <row r="10609" spans="12:13" x14ac:dyDescent="0.2">
      <c r="L10609" s="12"/>
      <c r="M10609" s="13"/>
    </row>
    <row r="10610" spans="12:13" x14ac:dyDescent="0.2">
      <c r="L10610" s="12"/>
      <c r="M10610" s="13"/>
    </row>
    <row r="10611" spans="12:13" x14ac:dyDescent="0.2">
      <c r="L10611" s="12"/>
      <c r="M10611" s="13"/>
    </row>
    <row r="10612" spans="12:13" x14ac:dyDescent="0.2">
      <c r="L10612" s="12"/>
      <c r="M10612" s="13"/>
    </row>
    <row r="10613" spans="12:13" x14ac:dyDescent="0.2">
      <c r="L10613" s="12"/>
      <c r="M10613" s="13"/>
    </row>
    <row r="10614" spans="12:13" x14ac:dyDescent="0.2">
      <c r="L10614" s="12"/>
      <c r="M10614" s="13"/>
    </row>
    <row r="10615" spans="12:13" x14ac:dyDescent="0.2">
      <c r="L10615" s="12"/>
      <c r="M10615" s="13"/>
    </row>
    <row r="10616" spans="12:13" x14ac:dyDescent="0.2">
      <c r="L10616" s="12"/>
      <c r="M10616" s="13"/>
    </row>
    <row r="10617" spans="12:13" x14ac:dyDescent="0.2">
      <c r="L10617" s="12"/>
      <c r="M10617" s="13"/>
    </row>
    <row r="10618" spans="12:13" x14ac:dyDescent="0.2">
      <c r="L10618" s="12"/>
      <c r="M10618" s="13"/>
    </row>
    <row r="10619" spans="12:13" x14ac:dyDescent="0.2">
      <c r="L10619" s="12"/>
      <c r="M10619" s="13"/>
    </row>
    <row r="10620" spans="12:13" x14ac:dyDescent="0.2">
      <c r="L10620" s="12"/>
      <c r="M10620" s="13"/>
    </row>
    <row r="10621" spans="12:13" x14ac:dyDescent="0.2">
      <c r="L10621" s="12"/>
      <c r="M10621" s="13"/>
    </row>
    <row r="10622" spans="12:13" x14ac:dyDescent="0.2">
      <c r="L10622" s="12"/>
      <c r="M10622" s="13"/>
    </row>
    <row r="10623" spans="12:13" x14ac:dyDescent="0.2">
      <c r="L10623" s="12"/>
      <c r="M10623" s="13"/>
    </row>
    <row r="10624" spans="12:13" x14ac:dyDescent="0.2">
      <c r="L10624" s="12"/>
      <c r="M10624" s="13"/>
    </row>
    <row r="10625" spans="12:13" x14ac:dyDescent="0.2">
      <c r="L10625" s="12"/>
      <c r="M10625" s="13"/>
    </row>
    <row r="10626" spans="12:13" x14ac:dyDescent="0.2">
      <c r="L10626" s="12"/>
      <c r="M10626" s="13"/>
    </row>
    <row r="10627" spans="12:13" x14ac:dyDescent="0.2">
      <c r="L10627" s="12"/>
      <c r="M10627" s="13"/>
    </row>
    <row r="10628" spans="12:13" x14ac:dyDescent="0.2">
      <c r="L10628" s="12"/>
      <c r="M10628" s="13"/>
    </row>
    <row r="10629" spans="12:13" x14ac:dyDescent="0.2">
      <c r="L10629" s="12"/>
      <c r="M10629" s="13"/>
    </row>
    <row r="10630" spans="12:13" x14ac:dyDescent="0.2">
      <c r="L10630" s="12"/>
      <c r="M10630" s="13"/>
    </row>
    <row r="10631" spans="12:13" x14ac:dyDescent="0.2">
      <c r="L10631" s="12"/>
      <c r="M10631" s="13"/>
    </row>
    <row r="10632" spans="12:13" x14ac:dyDescent="0.2">
      <c r="L10632" s="12"/>
      <c r="M10632" s="13"/>
    </row>
    <row r="10633" spans="12:13" x14ac:dyDescent="0.2">
      <c r="L10633" s="12"/>
      <c r="M10633" s="13"/>
    </row>
    <row r="10634" spans="12:13" x14ac:dyDescent="0.2">
      <c r="L10634" s="12"/>
      <c r="M10634" s="13"/>
    </row>
    <row r="10635" spans="12:13" x14ac:dyDescent="0.2">
      <c r="L10635" s="12"/>
      <c r="M10635" s="13"/>
    </row>
    <row r="10636" spans="12:13" x14ac:dyDescent="0.2">
      <c r="L10636" s="12"/>
      <c r="M10636" s="13"/>
    </row>
    <row r="10637" spans="12:13" x14ac:dyDescent="0.2">
      <c r="L10637" s="12"/>
      <c r="M10637" s="13"/>
    </row>
    <row r="10638" spans="12:13" x14ac:dyDescent="0.2">
      <c r="L10638" s="12"/>
      <c r="M10638" s="13"/>
    </row>
    <row r="10639" spans="12:13" x14ac:dyDescent="0.2">
      <c r="L10639" s="12"/>
      <c r="M10639" s="13"/>
    </row>
    <row r="10640" spans="12:13" x14ac:dyDescent="0.2">
      <c r="L10640" s="12"/>
      <c r="M10640" s="13"/>
    </row>
    <row r="10641" spans="12:13" x14ac:dyDescent="0.2">
      <c r="L10641" s="12"/>
      <c r="M10641" s="13"/>
    </row>
    <row r="10642" spans="12:13" x14ac:dyDescent="0.2">
      <c r="L10642" s="12"/>
      <c r="M10642" s="13"/>
    </row>
    <row r="10643" spans="12:13" x14ac:dyDescent="0.2">
      <c r="L10643" s="12"/>
      <c r="M10643" s="13"/>
    </row>
    <row r="10644" spans="12:13" x14ac:dyDescent="0.2">
      <c r="L10644" s="12"/>
      <c r="M10644" s="13"/>
    </row>
    <row r="10645" spans="12:13" x14ac:dyDescent="0.2">
      <c r="L10645" s="12"/>
      <c r="M10645" s="13"/>
    </row>
    <row r="10646" spans="12:13" x14ac:dyDescent="0.2">
      <c r="L10646" s="12"/>
      <c r="M10646" s="13"/>
    </row>
    <row r="10647" spans="12:13" x14ac:dyDescent="0.2">
      <c r="L10647" s="12"/>
      <c r="M10647" s="13"/>
    </row>
    <row r="10648" spans="12:13" x14ac:dyDescent="0.2">
      <c r="L10648" s="12"/>
      <c r="M10648" s="13"/>
    </row>
    <row r="10649" spans="12:13" x14ac:dyDescent="0.2">
      <c r="L10649" s="12"/>
      <c r="M10649" s="13"/>
    </row>
    <row r="10650" spans="12:13" x14ac:dyDescent="0.2">
      <c r="L10650" s="12"/>
      <c r="M10650" s="13"/>
    </row>
    <row r="10651" spans="12:13" x14ac:dyDescent="0.2">
      <c r="L10651" s="12"/>
      <c r="M10651" s="13"/>
    </row>
    <row r="10652" spans="12:13" x14ac:dyDescent="0.2">
      <c r="L10652" s="12"/>
      <c r="M10652" s="13"/>
    </row>
    <row r="10653" spans="12:13" x14ac:dyDescent="0.2">
      <c r="L10653" s="12"/>
      <c r="M10653" s="13"/>
    </row>
    <row r="10654" spans="12:13" x14ac:dyDescent="0.2">
      <c r="L10654" s="12"/>
      <c r="M10654" s="13"/>
    </row>
    <row r="10655" spans="12:13" x14ac:dyDescent="0.2">
      <c r="L10655" s="12"/>
      <c r="M10655" s="13"/>
    </row>
    <row r="10656" spans="12:13" x14ac:dyDescent="0.2">
      <c r="L10656" s="12"/>
      <c r="M10656" s="13"/>
    </row>
    <row r="10657" spans="12:13" x14ac:dyDescent="0.2">
      <c r="L10657" s="12"/>
      <c r="M10657" s="13"/>
    </row>
    <row r="10658" spans="12:13" x14ac:dyDescent="0.2">
      <c r="L10658" s="12"/>
      <c r="M10658" s="13"/>
    </row>
    <row r="10659" spans="12:13" x14ac:dyDescent="0.2">
      <c r="L10659" s="12"/>
      <c r="M10659" s="13"/>
    </row>
    <row r="10660" spans="12:13" x14ac:dyDescent="0.2">
      <c r="L10660" s="12"/>
      <c r="M10660" s="13"/>
    </row>
    <row r="10661" spans="12:13" x14ac:dyDescent="0.2">
      <c r="L10661" s="12"/>
      <c r="M10661" s="13"/>
    </row>
    <row r="10662" spans="12:13" x14ac:dyDescent="0.2">
      <c r="L10662" s="12"/>
      <c r="M10662" s="13"/>
    </row>
    <row r="10663" spans="12:13" x14ac:dyDescent="0.2">
      <c r="L10663" s="12"/>
      <c r="M10663" s="13"/>
    </row>
    <row r="10664" spans="12:13" x14ac:dyDescent="0.2">
      <c r="L10664" s="12"/>
      <c r="M10664" s="13"/>
    </row>
    <row r="10665" spans="12:13" x14ac:dyDescent="0.2">
      <c r="L10665" s="12"/>
      <c r="M10665" s="13"/>
    </row>
    <row r="10666" spans="12:13" x14ac:dyDescent="0.2">
      <c r="L10666" s="12"/>
      <c r="M10666" s="13"/>
    </row>
    <row r="10667" spans="12:13" x14ac:dyDescent="0.2">
      <c r="L10667" s="12"/>
      <c r="M10667" s="13"/>
    </row>
    <row r="10668" spans="12:13" x14ac:dyDescent="0.2">
      <c r="L10668" s="12"/>
      <c r="M10668" s="13"/>
    </row>
    <row r="10669" spans="12:13" x14ac:dyDescent="0.2">
      <c r="L10669" s="12"/>
      <c r="M10669" s="13"/>
    </row>
    <row r="10670" spans="12:13" x14ac:dyDescent="0.2">
      <c r="L10670" s="12"/>
      <c r="M10670" s="13"/>
    </row>
    <row r="10671" spans="12:13" x14ac:dyDescent="0.2">
      <c r="L10671" s="12"/>
      <c r="M10671" s="13"/>
    </row>
    <row r="10672" spans="12:13" x14ac:dyDescent="0.2">
      <c r="L10672" s="12"/>
      <c r="M10672" s="13"/>
    </row>
    <row r="10673" spans="12:13" x14ac:dyDescent="0.2">
      <c r="L10673" s="12"/>
      <c r="M10673" s="13"/>
    </row>
    <row r="10674" spans="12:13" x14ac:dyDescent="0.2">
      <c r="L10674" s="12"/>
      <c r="M10674" s="13"/>
    </row>
    <row r="10675" spans="12:13" x14ac:dyDescent="0.2">
      <c r="L10675" s="12"/>
      <c r="M10675" s="13"/>
    </row>
    <row r="10676" spans="12:13" x14ac:dyDescent="0.2">
      <c r="L10676" s="12"/>
      <c r="M10676" s="13"/>
    </row>
    <row r="10677" spans="12:13" x14ac:dyDescent="0.2">
      <c r="L10677" s="12"/>
      <c r="M10677" s="13"/>
    </row>
    <row r="10678" spans="12:13" x14ac:dyDescent="0.2">
      <c r="L10678" s="12"/>
      <c r="M10678" s="13"/>
    </row>
    <row r="10679" spans="12:13" x14ac:dyDescent="0.2">
      <c r="L10679" s="12"/>
      <c r="M10679" s="13"/>
    </row>
    <row r="10680" spans="12:13" x14ac:dyDescent="0.2">
      <c r="L10680" s="12"/>
      <c r="M10680" s="13"/>
    </row>
    <row r="10681" spans="12:13" x14ac:dyDescent="0.2">
      <c r="L10681" s="12"/>
      <c r="M10681" s="13"/>
    </row>
    <row r="10682" spans="12:13" x14ac:dyDescent="0.2">
      <c r="L10682" s="12"/>
      <c r="M10682" s="13"/>
    </row>
    <row r="10683" spans="12:13" x14ac:dyDescent="0.2">
      <c r="L10683" s="12"/>
      <c r="M10683" s="13"/>
    </row>
    <row r="10684" spans="12:13" x14ac:dyDescent="0.2">
      <c r="L10684" s="12"/>
      <c r="M10684" s="13"/>
    </row>
    <row r="10685" spans="12:13" x14ac:dyDescent="0.2">
      <c r="L10685" s="12"/>
      <c r="M10685" s="13"/>
    </row>
    <row r="10686" spans="12:13" x14ac:dyDescent="0.2">
      <c r="L10686" s="12"/>
      <c r="M10686" s="13"/>
    </row>
    <row r="10687" spans="12:13" x14ac:dyDescent="0.2">
      <c r="L10687" s="12"/>
      <c r="M10687" s="13"/>
    </row>
    <row r="10688" spans="12:13" x14ac:dyDescent="0.2">
      <c r="L10688" s="12"/>
      <c r="M10688" s="13"/>
    </row>
    <row r="10689" spans="12:13" x14ac:dyDescent="0.2">
      <c r="L10689" s="12"/>
      <c r="M10689" s="13"/>
    </row>
    <row r="10690" spans="12:13" x14ac:dyDescent="0.2">
      <c r="L10690" s="12"/>
      <c r="M10690" s="13"/>
    </row>
    <row r="10691" spans="12:13" x14ac:dyDescent="0.2">
      <c r="L10691" s="12"/>
      <c r="M10691" s="13"/>
    </row>
    <row r="10692" spans="12:13" x14ac:dyDescent="0.2">
      <c r="L10692" s="12"/>
      <c r="M10692" s="13"/>
    </row>
    <row r="10693" spans="12:13" x14ac:dyDescent="0.2">
      <c r="L10693" s="12"/>
      <c r="M10693" s="13"/>
    </row>
    <row r="10694" spans="12:13" x14ac:dyDescent="0.2">
      <c r="L10694" s="12"/>
      <c r="M10694" s="13"/>
    </row>
    <row r="10695" spans="12:13" x14ac:dyDescent="0.2">
      <c r="L10695" s="12"/>
      <c r="M10695" s="13"/>
    </row>
    <row r="10696" spans="12:13" x14ac:dyDescent="0.2">
      <c r="L10696" s="12"/>
      <c r="M10696" s="13"/>
    </row>
    <row r="10697" spans="12:13" x14ac:dyDescent="0.2">
      <c r="L10697" s="12"/>
      <c r="M10697" s="13"/>
    </row>
    <row r="10698" spans="12:13" x14ac:dyDescent="0.2">
      <c r="L10698" s="12"/>
      <c r="M10698" s="13"/>
    </row>
    <row r="10699" spans="12:13" x14ac:dyDescent="0.2">
      <c r="L10699" s="12"/>
      <c r="M10699" s="13"/>
    </row>
    <row r="10700" spans="12:13" x14ac:dyDescent="0.2">
      <c r="L10700" s="12"/>
      <c r="M10700" s="13"/>
    </row>
    <row r="10701" spans="12:13" x14ac:dyDescent="0.2">
      <c r="L10701" s="12"/>
      <c r="M10701" s="13"/>
    </row>
    <row r="10702" spans="12:13" x14ac:dyDescent="0.2">
      <c r="L10702" s="12"/>
      <c r="M10702" s="13"/>
    </row>
    <row r="10703" spans="12:13" x14ac:dyDescent="0.2">
      <c r="L10703" s="12"/>
      <c r="M10703" s="13"/>
    </row>
    <row r="10704" spans="12:13" x14ac:dyDescent="0.2">
      <c r="L10704" s="12"/>
      <c r="M10704" s="13"/>
    </row>
    <row r="10705" spans="12:13" x14ac:dyDescent="0.2">
      <c r="L10705" s="12"/>
      <c r="M10705" s="13"/>
    </row>
    <row r="10706" spans="12:13" x14ac:dyDescent="0.2">
      <c r="L10706" s="12"/>
      <c r="M10706" s="13"/>
    </row>
    <row r="10707" spans="12:13" x14ac:dyDescent="0.2">
      <c r="L10707" s="12"/>
      <c r="M10707" s="13"/>
    </row>
    <row r="10708" spans="12:13" x14ac:dyDescent="0.2">
      <c r="L10708" s="12"/>
      <c r="M10708" s="13"/>
    </row>
    <row r="10709" spans="12:13" x14ac:dyDescent="0.2">
      <c r="L10709" s="12"/>
      <c r="M10709" s="13"/>
    </row>
    <row r="10710" spans="12:13" x14ac:dyDescent="0.2">
      <c r="L10710" s="12"/>
      <c r="M10710" s="13"/>
    </row>
    <row r="10711" spans="12:13" x14ac:dyDescent="0.2">
      <c r="L10711" s="12"/>
      <c r="M10711" s="13"/>
    </row>
    <row r="10712" spans="12:13" x14ac:dyDescent="0.2">
      <c r="L10712" s="12"/>
      <c r="M10712" s="13"/>
    </row>
    <row r="10713" spans="12:13" x14ac:dyDescent="0.2">
      <c r="L10713" s="12"/>
      <c r="M10713" s="13"/>
    </row>
    <row r="10714" spans="12:13" x14ac:dyDescent="0.2">
      <c r="L10714" s="12"/>
      <c r="M10714" s="13"/>
    </row>
    <row r="10715" spans="12:13" x14ac:dyDescent="0.2">
      <c r="L10715" s="12"/>
      <c r="M10715" s="13"/>
    </row>
    <row r="10716" spans="12:13" x14ac:dyDescent="0.2">
      <c r="L10716" s="12"/>
      <c r="M10716" s="13"/>
    </row>
    <row r="10717" spans="12:13" x14ac:dyDescent="0.2">
      <c r="L10717" s="12"/>
      <c r="M10717" s="13"/>
    </row>
    <row r="10718" spans="12:13" x14ac:dyDescent="0.2">
      <c r="L10718" s="12"/>
      <c r="M10718" s="13"/>
    </row>
    <row r="10719" spans="12:13" x14ac:dyDescent="0.2">
      <c r="L10719" s="12"/>
      <c r="M10719" s="13"/>
    </row>
    <row r="10720" spans="12:13" x14ac:dyDescent="0.2">
      <c r="L10720" s="12"/>
      <c r="M10720" s="13"/>
    </row>
    <row r="10721" spans="12:13" x14ac:dyDescent="0.2">
      <c r="L10721" s="12"/>
      <c r="M10721" s="13"/>
    </row>
    <row r="10722" spans="12:13" x14ac:dyDescent="0.2">
      <c r="L10722" s="12"/>
      <c r="M10722" s="13"/>
    </row>
    <row r="10723" spans="12:13" x14ac:dyDescent="0.2">
      <c r="L10723" s="12"/>
      <c r="M10723" s="13"/>
    </row>
    <row r="10724" spans="12:13" x14ac:dyDescent="0.2">
      <c r="L10724" s="12"/>
      <c r="M10724" s="13"/>
    </row>
    <row r="10725" spans="12:13" x14ac:dyDescent="0.2">
      <c r="L10725" s="12"/>
      <c r="M10725" s="13"/>
    </row>
    <row r="10726" spans="12:13" x14ac:dyDescent="0.2">
      <c r="L10726" s="12"/>
      <c r="M10726" s="13"/>
    </row>
    <row r="10727" spans="12:13" x14ac:dyDescent="0.2">
      <c r="L10727" s="12"/>
      <c r="M10727" s="13"/>
    </row>
    <row r="10728" spans="12:13" x14ac:dyDescent="0.2">
      <c r="L10728" s="12"/>
      <c r="M10728" s="13"/>
    </row>
    <row r="10729" spans="12:13" x14ac:dyDescent="0.2">
      <c r="L10729" s="12"/>
      <c r="M10729" s="13"/>
    </row>
    <row r="10730" spans="12:13" x14ac:dyDescent="0.2">
      <c r="L10730" s="12"/>
      <c r="M10730" s="13"/>
    </row>
    <row r="10731" spans="12:13" x14ac:dyDescent="0.2">
      <c r="L10731" s="12"/>
      <c r="M10731" s="13"/>
    </row>
    <row r="10732" spans="12:13" x14ac:dyDescent="0.2">
      <c r="L10732" s="12"/>
      <c r="M10732" s="13"/>
    </row>
    <row r="10733" spans="12:13" x14ac:dyDescent="0.2">
      <c r="L10733" s="12"/>
      <c r="M10733" s="13"/>
    </row>
    <row r="10734" spans="12:13" x14ac:dyDescent="0.2">
      <c r="L10734" s="12"/>
      <c r="M10734" s="13"/>
    </row>
    <row r="10735" spans="12:13" x14ac:dyDescent="0.2">
      <c r="L10735" s="12"/>
      <c r="M10735" s="13"/>
    </row>
    <row r="10736" spans="12:13" x14ac:dyDescent="0.2">
      <c r="L10736" s="12"/>
      <c r="M10736" s="13"/>
    </row>
    <row r="10737" spans="12:13" x14ac:dyDescent="0.2">
      <c r="L10737" s="12"/>
      <c r="M10737" s="13"/>
    </row>
    <row r="10738" spans="12:13" x14ac:dyDescent="0.2">
      <c r="L10738" s="12"/>
      <c r="M10738" s="13"/>
    </row>
    <row r="10739" spans="12:13" x14ac:dyDescent="0.2">
      <c r="L10739" s="12"/>
      <c r="M10739" s="13"/>
    </row>
    <row r="10740" spans="12:13" x14ac:dyDescent="0.2">
      <c r="L10740" s="12"/>
      <c r="M10740" s="13"/>
    </row>
    <row r="10741" spans="12:13" x14ac:dyDescent="0.2">
      <c r="L10741" s="12"/>
      <c r="M10741" s="13"/>
    </row>
    <row r="10742" spans="12:13" x14ac:dyDescent="0.2">
      <c r="L10742" s="12"/>
      <c r="M10742" s="13"/>
    </row>
    <row r="10743" spans="12:13" x14ac:dyDescent="0.2">
      <c r="L10743" s="12"/>
      <c r="M10743" s="13"/>
    </row>
    <row r="10744" spans="12:13" x14ac:dyDescent="0.2">
      <c r="L10744" s="12"/>
      <c r="M10744" s="13"/>
    </row>
    <row r="10745" spans="12:13" x14ac:dyDescent="0.2">
      <c r="L10745" s="12"/>
      <c r="M10745" s="13"/>
    </row>
    <row r="10746" spans="12:13" x14ac:dyDescent="0.2">
      <c r="L10746" s="12"/>
      <c r="M10746" s="13"/>
    </row>
    <row r="10747" spans="12:13" x14ac:dyDescent="0.2">
      <c r="L10747" s="12"/>
      <c r="M10747" s="13"/>
    </row>
    <row r="10748" spans="12:13" x14ac:dyDescent="0.2">
      <c r="L10748" s="12"/>
      <c r="M10748" s="13"/>
    </row>
    <row r="10749" spans="12:13" x14ac:dyDescent="0.2">
      <c r="L10749" s="12"/>
      <c r="M10749" s="13"/>
    </row>
    <row r="10750" spans="12:13" x14ac:dyDescent="0.2">
      <c r="L10750" s="12"/>
      <c r="M10750" s="13"/>
    </row>
    <row r="10751" spans="12:13" x14ac:dyDescent="0.2">
      <c r="L10751" s="12"/>
      <c r="M10751" s="13"/>
    </row>
    <row r="10752" spans="12:13" x14ac:dyDescent="0.2">
      <c r="L10752" s="12"/>
      <c r="M10752" s="13"/>
    </row>
    <row r="10753" spans="12:13" x14ac:dyDescent="0.2">
      <c r="L10753" s="12"/>
      <c r="M10753" s="13"/>
    </row>
    <row r="10754" spans="12:13" x14ac:dyDescent="0.2">
      <c r="L10754" s="17"/>
      <c r="M10754" s="18"/>
    </row>
    <row r="10755" spans="12:13" x14ac:dyDescent="0.2">
      <c r="L10755" s="12"/>
      <c r="M10755" s="13"/>
    </row>
    <row r="10756" spans="12:13" x14ac:dyDescent="0.2">
      <c r="L10756" s="12"/>
      <c r="M10756" s="13"/>
    </row>
    <row r="10757" spans="12:13" x14ac:dyDescent="0.2">
      <c r="L10757" s="12"/>
      <c r="M10757" s="13"/>
    </row>
    <row r="10758" spans="12:13" x14ac:dyDescent="0.2">
      <c r="L10758" s="12"/>
      <c r="M10758" s="13"/>
    </row>
    <row r="10759" spans="12:13" x14ac:dyDescent="0.2">
      <c r="L10759" s="12"/>
      <c r="M10759" s="13"/>
    </row>
    <row r="10760" spans="12:13" x14ac:dyDescent="0.2">
      <c r="L10760" s="12"/>
      <c r="M10760" s="13"/>
    </row>
    <row r="10761" spans="12:13" x14ac:dyDescent="0.2">
      <c r="L10761" s="12"/>
      <c r="M10761" s="13"/>
    </row>
    <row r="10762" spans="12:13" x14ac:dyDescent="0.2">
      <c r="L10762" s="12"/>
      <c r="M10762" s="13"/>
    </row>
    <row r="10763" spans="12:13" x14ac:dyDescent="0.2">
      <c r="L10763" s="12"/>
      <c r="M10763" s="13"/>
    </row>
    <row r="10764" spans="12:13" x14ac:dyDescent="0.2">
      <c r="L10764" s="12"/>
      <c r="M10764" s="13"/>
    </row>
    <row r="10765" spans="12:13" x14ac:dyDescent="0.2">
      <c r="L10765" s="12"/>
      <c r="M10765" s="13"/>
    </row>
    <row r="10766" spans="12:13" x14ac:dyDescent="0.2">
      <c r="L10766" s="12"/>
      <c r="M10766" s="13"/>
    </row>
    <row r="10767" spans="12:13" x14ac:dyDescent="0.2">
      <c r="L10767" s="12"/>
      <c r="M10767" s="13"/>
    </row>
    <row r="10768" spans="12:13" x14ac:dyDescent="0.2">
      <c r="L10768" s="12"/>
      <c r="M10768" s="13"/>
    </row>
    <row r="10769" spans="12:13" x14ac:dyDescent="0.2">
      <c r="L10769" s="12"/>
      <c r="M10769" s="13"/>
    </row>
    <row r="10770" spans="12:13" x14ac:dyDescent="0.2">
      <c r="L10770" s="12"/>
      <c r="M10770" s="13"/>
    </row>
    <row r="10771" spans="12:13" x14ac:dyDescent="0.2">
      <c r="L10771" s="12"/>
      <c r="M10771" s="13"/>
    </row>
    <row r="10772" spans="12:13" x14ac:dyDescent="0.2">
      <c r="L10772" s="12"/>
      <c r="M10772" s="13"/>
    </row>
    <row r="10773" spans="12:13" x14ac:dyDescent="0.2">
      <c r="L10773" s="12"/>
      <c r="M10773" s="13"/>
    </row>
    <row r="10774" spans="12:13" x14ac:dyDescent="0.2">
      <c r="L10774" s="12"/>
      <c r="M10774" s="13"/>
    </row>
    <row r="10775" spans="12:13" x14ac:dyDescent="0.2">
      <c r="L10775" s="12"/>
      <c r="M10775" s="13"/>
    </row>
    <row r="10776" spans="12:13" x14ac:dyDescent="0.2">
      <c r="L10776" s="12"/>
      <c r="M10776" s="13"/>
    </row>
    <row r="10777" spans="12:13" x14ac:dyDescent="0.2">
      <c r="L10777" s="12"/>
      <c r="M10777" s="13"/>
    </row>
    <row r="10778" spans="12:13" x14ac:dyDescent="0.2">
      <c r="L10778" s="12"/>
      <c r="M10778" s="13"/>
    </row>
    <row r="10779" spans="12:13" x14ac:dyDescent="0.2">
      <c r="L10779" s="12"/>
      <c r="M10779" s="13"/>
    </row>
    <row r="10780" spans="12:13" x14ac:dyDescent="0.2">
      <c r="L10780" s="12"/>
      <c r="M10780" s="13"/>
    </row>
    <row r="10781" spans="12:13" x14ac:dyDescent="0.2">
      <c r="L10781" s="12"/>
      <c r="M10781" s="13"/>
    </row>
    <row r="10782" spans="12:13" x14ac:dyDescent="0.2">
      <c r="L10782" s="12"/>
      <c r="M10782" s="13"/>
    </row>
    <row r="10783" spans="12:13" x14ac:dyDescent="0.2">
      <c r="L10783" s="12"/>
      <c r="M10783" s="13"/>
    </row>
    <row r="10784" spans="12:13" x14ac:dyDescent="0.2">
      <c r="L10784" s="12"/>
      <c r="M10784" s="13"/>
    </row>
    <row r="10785" spans="12:13" x14ac:dyDescent="0.2">
      <c r="L10785" s="12"/>
      <c r="M10785" s="13"/>
    </row>
    <row r="10786" spans="12:13" x14ac:dyDescent="0.2">
      <c r="L10786" s="12"/>
      <c r="M10786" s="13"/>
    </row>
    <row r="10787" spans="12:13" x14ac:dyDescent="0.2">
      <c r="L10787" s="12"/>
      <c r="M10787" s="13"/>
    </row>
    <row r="10788" spans="12:13" x14ac:dyDescent="0.2">
      <c r="L10788" s="12"/>
      <c r="M10788" s="13"/>
    </row>
    <row r="10789" spans="12:13" x14ac:dyDescent="0.2">
      <c r="L10789" s="12"/>
      <c r="M10789" s="13"/>
    </row>
    <row r="10790" spans="12:13" x14ac:dyDescent="0.2">
      <c r="L10790" s="12"/>
      <c r="M10790" s="13"/>
    </row>
    <row r="10791" spans="12:13" x14ac:dyDescent="0.2">
      <c r="L10791" s="12"/>
      <c r="M10791" s="13"/>
    </row>
    <row r="10792" spans="12:13" x14ac:dyDescent="0.2">
      <c r="L10792" s="12"/>
      <c r="M10792" s="13"/>
    </row>
    <row r="10793" spans="12:13" x14ac:dyDescent="0.2">
      <c r="L10793" s="12"/>
      <c r="M10793" s="13"/>
    </row>
    <row r="10794" spans="12:13" x14ac:dyDescent="0.2">
      <c r="L10794" s="12"/>
      <c r="M10794" s="13"/>
    </row>
    <row r="10795" spans="12:13" x14ac:dyDescent="0.2">
      <c r="L10795" s="12"/>
      <c r="M10795" s="13"/>
    </row>
    <row r="10796" spans="12:13" x14ac:dyDescent="0.2">
      <c r="L10796" s="12"/>
      <c r="M10796" s="13"/>
    </row>
    <row r="10797" spans="12:13" x14ac:dyDescent="0.2">
      <c r="L10797" s="12"/>
      <c r="M10797" s="13"/>
    </row>
    <row r="10798" spans="12:13" x14ac:dyDescent="0.2">
      <c r="L10798" s="12"/>
      <c r="M10798" s="13"/>
    </row>
    <row r="10799" spans="12:13" x14ac:dyDescent="0.2">
      <c r="L10799" s="12"/>
      <c r="M10799" s="13"/>
    </row>
    <row r="10800" spans="12:13" x14ac:dyDescent="0.2">
      <c r="L10800" s="12"/>
      <c r="M10800" s="13"/>
    </row>
    <row r="10801" spans="12:13" x14ac:dyDescent="0.2">
      <c r="L10801" s="12"/>
      <c r="M10801" s="13"/>
    </row>
    <row r="10802" spans="12:13" x14ac:dyDescent="0.2">
      <c r="L10802" s="12"/>
      <c r="M10802" s="13"/>
    </row>
    <row r="10803" spans="12:13" x14ac:dyDescent="0.2">
      <c r="L10803" s="12"/>
      <c r="M10803" s="13"/>
    </row>
    <row r="10804" spans="12:13" x14ac:dyDescent="0.2">
      <c r="L10804" s="12"/>
      <c r="M10804" s="13"/>
    </row>
    <row r="10805" spans="12:13" x14ac:dyDescent="0.2">
      <c r="L10805" s="12"/>
      <c r="M10805" s="13"/>
    </row>
    <row r="10806" spans="12:13" x14ac:dyDescent="0.2">
      <c r="L10806" s="12"/>
      <c r="M10806" s="13"/>
    </row>
    <row r="10807" spans="12:13" x14ac:dyDescent="0.2">
      <c r="L10807" s="12"/>
      <c r="M10807" s="13"/>
    </row>
    <row r="10808" spans="12:13" x14ac:dyDescent="0.2">
      <c r="L10808" s="12"/>
      <c r="M10808" s="13"/>
    </row>
    <row r="10809" spans="12:13" x14ac:dyDescent="0.2">
      <c r="L10809" s="12"/>
      <c r="M10809" s="13"/>
    </row>
    <row r="10810" spans="12:13" x14ac:dyDescent="0.2">
      <c r="L10810" s="12"/>
      <c r="M10810" s="13"/>
    </row>
    <row r="10811" spans="12:13" x14ac:dyDescent="0.2">
      <c r="L10811" s="12"/>
      <c r="M10811" s="13"/>
    </row>
    <row r="10812" spans="12:13" x14ac:dyDescent="0.2">
      <c r="L10812" s="12"/>
      <c r="M10812" s="13"/>
    </row>
    <row r="10813" spans="12:13" x14ac:dyDescent="0.2">
      <c r="L10813" s="12"/>
      <c r="M10813" s="13"/>
    </row>
    <row r="10814" spans="12:13" x14ac:dyDescent="0.2">
      <c r="L10814" s="12"/>
      <c r="M10814" s="13"/>
    </row>
    <row r="10815" spans="12:13" x14ac:dyDescent="0.2">
      <c r="L10815" s="12"/>
      <c r="M10815" s="13"/>
    </row>
    <row r="10816" spans="12:13" x14ac:dyDescent="0.2">
      <c r="L10816" s="12"/>
      <c r="M10816" s="13"/>
    </row>
    <row r="10817" spans="12:13" x14ac:dyDescent="0.2">
      <c r="L10817" s="12"/>
      <c r="M10817" s="13"/>
    </row>
    <row r="10818" spans="12:13" x14ac:dyDescent="0.2">
      <c r="L10818" s="12"/>
      <c r="M10818" s="13"/>
    </row>
    <row r="10819" spans="12:13" x14ac:dyDescent="0.2">
      <c r="L10819" s="12"/>
      <c r="M10819" s="13"/>
    </row>
    <row r="10820" spans="12:13" x14ac:dyDescent="0.2">
      <c r="L10820" s="12"/>
      <c r="M10820" s="13"/>
    </row>
    <row r="10821" spans="12:13" x14ac:dyDescent="0.2">
      <c r="L10821" s="12"/>
      <c r="M10821" s="13"/>
    </row>
    <row r="10822" spans="12:13" x14ac:dyDescent="0.2">
      <c r="L10822" s="12"/>
      <c r="M10822" s="13"/>
    </row>
    <row r="10823" spans="12:13" x14ac:dyDescent="0.2">
      <c r="L10823" s="12"/>
      <c r="M10823" s="13"/>
    </row>
    <row r="10824" spans="12:13" x14ac:dyDescent="0.2">
      <c r="L10824" s="12"/>
      <c r="M10824" s="13"/>
    </row>
    <row r="10825" spans="12:13" x14ac:dyDescent="0.2">
      <c r="L10825" s="12"/>
      <c r="M10825" s="13"/>
    </row>
    <row r="10826" spans="12:13" x14ac:dyDescent="0.2">
      <c r="L10826" s="12"/>
      <c r="M10826" s="13"/>
    </row>
    <row r="10827" spans="12:13" x14ac:dyDescent="0.2">
      <c r="L10827" s="12"/>
      <c r="M10827" s="13"/>
    </row>
    <row r="10828" spans="12:13" x14ac:dyDescent="0.2">
      <c r="L10828" s="12"/>
      <c r="M10828" s="13"/>
    </row>
    <row r="10829" spans="12:13" x14ac:dyDescent="0.2">
      <c r="L10829" s="12"/>
      <c r="M10829" s="13"/>
    </row>
    <row r="10830" spans="12:13" x14ac:dyDescent="0.2">
      <c r="L10830" s="12"/>
      <c r="M10830" s="13"/>
    </row>
    <row r="10831" spans="12:13" x14ac:dyDescent="0.2">
      <c r="L10831" s="12"/>
      <c r="M10831" s="13"/>
    </row>
    <row r="10832" spans="12:13" x14ac:dyDescent="0.2">
      <c r="L10832" s="12"/>
      <c r="M10832" s="13"/>
    </row>
    <row r="10833" spans="12:13" x14ac:dyDescent="0.2">
      <c r="L10833" s="12"/>
      <c r="M10833" s="13"/>
    </row>
    <row r="10834" spans="12:13" x14ac:dyDescent="0.2">
      <c r="L10834" s="12"/>
      <c r="M10834" s="13"/>
    </row>
    <row r="10835" spans="12:13" x14ac:dyDescent="0.2">
      <c r="L10835" s="12"/>
      <c r="M10835" s="13"/>
    </row>
    <row r="10836" spans="12:13" x14ac:dyDescent="0.2">
      <c r="L10836" s="12"/>
      <c r="M10836" s="13"/>
    </row>
    <row r="10837" spans="12:13" x14ac:dyDescent="0.2">
      <c r="L10837" s="12"/>
      <c r="M10837" s="13"/>
    </row>
    <row r="10838" spans="12:13" x14ac:dyDescent="0.2">
      <c r="L10838" s="12"/>
      <c r="M10838" s="13"/>
    </row>
    <row r="10839" spans="12:13" x14ac:dyDescent="0.2">
      <c r="L10839" s="12"/>
      <c r="M10839" s="13"/>
    </row>
    <row r="10840" spans="12:13" x14ac:dyDescent="0.2">
      <c r="L10840" s="12"/>
      <c r="M10840" s="13"/>
    </row>
    <row r="10841" spans="12:13" x14ac:dyDescent="0.2">
      <c r="L10841" s="12"/>
      <c r="M10841" s="13"/>
    </row>
    <row r="10842" spans="12:13" x14ac:dyDescent="0.2">
      <c r="L10842" s="12"/>
      <c r="M10842" s="13"/>
    </row>
    <row r="10843" spans="12:13" x14ac:dyDescent="0.2">
      <c r="L10843" s="12"/>
      <c r="M10843" s="13"/>
    </row>
    <row r="10844" spans="12:13" x14ac:dyDescent="0.2">
      <c r="L10844" s="12"/>
      <c r="M10844" s="13"/>
    </row>
    <row r="10845" spans="12:13" x14ac:dyDescent="0.2">
      <c r="L10845" s="12"/>
      <c r="M10845" s="13"/>
    </row>
    <row r="10846" spans="12:13" x14ac:dyDescent="0.2">
      <c r="L10846" s="12"/>
      <c r="M10846" s="13"/>
    </row>
    <row r="10847" spans="12:13" x14ac:dyDescent="0.2">
      <c r="L10847" s="12"/>
      <c r="M10847" s="13"/>
    </row>
    <row r="10848" spans="12:13" x14ac:dyDescent="0.2">
      <c r="L10848" s="12"/>
      <c r="M10848" s="13"/>
    </row>
    <row r="10849" spans="12:13" x14ac:dyDescent="0.2">
      <c r="L10849" s="12"/>
      <c r="M10849" s="13"/>
    </row>
    <row r="10850" spans="12:13" x14ac:dyDescent="0.2">
      <c r="L10850" s="12"/>
      <c r="M10850" s="13"/>
    </row>
    <row r="10851" spans="12:13" x14ac:dyDescent="0.2">
      <c r="L10851" s="12"/>
      <c r="M10851" s="13"/>
    </row>
    <row r="10852" spans="12:13" x14ac:dyDescent="0.2">
      <c r="L10852" s="12"/>
      <c r="M10852" s="13"/>
    </row>
    <row r="10853" spans="12:13" x14ac:dyDescent="0.2">
      <c r="L10853" s="12"/>
      <c r="M10853" s="13"/>
    </row>
    <row r="10854" spans="12:13" x14ac:dyDescent="0.2">
      <c r="L10854" s="12"/>
      <c r="M10854" s="13"/>
    </row>
    <row r="10855" spans="12:13" x14ac:dyDescent="0.2">
      <c r="L10855" s="12"/>
      <c r="M10855" s="13"/>
    </row>
    <row r="10856" spans="12:13" x14ac:dyDescent="0.2">
      <c r="L10856" s="12"/>
      <c r="M10856" s="13"/>
    </row>
    <row r="10857" spans="12:13" x14ac:dyDescent="0.2">
      <c r="L10857" s="12"/>
      <c r="M10857" s="13"/>
    </row>
    <row r="10858" spans="12:13" x14ac:dyDescent="0.2">
      <c r="L10858" s="12"/>
      <c r="M10858" s="13"/>
    </row>
    <row r="10859" spans="12:13" x14ac:dyDescent="0.2">
      <c r="L10859" s="12"/>
      <c r="M10859" s="13"/>
    </row>
    <row r="10860" spans="12:13" x14ac:dyDescent="0.2">
      <c r="L10860" s="12"/>
      <c r="M10860" s="13"/>
    </row>
    <row r="10861" spans="12:13" x14ac:dyDescent="0.2">
      <c r="L10861" s="12"/>
      <c r="M10861" s="13"/>
    </row>
    <row r="10862" spans="12:13" x14ac:dyDescent="0.2">
      <c r="L10862" s="12"/>
      <c r="M10862" s="13"/>
    </row>
    <row r="10863" spans="12:13" x14ac:dyDescent="0.2">
      <c r="L10863" s="12"/>
      <c r="M10863" s="13"/>
    </row>
    <row r="10864" spans="12:13" x14ac:dyDescent="0.2">
      <c r="L10864" s="12"/>
      <c r="M10864" s="13"/>
    </row>
    <row r="10865" spans="12:13" x14ac:dyDescent="0.2">
      <c r="L10865" s="12"/>
      <c r="M10865" s="13"/>
    </row>
    <row r="10866" spans="12:13" x14ac:dyDescent="0.2">
      <c r="L10866" s="12"/>
      <c r="M10866" s="13"/>
    </row>
    <row r="10867" spans="12:13" x14ac:dyDescent="0.2">
      <c r="L10867" s="12"/>
      <c r="M10867" s="13"/>
    </row>
    <row r="10868" spans="12:13" x14ac:dyDescent="0.2">
      <c r="L10868" s="12"/>
      <c r="M10868" s="13"/>
    </row>
    <row r="10869" spans="12:13" x14ac:dyDescent="0.2">
      <c r="L10869" s="12"/>
      <c r="M10869" s="13"/>
    </row>
    <row r="10870" spans="12:13" x14ac:dyDescent="0.2">
      <c r="L10870" s="12"/>
      <c r="M10870" s="13"/>
    </row>
    <row r="10871" spans="12:13" x14ac:dyDescent="0.2">
      <c r="L10871" s="12"/>
      <c r="M10871" s="13"/>
    </row>
    <row r="10872" spans="12:13" x14ac:dyDescent="0.2">
      <c r="L10872" s="12"/>
      <c r="M10872" s="13"/>
    </row>
    <row r="10873" spans="12:13" x14ac:dyDescent="0.2">
      <c r="L10873" s="12"/>
      <c r="M10873" s="13"/>
    </row>
    <row r="10874" spans="12:13" x14ac:dyDescent="0.2">
      <c r="L10874" s="12"/>
      <c r="M10874" s="13"/>
    </row>
    <row r="10875" spans="12:13" x14ac:dyDescent="0.2">
      <c r="L10875" s="12"/>
      <c r="M10875" s="13"/>
    </row>
    <row r="10876" spans="12:13" x14ac:dyDescent="0.2">
      <c r="L10876" s="12"/>
      <c r="M10876" s="13"/>
    </row>
    <row r="10877" spans="12:13" x14ac:dyDescent="0.2">
      <c r="L10877" s="12"/>
      <c r="M10877" s="13"/>
    </row>
    <row r="10878" spans="12:13" x14ac:dyDescent="0.2">
      <c r="L10878" s="12"/>
      <c r="M10878" s="13"/>
    </row>
    <row r="10879" spans="12:13" x14ac:dyDescent="0.2">
      <c r="L10879" s="12"/>
      <c r="M10879" s="13"/>
    </row>
    <row r="10880" spans="12:13" x14ac:dyDescent="0.2">
      <c r="L10880" s="12"/>
      <c r="M10880" s="13"/>
    </row>
    <row r="10881" spans="12:13" x14ac:dyDescent="0.2">
      <c r="L10881" s="12"/>
      <c r="M10881" s="13"/>
    </row>
    <row r="10882" spans="12:13" x14ac:dyDescent="0.2">
      <c r="L10882" s="12"/>
      <c r="M10882" s="13"/>
    </row>
    <row r="10883" spans="12:13" x14ac:dyDescent="0.2">
      <c r="L10883" s="12"/>
      <c r="M10883" s="13"/>
    </row>
    <row r="10884" spans="12:13" x14ac:dyDescent="0.2">
      <c r="L10884" s="12"/>
      <c r="M10884" s="13"/>
    </row>
    <row r="10885" spans="12:13" x14ac:dyDescent="0.2">
      <c r="L10885" s="12"/>
      <c r="M10885" s="13"/>
    </row>
    <row r="10886" spans="12:13" x14ac:dyDescent="0.2">
      <c r="L10886" s="12"/>
      <c r="M10886" s="13"/>
    </row>
    <row r="10887" spans="12:13" x14ac:dyDescent="0.2">
      <c r="L10887" s="12"/>
      <c r="M10887" s="13"/>
    </row>
    <row r="10888" spans="12:13" x14ac:dyDescent="0.2">
      <c r="L10888" s="12"/>
      <c r="M10888" s="13"/>
    </row>
    <row r="10889" spans="12:13" x14ac:dyDescent="0.2">
      <c r="L10889" s="12"/>
      <c r="M10889" s="13"/>
    </row>
    <row r="10890" spans="12:13" x14ac:dyDescent="0.2">
      <c r="L10890" s="12"/>
      <c r="M10890" s="13"/>
    </row>
    <row r="10891" spans="12:13" x14ac:dyDescent="0.2">
      <c r="L10891" s="12"/>
      <c r="M10891" s="13"/>
    </row>
    <row r="10892" spans="12:13" x14ac:dyDescent="0.2">
      <c r="L10892" s="12"/>
      <c r="M10892" s="13"/>
    </row>
    <row r="10893" spans="12:13" x14ac:dyDescent="0.2">
      <c r="L10893" s="12"/>
      <c r="M10893" s="13"/>
    </row>
    <row r="10894" spans="12:13" x14ac:dyDescent="0.2">
      <c r="L10894" s="12"/>
      <c r="M10894" s="13"/>
    </row>
    <row r="10895" spans="12:13" x14ac:dyDescent="0.2">
      <c r="L10895" s="12"/>
      <c r="M10895" s="13"/>
    </row>
    <row r="10896" spans="12:13" x14ac:dyDescent="0.2">
      <c r="L10896" s="12"/>
      <c r="M10896" s="13"/>
    </row>
    <row r="10897" spans="12:13" x14ac:dyDescent="0.2">
      <c r="L10897" s="12"/>
      <c r="M10897" s="13"/>
    </row>
    <row r="10898" spans="12:13" x14ac:dyDescent="0.2">
      <c r="L10898" s="12"/>
      <c r="M10898" s="13"/>
    </row>
    <row r="10899" spans="12:13" x14ac:dyDescent="0.2">
      <c r="L10899" s="12"/>
      <c r="M10899" s="13"/>
    </row>
    <row r="10900" spans="12:13" x14ac:dyDescent="0.2">
      <c r="L10900" s="12"/>
      <c r="M10900" s="13"/>
    </row>
    <row r="10901" spans="12:13" x14ac:dyDescent="0.2">
      <c r="L10901" s="12"/>
      <c r="M10901" s="13"/>
    </row>
    <row r="10902" spans="12:13" x14ac:dyDescent="0.2">
      <c r="L10902" s="12"/>
      <c r="M10902" s="13"/>
    </row>
    <row r="10903" spans="12:13" x14ac:dyDescent="0.2">
      <c r="L10903" s="12"/>
      <c r="M10903" s="13"/>
    </row>
    <row r="10904" spans="12:13" x14ac:dyDescent="0.2">
      <c r="L10904" s="12"/>
      <c r="M10904" s="13"/>
    </row>
    <row r="10905" spans="12:13" x14ac:dyDescent="0.2">
      <c r="L10905" s="12"/>
      <c r="M10905" s="13"/>
    </row>
    <row r="10906" spans="12:13" x14ac:dyDescent="0.2">
      <c r="L10906" s="12"/>
      <c r="M10906" s="13"/>
    </row>
    <row r="10907" spans="12:13" x14ac:dyDescent="0.2">
      <c r="L10907" s="12"/>
      <c r="M10907" s="13"/>
    </row>
    <row r="10908" spans="12:13" x14ac:dyDescent="0.2">
      <c r="L10908" s="12"/>
      <c r="M10908" s="13"/>
    </row>
    <row r="10909" spans="12:13" x14ac:dyDescent="0.2">
      <c r="L10909" s="12"/>
      <c r="M10909" s="13"/>
    </row>
    <row r="10910" spans="12:13" x14ac:dyDescent="0.2">
      <c r="L10910" s="12"/>
      <c r="M10910" s="13"/>
    </row>
    <row r="10911" spans="12:13" x14ac:dyDescent="0.2">
      <c r="L10911" s="12"/>
      <c r="M10911" s="13"/>
    </row>
    <row r="10912" spans="12:13" x14ac:dyDescent="0.2">
      <c r="L10912" s="12"/>
      <c r="M10912" s="13"/>
    </row>
    <row r="10913" spans="12:13" x14ac:dyDescent="0.2">
      <c r="L10913" s="12"/>
      <c r="M10913" s="13"/>
    </row>
    <row r="10914" spans="12:13" x14ac:dyDescent="0.2">
      <c r="L10914" s="12"/>
      <c r="M10914" s="13"/>
    </row>
    <row r="10915" spans="12:13" x14ac:dyDescent="0.2">
      <c r="L10915" s="12"/>
      <c r="M10915" s="13"/>
    </row>
    <row r="10916" spans="12:13" x14ac:dyDescent="0.2">
      <c r="L10916" s="12"/>
      <c r="M10916" s="13"/>
    </row>
    <row r="10917" spans="12:13" x14ac:dyDescent="0.2">
      <c r="L10917" s="12"/>
      <c r="M10917" s="13"/>
    </row>
    <row r="10918" spans="12:13" x14ac:dyDescent="0.2">
      <c r="L10918" s="12"/>
      <c r="M10918" s="13"/>
    </row>
    <row r="10919" spans="12:13" x14ac:dyDescent="0.2">
      <c r="L10919" s="12"/>
      <c r="M10919" s="13"/>
    </row>
    <row r="10920" spans="12:13" x14ac:dyDescent="0.2">
      <c r="L10920" s="12"/>
      <c r="M10920" s="13"/>
    </row>
    <row r="10921" spans="12:13" x14ac:dyDescent="0.2">
      <c r="L10921" s="12"/>
      <c r="M10921" s="13"/>
    </row>
    <row r="10922" spans="12:13" x14ac:dyDescent="0.2">
      <c r="L10922" s="12"/>
      <c r="M10922" s="13"/>
    </row>
    <row r="10923" spans="12:13" x14ac:dyDescent="0.2">
      <c r="L10923" s="12"/>
      <c r="M10923" s="13"/>
    </row>
    <row r="10924" spans="12:13" x14ac:dyDescent="0.2">
      <c r="L10924" s="12"/>
      <c r="M10924" s="13"/>
    </row>
    <row r="10925" spans="12:13" x14ac:dyDescent="0.2">
      <c r="L10925" s="12"/>
      <c r="M10925" s="13"/>
    </row>
    <row r="10926" spans="12:13" x14ac:dyDescent="0.2">
      <c r="L10926" s="12"/>
      <c r="M10926" s="13"/>
    </row>
    <row r="10927" spans="12:13" x14ac:dyDescent="0.2">
      <c r="L10927" s="12"/>
      <c r="M10927" s="13"/>
    </row>
    <row r="10928" spans="12:13" x14ac:dyDescent="0.2">
      <c r="L10928" s="12"/>
      <c r="M10928" s="13"/>
    </row>
    <row r="10929" spans="12:13" x14ac:dyDescent="0.2">
      <c r="L10929" s="12"/>
      <c r="M10929" s="13"/>
    </row>
    <row r="10930" spans="12:13" x14ac:dyDescent="0.2">
      <c r="L10930" s="12"/>
      <c r="M10930" s="13"/>
    </row>
    <row r="10931" spans="12:13" x14ac:dyDescent="0.2">
      <c r="L10931" s="12"/>
      <c r="M10931" s="13"/>
    </row>
    <row r="10932" spans="12:13" x14ac:dyDescent="0.2">
      <c r="L10932" s="12"/>
      <c r="M10932" s="13"/>
    </row>
    <row r="10933" spans="12:13" x14ac:dyDescent="0.2">
      <c r="L10933" s="12"/>
      <c r="M10933" s="13"/>
    </row>
    <row r="10934" spans="12:13" x14ac:dyDescent="0.2">
      <c r="L10934" s="12"/>
      <c r="M10934" s="13"/>
    </row>
    <row r="10935" spans="12:13" x14ac:dyDescent="0.2">
      <c r="L10935" s="12"/>
      <c r="M10935" s="13"/>
    </row>
    <row r="10936" spans="12:13" x14ac:dyDescent="0.2">
      <c r="L10936" s="12"/>
      <c r="M10936" s="13"/>
    </row>
    <row r="10937" spans="12:13" x14ac:dyDescent="0.2">
      <c r="L10937" s="12"/>
      <c r="M10937" s="13"/>
    </row>
    <row r="10938" spans="12:13" x14ac:dyDescent="0.2">
      <c r="L10938" s="12"/>
      <c r="M10938" s="13"/>
    </row>
    <row r="10939" spans="12:13" x14ac:dyDescent="0.2">
      <c r="L10939" s="12"/>
      <c r="M10939" s="13"/>
    </row>
    <row r="10940" spans="12:13" x14ac:dyDescent="0.2">
      <c r="L10940" s="12"/>
      <c r="M10940" s="13"/>
    </row>
    <row r="10941" spans="12:13" x14ac:dyDescent="0.2">
      <c r="L10941" s="12"/>
      <c r="M10941" s="13"/>
    </row>
    <row r="10942" spans="12:13" x14ac:dyDescent="0.2">
      <c r="L10942" s="12"/>
      <c r="M10942" s="13"/>
    </row>
    <row r="10943" spans="12:13" x14ac:dyDescent="0.2">
      <c r="L10943" s="12"/>
      <c r="M10943" s="13"/>
    </row>
    <row r="10944" spans="12:13" x14ac:dyDescent="0.2">
      <c r="L10944" s="12"/>
      <c r="M10944" s="13"/>
    </row>
    <row r="10945" spans="12:13" x14ac:dyDescent="0.2">
      <c r="L10945" s="12"/>
      <c r="M10945" s="13"/>
    </row>
    <row r="10946" spans="12:13" x14ac:dyDescent="0.2">
      <c r="L10946" s="12"/>
      <c r="M10946" s="13"/>
    </row>
    <row r="10947" spans="12:13" x14ac:dyDescent="0.2">
      <c r="L10947" s="12"/>
      <c r="M10947" s="13"/>
    </row>
    <row r="10948" spans="12:13" x14ac:dyDescent="0.2">
      <c r="L10948" s="12"/>
      <c r="M10948" s="13"/>
    </row>
    <row r="10949" spans="12:13" x14ac:dyDescent="0.2">
      <c r="L10949" s="12"/>
      <c r="M10949" s="13"/>
    </row>
    <row r="10950" spans="12:13" x14ac:dyDescent="0.2">
      <c r="L10950" s="12"/>
      <c r="M10950" s="13"/>
    </row>
    <row r="10951" spans="12:13" x14ac:dyDescent="0.2">
      <c r="L10951" s="12"/>
      <c r="M10951" s="13"/>
    </row>
    <row r="10952" spans="12:13" x14ac:dyDescent="0.2">
      <c r="L10952" s="12"/>
      <c r="M10952" s="13"/>
    </row>
    <row r="10953" spans="12:13" x14ac:dyDescent="0.2">
      <c r="L10953" s="12"/>
      <c r="M10953" s="13"/>
    </row>
    <row r="10954" spans="12:13" x14ac:dyDescent="0.2">
      <c r="L10954" s="12"/>
      <c r="M10954" s="13"/>
    </row>
    <row r="10955" spans="12:13" x14ac:dyDescent="0.2">
      <c r="L10955" s="12"/>
      <c r="M10955" s="13"/>
    </row>
    <row r="10956" spans="12:13" x14ac:dyDescent="0.2">
      <c r="L10956" s="12"/>
      <c r="M10956" s="13"/>
    </row>
    <row r="10957" spans="12:13" x14ac:dyDescent="0.2">
      <c r="L10957" s="12"/>
      <c r="M10957" s="13"/>
    </row>
    <row r="10958" spans="12:13" x14ac:dyDescent="0.2">
      <c r="L10958" s="12"/>
      <c r="M10958" s="13"/>
    </row>
    <row r="10959" spans="12:13" x14ac:dyDescent="0.2">
      <c r="L10959" s="12"/>
      <c r="M10959" s="13"/>
    </row>
    <row r="10960" spans="12:13" x14ac:dyDescent="0.2">
      <c r="L10960" s="12"/>
      <c r="M10960" s="13"/>
    </row>
    <row r="10961" spans="12:13" x14ac:dyDescent="0.2">
      <c r="L10961" s="12"/>
      <c r="M10961" s="13"/>
    </row>
    <row r="10962" spans="12:13" x14ac:dyDescent="0.2">
      <c r="L10962" s="12"/>
      <c r="M10962" s="13"/>
    </row>
    <row r="10963" spans="12:13" x14ac:dyDescent="0.2">
      <c r="L10963" s="12"/>
      <c r="M10963" s="13"/>
    </row>
    <row r="10964" spans="12:13" x14ac:dyDescent="0.2">
      <c r="L10964" s="12"/>
      <c r="M10964" s="13"/>
    </row>
    <row r="10965" spans="12:13" x14ac:dyDescent="0.2">
      <c r="L10965" s="12"/>
      <c r="M10965" s="13"/>
    </row>
    <row r="10966" spans="12:13" x14ac:dyDescent="0.2">
      <c r="L10966" s="12"/>
      <c r="M10966" s="13"/>
    </row>
    <row r="10967" spans="12:13" x14ac:dyDescent="0.2">
      <c r="L10967" s="12"/>
      <c r="M10967" s="13"/>
    </row>
    <row r="10968" spans="12:13" x14ac:dyDescent="0.2">
      <c r="L10968" s="12"/>
      <c r="M10968" s="13"/>
    </row>
    <row r="10969" spans="12:13" x14ac:dyDescent="0.2">
      <c r="L10969" s="12"/>
      <c r="M10969" s="13"/>
    </row>
    <row r="10970" spans="12:13" x14ac:dyDescent="0.2">
      <c r="L10970" s="12"/>
      <c r="M10970" s="13"/>
    </row>
    <row r="10971" spans="12:13" x14ac:dyDescent="0.2">
      <c r="L10971" s="12"/>
      <c r="M10971" s="13"/>
    </row>
    <row r="10972" spans="12:13" x14ac:dyDescent="0.2">
      <c r="L10972" s="12"/>
      <c r="M10972" s="13"/>
    </row>
    <row r="10973" spans="12:13" x14ac:dyDescent="0.2">
      <c r="L10973" s="12"/>
      <c r="M10973" s="13"/>
    </row>
    <row r="10974" spans="12:13" x14ac:dyDescent="0.2">
      <c r="L10974" s="12"/>
      <c r="M10974" s="13"/>
    </row>
    <row r="10975" spans="12:13" x14ac:dyDescent="0.2">
      <c r="L10975" s="12"/>
      <c r="M10975" s="13"/>
    </row>
    <row r="10976" spans="12:13" x14ac:dyDescent="0.2">
      <c r="L10976" s="12"/>
      <c r="M10976" s="13"/>
    </row>
    <row r="10977" spans="12:13" x14ac:dyDescent="0.2">
      <c r="L10977" s="12"/>
      <c r="M10977" s="13"/>
    </row>
    <row r="10978" spans="12:13" x14ac:dyDescent="0.2">
      <c r="L10978" s="12"/>
      <c r="M10978" s="13"/>
    </row>
    <row r="10979" spans="12:13" x14ac:dyDescent="0.2">
      <c r="L10979" s="12"/>
      <c r="M10979" s="13"/>
    </row>
    <row r="10980" spans="12:13" x14ac:dyDescent="0.2">
      <c r="L10980" s="12"/>
      <c r="M10980" s="13"/>
    </row>
    <row r="10981" spans="12:13" x14ac:dyDescent="0.2">
      <c r="L10981" s="12"/>
      <c r="M10981" s="13"/>
    </row>
    <row r="10982" spans="12:13" x14ac:dyDescent="0.2">
      <c r="L10982" s="12"/>
      <c r="M10982" s="13"/>
    </row>
    <row r="10983" spans="12:13" x14ac:dyDescent="0.2">
      <c r="L10983" s="12"/>
      <c r="M10983" s="13"/>
    </row>
    <row r="10984" spans="12:13" x14ac:dyDescent="0.2">
      <c r="L10984" s="12"/>
      <c r="M10984" s="13"/>
    </row>
    <row r="10985" spans="12:13" x14ac:dyDescent="0.2">
      <c r="L10985" s="12"/>
      <c r="M10985" s="13"/>
    </row>
    <row r="10986" spans="12:13" x14ac:dyDescent="0.2">
      <c r="L10986" s="12"/>
      <c r="M10986" s="13"/>
    </row>
    <row r="10987" spans="12:13" x14ac:dyDescent="0.2">
      <c r="L10987" s="12"/>
      <c r="M10987" s="13"/>
    </row>
    <row r="10988" spans="12:13" x14ac:dyDescent="0.2">
      <c r="L10988" s="12"/>
      <c r="M10988" s="13"/>
    </row>
    <row r="10989" spans="12:13" x14ac:dyDescent="0.2">
      <c r="L10989" s="12"/>
      <c r="M10989" s="13"/>
    </row>
    <row r="10990" spans="12:13" x14ac:dyDescent="0.2">
      <c r="L10990" s="12"/>
      <c r="M10990" s="13"/>
    </row>
    <row r="10991" spans="12:13" x14ac:dyDescent="0.2">
      <c r="L10991" s="12"/>
      <c r="M10991" s="13"/>
    </row>
    <row r="10992" spans="12:13" x14ac:dyDescent="0.2">
      <c r="L10992" s="12"/>
      <c r="M10992" s="13"/>
    </row>
    <row r="10993" spans="12:13" x14ac:dyDescent="0.2">
      <c r="L10993" s="12"/>
      <c r="M10993" s="13"/>
    </row>
    <row r="10994" spans="12:13" x14ac:dyDescent="0.2">
      <c r="L10994" s="12"/>
      <c r="M10994" s="13"/>
    </row>
    <row r="10995" spans="12:13" x14ac:dyDescent="0.2">
      <c r="L10995" s="12"/>
      <c r="M10995" s="13"/>
    </row>
    <row r="10996" spans="12:13" x14ac:dyDescent="0.2">
      <c r="L10996" s="12"/>
      <c r="M10996" s="13"/>
    </row>
    <row r="10997" spans="12:13" x14ac:dyDescent="0.2">
      <c r="L10997" s="12"/>
      <c r="M10997" s="13"/>
    </row>
    <row r="10998" spans="12:13" x14ac:dyDescent="0.2">
      <c r="L10998" s="12"/>
      <c r="M10998" s="13"/>
    </row>
    <row r="10999" spans="12:13" x14ac:dyDescent="0.2">
      <c r="L10999" s="12"/>
      <c r="M10999" s="13"/>
    </row>
    <row r="11000" spans="12:13" x14ac:dyDescent="0.2">
      <c r="L11000" s="12"/>
      <c r="M11000" s="13"/>
    </row>
    <row r="11001" spans="12:13" x14ac:dyDescent="0.2">
      <c r="L11001" s="12"/>
      <c r="M11001" s="13"/>
    </row>
    <row r="11002" spans="12:13" x14ac:dyDescent="0.2">
      <c r="L11002" s="12"/>
      <c r="M11002" s="13"/>
    </row>
    <row r="11003" spans="12:13" x14ac:dyDescent="0.2">
      <c r="L11003" s="12"/>
      <c r="M11003" s="13"/>
    </row>
    <row r="11004" spans="12:13" x14ac:dyDescent="0.2">
      <c r="L11004" s="12"/>
      <c r="M11004" s="13"/>
    </row>
    <row r="11005" spans="12:13" x14ac:dyDescent="0.2">
      <c r="L11005" s="12"/>
      <c r="M11005" s="13"/>
    </row>
    <row r="11006" spans="12:13" x14ac:dyDescent="0.2">
      <c r="L11006" s="12"/>
      <c r="M11006" s="13"/>
    </row>
    <row r="11007" spans="12:13" x14ac:dyDescent="0.2">
      <c r="L11007" s="12"/>
      <c r="M11007" s="13"/>
    </row>
    <row r="11008" spans="12:13" x14ac:dyDescent="0.2">
      <c r="L11008" s="12"/>
      <c r="M11008" s="13"/>
    </row>
    <row r="11009" spans="12:13" x14ac:dyDescent="0.2">
      <c r="L11009" s="12"/>
      <c r="M11009" s="13"/>
    </row>
    <row r="11010" spans="12:13" x14ac:dyDescent="0.2">
      <c r="L11010" s="17"/>
      <c r="M11010" s="18"/>
    </row>
    <row r="11011" spans="12:13" x14ac:dyDescent="0.2">
      <c r="L11011" s="12"/>
      <c r="M11011" s="13"/>
    </row>
    <row r="11012" spans="12:13" x14ac:dyDescent="0.2">
      <c r="L11012" s="12"/>
      <c r="M11012" s="13"/>
    </row>
    <row r="11013" spans="12:13" x14ac:dyDescent="0.2">
      <c r="L11013" s="12"/>
      <c r="M11013" s="13"/>
    </row>
    <row r="11014" spans="12:13" x14ac:dyDescent="0.2">
      <c r="L11014" s="12"/>
      <c r="M11014" s="13"/>
    </row>
    <row r="11015" spans="12:13" x14ac:dyDescent="0.2">
      <c r="L11015" s="12"/>
      <c r="M11015" s="13"/>
    </row>
    <row r="11016" spans="12:13" x14ac:dyDescent="0.2">
      <c r="L11016" s="12"/>
      <c r="M11016" s="13"/>
    </row>
    <row r="11017" spans="12:13" x14ac:dyDescent="0.2">
      <c r="L11017" s="12"/>
      <c r="M11017" s="13"/>
    </row>
    <row r="11018" spans="12:13" x14ac:dyDescent="0.2">
      <c r="L11018" s="12"/>
      <c r="M11018" s="13"/>
    </row>
    <row r="11019" spans="12:13" x14ac:dyDescent="0.2">
      <c r="L11019" s="12"/>
      <c r="M11019" s="13"/>
    </row>
    <row r="11020" spans="12:13" x14ac:dyDescent="0.2">
      <c r="L11020" s="12"/>
      <c r="M11020" s="13"/>
    </row>
    <row r="11021" spans="12:13" x14ac:dyDescent="0.2">
      <c r="L11021" s="12"/>
      <c r="M11021" s="13"/>
    </row>
    <row r="11022" spans="12:13" x14ac:dyDescent="0.2">
      <c r="L11022" s="12"/>
      <c r="M11022" s="13"/>
    </row>
    <row r="11023" spans="12:13" x14ac:dyDescent="0.2">
      <c r="L11023" s="12"/>
      <c r="M11023" s="13"/>
    </row>
    <row r="11024" spans="12:13" x14ac:dyDescent="0.2">
      <c r="L11024" s="12"/>
      <c r="M11024" s="13"/>
    </row>
    <row r="11025" spans="12:13" x14ac:dyDescent="0.2">
      <c r="L11025" s="12"/>
      <c r="M11025" s="13"/>
    </row>
    <row r="11026" spans="12:13" x14ac:dyDescent="0.2">
      <c r="L11026" s="12"/>
      <c r="M11026" s="13"/>
    </row>
    <row r="11027" spans="12:13" x14ac:dyDescent="0.2">
      <c r="L11027" s="12"/>
      <c r="M11027" s="13"/>
    </row>
    <row r="11028" spans="12:13" x14ac:dyDescent="0.2">
      <c r="L11028" s="12"/>
      <c r="M11028" s="13"/>
    </row>
    <row r="11029" spans="12:13" x14ac:dyDescent="0.2">
      <c r="L11029" s="12"/>
      <c r="M11029" s="13"/>
    </row>
    <row r="11030" spans="12:13" x14ac:dyDescent="0.2">
      <c r="L11030" s="12"/>
      <c r="M11030" s="13"/>
    </row>
    <row r="11031" spans="12:13" x14ac:dyDescent="0.2">
      <c r="L11031" s="12"/>
      <c r="M11031" s="13"/>
    </row>
    <row r="11032" spans="12:13" x14ac:dyDescent="0.2">
      <c r="L11032" s="12"/>
      <c r="M11032" s="13"/>
    </row>
    <row r="11033" spans="12:13" x14ac:dyDescent="0.2">
      <c r="L11033" s="12"/>
      <c r="M11033" s="13"/>
    </row>
    <row r="11034" spans="12:13" x14ac:dyDescent="0.2">
      <c r="L11034" s="12"/>
      <c r="M11034" s="13"/>
    </row>
    <row r="11035" spans="12:13" x14ac:dyDescent="0.2">
      <c r="L11035" s="12"/>
      <c r="M11035" s="13"/>
    </row>
    <row r="11036" spans="12:13" x14ac:dyDescent="0.2">
      <c r="L11036" s="12"/>
      <c r="M11036" s="13"/>
    </row>
    <row r="11037" spans="12:13" x14ac:dyDescent="0.2">
      <c r="L11037" s="12"/>
      <c r="M11037" s="13"/>
    </row>
    <row r="11038" spans="12:13" x14ac:dyDescent="0.2">
      <c r="L11038" s="12"/>
      <c r="M11038" s="13"/>
    </row>
    <row r="11039" spans="12:13" x14ac:dyDescent="0.2">
      <c r="L11039" s="12"/>
      <c r="M11039" s="13"/>
    </row>
    <row r="11040" spans="12:13" x14ac:dyDescent="0.2">
      <c r="L11040" s="12"/>
      <c r="M11040" s="13"/>
    </row>
    <row r="11041" spans="12:13" x14ac:dyDescent="0.2">
      <c r="L11041" s="12"/>
      <c r="M11041" s="13"/>
    </row>
    <row r="11042" spans="12:13" x14ac:dyDescent="0.2">
      <c r="L11042" s="12"/>
      <c r="M11042" s="13"/>
    </row>
    <row r="11043" spans="12:13" x14ac:dyDescent="0.2">
      <c r="L11043" s="12"/>
      <c r="M11043" s="13"/>
    </row>
    <row r="11044" spans="12:13" x14ac:dyDescent="0.2">
      <c r="L11044" s="12"/>
      <c r="M11044" s="13"/>
    </row>
    <row r="11045" spans="12:13" x14ac:dyDescent="0.2">
      <c r="L11045" s="12"/>
      <c r="M11045" s="13"/>
    </row>
    <row r="11046" spans="12:13" x14ac:dyDescent="0.2">
      <c r="L11046" s="12"/>
      <c r="M11046" s="13"/>
    </row>
    <row r="11047" spans="12:13" x14ac:dyDescent="0.2">
      <c r="L11047" s="12"/>
      <c r="M11047" s="13"/>
    </row>
    <row r="11048" spans="12:13" x14ac:dyDescent="0.2">
      <c r="L11048" s="12"/>
      <c r="M11048" s="13"/>
    </row>
    <row r="11049" spans="12:13" x14ac:dyDescent="0.2">
      <c r="L11049" s="12"/>
      <c r="M11049" s="13"/>
    </row>
    <row r="11050" spans="12:13" x14ac:dyDescent="0.2">
      <c r="L11050" s="12"/>
      <c r="M11050" s="13"/>
    </row>
    <row r="11051" spans="12:13" x14ac:dyDescent="0.2">
      <c r="L11051" s="12"/>
      <c r="M11051" s="13"/>
    </row>
    <row r="11052" spans="12:13" x14ac:dyDescent="0.2">
      <c r="L11052" s="12"/>
      <c r="M11052" s="13"/>
    </row>
    <row r="11053" spans="12:13" x14ac:dyDescent="0.2">
      <c r="L11053" s="12"/>
      <c r="M11053" s="13"/>
    </row>
    <row r="11054" spans="12:13" x14ac:dyDescent="0.2">
      <c r="L11054" s="12"/>
      <c r="M11054" s="13"/>
    </row>
    <row r="11055" spans="12:13" x14ac:dyDescent="0.2">
      <c r="L11055" s="12"/>
      <c r="M11055" s="13"/>
    </row>
    <row r="11056" spans="12:13" x14ac:dyDescent="0.2">
      <c r="L11056" s="12"/>
      <c r="M11056" s="13"/>
    </row>
    <row r="11057" spans="12:13" x14ac:dyDescent="0.2">
      <c r="L11057" s="12"/>
      <c r="M11057" s="13"/>
    </row>
    <row r="11058" spans="12:13" x14ac:dyDescent="0.2">
      <c r="L11058" s="12"/>
      <c r="M11058" s="13"/>
    </row>
    <row r="11059" spans="12:13" x14ac:dyDescent="0.2">
      <c r="L11059" s="12"/>
      <c r="M11059" s="13"/>
    </row>
    <row r="11060" spans="12:13" x14ac:dyDescent="0.2">
      <c r="L11060" s="12"/>
      <c r="M11060" s="13"/>
    </row>
    <row r="11061" spans="12:13" x14ac:dyDescent="0.2">
      <c r="L11061" s="12"/>
      <c r="M11061" s="13"/>
    </row>
    <row r="11062" spans="12:13" x14ac:dyDescent="0.2">
      <c r="L11062" s="12"/>
      <c r="M11062" s="13"/>
    </row>
    <row r="11063" spans="12:13" x14ac:dyDescent="0.2">
      <c r="L11063" s="12"/>
      <c r="M11063" s="13"/>
    </row>
    <row r="11064" spans="12:13" x14ac:dyDescent="0.2">
      <c r="L11064" s="12"/>
      <c r="M11064" s="13"/>
    </row>
    <row r="11065" spans="12:13" x14ac:dyDescent="0.2">
      <c r="L11065" s="12"/>
      <c r="M11065" s="13"/>
    </row>
    <row r="11066" spans="12:13" x14ac:dyDescent="0.2">
      <c r="L11066" s="12"/>
      <c r="M11066" s="13"/>
    </row>
    <row r="11067" spans="12:13" x14ac:dyDescent="0.2">
      <c r="L11067" s="12"/>
      <c r="M11067" s="13"/>
    </row>
    <row r="11068" spans="12:13" x14ac:dyDescent="0.2">
      <c r="L11068" s="12"/>
      <c r="M11068" s="13"/>
    </row>
    <row r="11069" spans="12:13" x14ac:dyDescent="0.2">
      <c r="L11069" s="12"/>
      <c r="M11069" s="13"/>
    </row>
    <row r="11070" spans="12:13" x14ac:dyDescent="0.2">
      <c r="L11070" s="12"/>
      <c r="M11070" s="13"/>
    </row>
    <row r="11071" spans="12:13" x14ac:dyDescent="0.2">
      <c r="L11071" s="12"/>
      <c r="M11071" s="13"/>
    </row>
    <row r="11072" spans="12:13" x14ac:dyDescent="0.2">
      <c r="L11072" s="12"/>
      <c r="M11072" s="13"/>
    </row>
    <row r="11073" spans="12:13" x14ac:dyDescent="0.2">
      <c r="L11073" s="12"/>
      <c r="M11073" s="13"/>
    </row>
    <row r="11074" spans="12:13" x14ac:dyDescent="0.2">
      <c r="L11074" s="12"/>
      <c r="M11074" s="13"/>
    </row>
    <row r="11075" spans="12:13" x14ac:dyDescent="0.2">
      <c r="L11075" s="12"/>
      <c r="M11075" s="13"/>
    </row>
    <row r="11076" spans="12:13" x14ac:dyDescent="0.2">
      <c r="L11076" s="12"/>
      <c r="M11076" s="13"/>
    </row>
    <row r="11077" spans="12:13" x14ac:dyDescent="0.2">
      <c r="L11077" s="12"/>
      <c r="M11077" s="13"/>
    </row>
    <row r="11078" spans="12:13" x14ac:dyDescent="0.2">
      <c r="L11078" s="12"/>
      <c r="M11078" s="13"/>
    </row>
    <row r="11079" spans="12:13" x14ac:dyDescent="0.2">
      <c r="L11079" s="12"/>
      <c r="M11079" s="13"/>
    </row>
    <row r="11080" spans="12:13" x14ac:dyDescent="0.2">
      <c r="L11080" s="12"/>
      <c r="M11080" s="13"/>
    </row>
    <row r="11081" spans="12:13" x14ac:dyDescent="0.2">
      <c r="L11081" s="12"/>
      <c r="M11081" s="13"/>
    </row>
    <row r="11082" spans="12:13" x14ac:dyDescent="0.2">
      <c r="L11082" s="12"/>
      <c r="M11082" s="13"/>
    </row>
    <row r="11083" spans="12:13" x14ac:dyDescent="0.2">
      <c r="L11083" s="12"/>
      <c r="M11083" s="13"/>
    </row>
    <row r="11084" spans="12:13" x14ac:dyDescent="0.2">
      <c r="L11084" s="12"/>
      <c r="M11084" s="13"/>
    </row>
    <row r="11085" spans="12:13" x14ac:dyDescent="0.2">
      <c r="L11085" s="12"/>
      <c r="M11085" s="13"/>
    </row>
    <row r="11086" spans="12:13" x14ac:dyDescent="0.2">
      <c r="L11086" s="12"/>
      <c r="M11086" s="13"/>
    </row>
    <row r="11087" spans="12:13" x14ac:dyDescent="0.2">
      <c r="L11087" s="12"/>
      <c r="M11087" s="13"/>
    </row>
    <row r="11088" spans="12:13" x14ac:dyDescent="0.2">
      <c r="L11088" s="12"/>
      <c r="M11088" s="13"/>
    </row>
    <row r="11089" spans="12:13" x14ac:dyDescent="0.2">
      <c r="L11089" s="12"/>
      <c r="M11089" s="13"/>
    </row>
    <row r="11090" spans="12:13" x14ac:dyDescent="0.2">
      <c r="L11090" s="12"/>
      <c r="M11090" s="13"/>
    </row>
    <row r="11091" spans="12:13" x14ac:dyDescent="0.2">
      <c r="L11091" s="12"/>
      <c r="M11091" s="13"/>
    </row>
    <row r="11092" spans="12:13" x14ac:dyDescent="0.2">
      <c r="L11092" s="12"/>
      <c r="M11092" s="13"/>
    </row>
    <row r="11093" spans="12:13" x14ac:dyDescent="0.2">
      <c r="L11093" s="12"/>
      <c r="M11093" s="13"/>
    </row>
    <row r="11094" spans="12:13" x14ac:dyDescent="0.2">
      <c r="L11094" s="12"/>
      <c r="M11094" s="13"/>
    </row>
    <row r="11095" spans="12:13" x14ac:dyDescent="0.2">
      <c r="L11095" s="12"/>
      <c r="M11095" s="13"/>
    </row>
    <row r="11096" spans="12:13" x14ac:dyDescent="0.2">
      <c r="L11096" s="12"/>
      <c r="M11096" s="13"/>
    </row>
    <row r="11097" spans="12:13" x14ac:dyDescent="0.2">
      <c r="L11097" s="12"/>
      <c r="M11097" s="13"/>
    </row>
    <row r="11098" spans="12:13" x14ac:dyDescent="0.2">
      <c r="L11098" s="12"/>
      <c r="M11098" s="13"/>
    </row>
    <row r="11099" spans="12:13" x14ac:dyDescent="0.2">
      <c r="L11099" s="12"/>
      <c r="M11099" s="13"/>
    </row>
    <row r="11100" spans="12:13" x14ac:dyDescent="0.2">
      <c r="L11100" s="12"/>
      <c r="M11100" s="13"/>
    </row>
    <row r="11101" spans="12:13" x14ac:dyDescent="0.2">
      <c r="L11101" s="12"/>
      <c r="M11101" s="13"/>
    </row>
    <row r="11102" spans="12:13" x14ac:dyDescent="0.2">
      <c r="L11102" s="12"/>
      <c r="M11102" s="13"/>
    </row>
    <row r="11103" spans="12:13" x14ac:dyDescent="0.2">
      <c r="L11103" s="12"/>
      <c r="M11103" s="13"/>
    </row>
    <row r="11104" spans="12:13" x14ac:dyDescent="0.2">
      <c r="L11104" s="12"/>
      <c r="M11104" s="13"/>
    </row>
    <row r="11105" spans="12:13" x14ac:dyDescent="0.2">
      <c r="L11105" s="12"/>
      <c r="M11105" s="13"/>
    </row>
    <row r="11106" spans="12:13" x14ac:dyDescent="0.2">
      <c r="L11106" s="12"/>
      <c r="M11106" s="13"/>
    </row>
    <row r="11107" spans="12:13" x14ac:dyDescent="0.2">
      <c r="L11107" s="12"/>
      <c r="M11107" s="13"/>
    </row>
    <row r="11108" spans="12:13" x14ac:dyDescent="0.2">
      <c r="L11108" s="12"/>
      <c r="M11108" s="13"/>
    </row>
    <row r="11109" spans="12:13" x14ac:dyDescent="0.2">
      <c r="L11109" s="12"/>
      <c r="M11109" s="13"/>
    </row>
    <row r="11110" spans="12:13" x14ac:dyDescent="0.2">
      <c r="L11110" s="12"/>
      <c r="M11110" s="13"/>
    </row>
    <row r="11111" spans="12:13" x14ac:dyDescent="0.2">
      <c r="L11111" s="12"/>
      <c r="M11111" s="13"/>
    </row>
    <row r="11112" spans="12:13" x14ac:dyDescent="0.2">
      <c r="L11112" s="12"/>
      <c r="M11112" s="13"/>
    </row>
    <row r="11113" spans="12:13" x14ac:dyDescent="0.2">
      <c r="L11113" s="12"/>
      <c r="M11113" s="13"/>
    </row>
    <row r="11114" spans="12:13" x14ac:dyDescent="0.2">
      <c r="L11114" s="12"/>
      <c r="M11114" s="13"/>
    </row>
    <row r="11115" spans="12:13" x14ac:dyDescent="0.2">
      <c r="L11115" s="12"/>
      <c r="M11115" s="13"/>
    </row>
    <row r="11116" spans="12:13" x14ac:dyDescent="0.2">
      <c r="L11116" s="12"/>
      <c r="M11116" s="13"/>
    </row>
    <row r="11117" spans="12:13" x14ac:dyDescent="0.2">
      <c r="L11117" s="12"/>
      <c r="M11117" s="13"/>
    </row>
    <row r="11118" spans="12:13" x14ac:dyDescent="0.2">
      <c r="L11118" s="12"/>
      <c r="M11118" s="13"/>
    </row>
    <row r="11119" spans="12:13" x14ac:dyDescent="0.2">
      <c r="L11119" s="12"/>
      <c r="M11119" s="13"/>
    </row>
    <row r="11120" spans="12:13" x14ac:dyDescent="0.2">
      <c r="L11120" s="12"/>
      <c r="M11120" s="13"/>
    </row>
    <row r="11121" spans="12:13" x14ac:dyDescent="0.2">
      <c r="L11121" s="12"/>
      <c r="M11121" s="13"/>
    </row>
    <row r="11122" spans="12:13" x14ac:dyDescent="0.2">
      <c r="L11122" s="12"/>
      <c r="M11122" s="13"/>
    </row>
    <row r="11123" spans="12:13" x14ac:dyDescent="0.2">
      <c r="L11123" s="12"/>
      <c r="M11123" s="13"/>
    </row>
    <row r="11124" spans="12:13" x14ac:dyDescent="0.2">
      <c r="L11124" s="12"/>
      <c r="M11124" s="13"/>
    </row>
    <row r="11125" spans="12:13" x14ac:dyDescent="0.2">
      <c r="L11125" s="12"/>
      <c r="M11125" s="13"/>
    </row>
    <row r="11126" spans="12:13" x14ac:dyDescent="0.2">
      <c r="L11126" s="12"/>
      <c r="M11126" s="13"/>
    </row>
    <row r="11127" spans="12:13" x14ac:dyDescent="0.2">
      <c r="L11127" s="12"/>
      <c r="M11127" s="13"/>
    </row>
    <row r="11128" spans="12:13" x14ac:dyDescent="0.2">
      <c r="L11128" s="12"/>
      <c r="M11128" s="13"/>
    </row>
    <row r="11129" spans="12:13" x14ac:dyDescent="0.2">
      <c r="L11129" s="12"/>
      <c r="M11129" s="13"/>
    </row>
    <row r="11130" spans="12:13" x14ac:dyDescent="0.2">
      <c r="L11130" s="12"/>
      <c r="M11130" s="13"/>
    </row>
    <row r="11131" spans="12:13" x14ac:dyDescent="0.2">
      <c r="L11131" s="12"/>
      <c r="M11131" s="13"/>
    </row>
    <row r="11132" spans="12:13" x14ac:dyDescent="0.2">
      <c r="L11132" s="12"/>
      <c r="M11132" s="13"/>
    </row>
    <row r="11133" spans="12:13" x14ac:dyDescent="0.2">
      <c r="L11133" s="12"/>
      <c r="M11133" s="13"/>
    </row>
    <row r="11134" spans="12:13" x14ac:dyDescent="0.2">
      <c r="L11134" s="12"/>
      <c r="M11134" s="13"/>
    </row>
    <row r="11135" spans="12:13" x14ac:dyDescent="0.2">
      <c r="L11135" s="12"/>
      <c r="M11135" s="13"/>
    </row>
    <row r="11136" spans="12:13" x14ac:dyDescent="0.2">
      <c r="L11136" s="12"/>
      <c r="M11136" s="13"/>
    </row>
    <row r="11137" spans="12:13" x14ac:dyDescent="0.2">
      <c r="L11137" s="12"/>
      <c r="M11137" s="13"/>
    </row>
    <row r="11138" spans="12:13" x14ac:dyDescent="0.2">
      <c r="L11138" s="12"/>
      <c r="M11138" s="13"/>
    </row>
    <row r="11139" spans="12:13" x14ac:dyDescent="0.2">
      <c r="L11139" s="12"/>
      <c r="M11139" s="13"/>
    </row>
    <row r="11140" spans="12:13" x14ac:dyDescent="0.2">
      <c r="L11140" s="12"/>
      <c r="M11140" s="13"/>
    </row>
    <row r="11141" spans="12:13" x14ac:dyDescent="0.2">
      <c r="L11141" s="12"/>
      <c r="M11141" s="13"/>
    </row>
    <row r="11142" spans="12:13" x14ac:dyDescent="0.2">
      <c r="L11142" s="12"/>
      <c r="M11142" s="13"/>
    </row>
    <row r="11143" spans="12:13" x14ac:dyDescent="0.2">
      <c r="L11143" s="12"/>
      <c r="M11143" s="13"/>
    </row>
    <row r="11144" spans="12:13" x14ac:dyDescent="0.2">
      <c r="L11144" s="12"/>
      <c r="M11144" s="13"/>
    </row>
    <row r="11145" spans="12:13" x14ac:dyDescent="0.2">
      <c r="L11145" s="12"/>
      <c r="M11145" s="13"/>
    </row>
    <row r="11146" spans="12:13" x14ac:dyDescent="0.2">
      <c r="L11146" s="12"/>
      <c r="M11146" s="13"/>
    </row>
    <row r="11147" spans="12:13" x14ac:dyDescent="0.2">
      <c r="L11147" s="12"/>
      <c r="M11147" s="13"/>
    </row>
    <row r="11148" spans="12:13" x14ac:dyDescent="0.2">
      <c r="L11148" s="12"/>
      <c r="M11148" s="13"/>
    </row>
    <row r="11149" spans="12:13" x14ac:dyDescent="0.2">
      <c r="L11149" s="12"/>
      <c r="M11149" s="13"/>
    </row>
    <row r="11150" spans="12:13" x14ac:dyDescent="0.2">
      <c r="L11150" s="12"/>
      <c r="M11150" s="13"/>
    </row>
    <row r="11151" spans="12:13" x14ac:dyDescent="0.2">
      <c r="L11151" s="12"/>
      <c r="M11151" s="13"/>
    </row>
    <row r="11152" spans="12:13" x14ac:dyDescent="0.2">
      <c r="L11152" s="12"/>
      <c r="M11152" s="13"/>
    </row>
    <row r="11153" spans="12:13" x14ac:dyDescent="0.2">
      <c r="L11153" s="12"/>
      <c r="M11153" s="13"/>
    </row>
    <row r="11154" spans="12:13" x14ac:dyDescent="0.2">
      <c r="L11154" s="12"/>
      <c r="M11154" s="13"/>
    </row>
    <row r="11155" spans="12:13" x14ac:dyDescent="0.2">
      <c r="L11155" s="12"/>
      <c r="M11155" s="13"/>
    </row>
    <row r="11156" spans="12:13" x14ac:dyDescent="0.2">
      <c r="L11156" s="12"/>
      <c r="M11156" s="13"/>
    </row>
    <row r="11157" spans="12:13" x14ac:dyDescent="0.2">
      <c r="L11157" s="12"/>
      <c r="M11157" s="13"/>
    </row>
    <row r="11158" spans="12:13" x14ac:dyDescent="0.2">
      <c r="L11158" s="12"/>
      <c r="M11158" s="13"/>
    </row>
    <row r="11159" spans="12:13" x14ac:dyDescent="0.2">
      <c r="L11159" s="12"/>
      <c r="M11159" s="13"/>
    </row>
    <row r="11160" spans="12:13" x14ac:dyDescent="0.2">
      <c r="L11160" s="12"/>
      <c r="M11160" s="13"/>
    </row>
    <row r="11161" spans="12:13" x14ac:dyDescent="0.2">
      <c r="L11161" s="12"/>
      <c r="M11161" s="13"/>
    </row>
    <row r="11162" spans="12:13" x14ac:dyDescent="0.2">
      <c r="L11162" s="12"/>
      <c r="M11162" s="13"/>
    </row>
    <row r="11163" spans="12:13" x14ac:dyDescent="0.2">
      <c r="L11163" s="12"/>
      <c r="M11163" s="13"/>
    </row>
    <row r="11164" spans="12:13" x14ac:dyDescent="0.2">
      <c r="L11164" s="12"/>
      <c r="M11164" s="13"/>
    </row>
    <row r="11165" spans="12:13" x14ac:dyDescent="0.2">
      <c r="L11165" s="12"/>
      <c r="M11165" s="13"/>
    </row>
    <row r="11166" spans="12:13" x14ac:dyDescent="0.2">
      <c r="L11166" s="12"/>
      <c r="M11166" s="13"/>
    </row>
    <row r="11167" spans="12:13" x14ac:dyDescent="0.2">
      <c r="L11167" s="12"/>
      <c r="M11167" s="13"/>
    </row>
    <row r="11168" spans="12:13" x14ac:dyDescent="0.2">
      <c r="L11168" s="12"/>
      <c r="M11168" s="13"/>
    </row>
    <row r="11169" spans="12:13" x14ac:dyDescent="0.2">
      <c r="L11169" s="12"/>
      <c r="M11169" s="13"/>
    </row>
    <row r="11170" spans="12:13" x14ac:dyDescent="0.2">
      <c r="L11170" s="12"/>
      <c r="M11170" s="13"/>
    </row>
    <row r="11171" spans="12:13" x14ac:dyDescent="0.2">
      <c r="L11171" s="12"/>
      <c r="M11171" s="13"/>
    </row>
    <row r="11172" spans="12:13" x14ac:dyDescent="0.2">
      <c r="L11172" s="12"/>
      <c r="M11172" s="13"/>
    </row>
    <row r="11173" spans="12:13" x14ac:dyDescent="0.2">
      <c r="L11173" s="12"/>
      <c r="M11173" s="13"/>
    </row>
    <row r="11174" spans="12:13" x14ac:dyDescent="0.2">
      <c r="L11174" s="12"/>
      <c r="M11174" s="13"/>
    </row>
    <row r="11175" spans="12:13" x14ac:dyDescent="0.2">
      <c r="L11175" s="12"/>
      <c r="M11175" s="13"/>
    </row>
    <row r="11176" spans="12:13" x14ac:dyDescent="0.2">
      <c r="L11176" s="12"/>
      <c r="M11176" s="13"/>
    </row>
    <row r="11177" spans="12:13" x14ac:dyDescent="0.2">
      <c r="L11177" s="12"/>
      <c r="M11177" s="13"/>
    </row>
    <row r="11178" spans="12:13" x14ac:dyDescent="0.2">
      <c r="L11178" s="12"/>
      <c r="M11178" s="13"/>
    </row>
    <row r="11179" spans="12:13" x14ac:dyDescent="0.2">
      <c r="L11179" s="12"/>
      <c r="M11179" s="13"/>
    </row>
    <row r="11180" spans="12:13" x14ac:dyDescent="0.2">
      <c r="L11180" s="12"/>
      <c r="M11180" s="13"/>
    </row>
    <row r="11181" spans="12:13" x14ac:dyDescent="0.2">
      <c r="L11181" s="12"/>
      <c r="M11181" s="13"/>
    </row>
    <row r="11182" spans="12:13" x14ac:dyDescent="0.2">
      <c r="L11182" s="12"/>
      <c r="M11182" s="13"/>
    </row>
    <row r="11183" spans="12:13" x14ac:dyDescent="0.2">
      <c r="L11183" s="12"/>
      <c r="M11183" s="13"/>
    </row>
    <row r="11184" spans="12:13" x14ac:dyDescent="0.2">
      <c r="L11184" s="12"/>
      <c r="M11184" s="13"/>
    </row>
    <row r="11185" spans="12:13" x14ac:dyDescent="0.2">
      <c r="L11185" s="12"/>
      <c r="M11185" s="13"/>
    </row>
    <row r="11186" spans="12:13" x14ac:dyDescent="0.2">
      <c r="L11186" s="12"/>
      <c r="M11186" s="13"/>
    </row>
    <row r="11187" spans="12:13" x14ac:dyDescent="0.2">
      <c r="L11187" s="12"/>
      <c r="M11187" s="13"/>
    </row>
    <row r="11188" spans="12:13" x14ac:dyDescent="0.2">
      <c r="L11188" s="12"/>
      <c r="M11188" s="13"/>
    </row>
    <row r="11189" spans="12:13" x14ac:dyDescent="0.2">
      <c r="L11189" s="12"/>
      <c r="M11189" s="13"/>
    </row>
    <row r="11190" spans="12:13" x14ac:dyDescent="0.2">
      <c r="L11190" s="12"/>
      <c r="M11190" s="13"/>
    </row>
    <row r="11191" spans="12:13" x14ac:dyDescent="0.2">
      <c r="L11191" s="12"/>
      <c r="M11191" s="13"/>
    </row>
    <row r="11192" spans="12:13" x14ac:dyDescent="0.2">
      <c r="L11192" s="12"/>
      <c r="M11192" s="13"/>
    </row>
    <row r="11193" spans="12:13" x14ac:dyDescent="0.2">
      <c r="L11193" s="12"/>
      <c r="M11193" s="13"/>
    </row>
    <row r="11194" spans="12:13" x14ac:dyDescent="0.2">
      <c r="L11194" s="12"/>
      <c r="M11194" s="13"/>
    </row>
    <row r="11195" spans="12:13" x14ac:dyDescent="0.2">
      <c r="L11195" s="12"/>
      <c r="M11195" s="13"/>
    </row>
    <row r="11196" spans="12:13" x14ac:dyDescent="0.2">
      <c r="L11196" s="12"/>
      <c r="M11196" s="13"/>
    </row>
    <row r="11197" spans="12:13" x14ac:dyDescent="0.2">
      <c r="L11197" s="12"/>
      <c r="M11197" s="13"/>
    </row>
    <row r="11198" spans="12:13" x14ac:dyDescent="0.2">
      <c r="L11198" s="12"/>
      <c r="M11198" s="13"/>
    </row>
    <row r="11199" spans="12:13" x14ac:dyDescent="0.2">
      <c r="L11199" s="12"/>
      <c r="M11199" s="13"/>
    </row>
    <row r="11200" spans="12:13" x14ac:dyDescent="0.2">
      <c r="L11200" s="12"/>
      <c r="M11200" s="13"/>
    </row>
    <row r="11201" spans="12:13" x14ac:dyDescent="0.2">
      <c r="L11201" s="12"/>
      <c r="M11201" s="13"/>
    </row>
    <row r="11202" spans="12:13" x14ac:dyDescent="0.2">
      <c r="L11202" s="12"/>
      <c r="M11202" s="13"/>
    </row>
    <row r="11203" spans="12:13" x14ac:dyDescent="0.2">
      <c r="L11203" s="12"/>
      <c r="M11203" s="13"/>
    </row>
    <row r="11204" spans="12:13" x14ac:dyDescent="0.2">
      <c r="L11204" s="12"/>
      <c r="M11204" s="13"/>
    </row>
    <row r="11205" spans="12:13" x14ac:dyDescent="0.2">
      <c r="L11205" s="12"/>
      <c r="M11205" s="13"/>
    </row>
    <row r="11206" spans="12:13" x14ac:dyDescent="0.2">
      <c r="L11206" s="12"/>
      <c r="M11206" s="13"/>
    </row>
    <row r="11207" spans="12:13" x14ac:dyDescent="0.2">
      <c r="L11207" s="12"/>
      <c r="M11207" s="13"/>
    </row>
    <row r="11208" spans="12:13" x14ac:dyDescent="0.2">
      <c r="L11208" s="12"/>
      <c r="M11208" s="13"/>
    </row>
    <row r="11209" spans="12:13" x14ac:dyDescent="0.2">
      <c r="L11209" s="12"/>
      <c r="M11209" s="13"/>
    </row>
    <row r="11210" spans="12:13" x14ac:dyDescent="0.2">
      <c r="L11210" s="12"/>
      <c r="M11210" s="13"/>
    </row>
    <row r="11211" spans="12:13" x14ac:dyDescent="0.2">
      <c r="L11211" s="12"/>
      <c r="M11211" s="13"/>
    </row>
    <row r="11212" spans="12:13" x14ac:dyDescent="0.2">
      <c r="L11212" s="12"/>
      <c r="M11212" s="13"/>
    </row>
    <row r="11213" spans="12:13" x14ac:dyDescent="0.2">
      <c r="L11213" s="12"/>
      <c r="M11213" s="13"/>
    </row>
    <row r="11214" spans="12:13" x14ac:dyDescent="0.2">
      <c r="L11214" s="12"/>
      <c r="M11214" s="13"/>
    </row>
    <row r="11215" spans="12:13" x14ac:dyDescent="0.2">
      <c r="L11215" s="12"/>
      <c r="M11215" s="13"/>
    </row>
    <row r="11216" spans="12:13" x14ac:dyDescent="0.2">
      <c r="L11216" s="12"/>
      <c r="M11216" s="13"/>
    </row>
    <row r="11217" spans="12:13" x14ac:dyDescent="0.2">
      <c r="L11217" s="12"/>
      <c r="M11217" s="13"/>
    </row>
    <row r="11218" spans="12:13" x14ac:dyDescent="0.2">
      <c r="L11218" s="12"/>
      <c r="M11218" s="13"/>
    </row>
    <row r="11219" spans="12:13" x14ac:dyDescent="0.2">
      <c r="L11219" s="12"/>
      <c r="M11219" s="13"/>
    </row>
    <row r="11220" spans="12:13" x14ac:dyDescent="0.2">
      <c r="L11220" s="12"/>
      <c r="M11220" s="13"/>
    </row>
    <row r="11221" spans="12:13" x14ac:dyDescent="0.2">
      <c r="L11221" s="12"/>
      <c r="M11221" s="13"/>
    </row>
    <row r="11222" spans="12:13" x14ac:dyDescent="0.2">
      <c r="L11222" s="12"/>
      <c r="M11222" s="13"/>
    </row>
    <row r="11223" spans="12:13" x14ac:dyDescent="0.2">
      <c r="L11223" s="12"/>
      <c r="M11223" s="13"/>
    </row>
    <row r="11224" spans="12:13" x14ac:dyDescent="0.2">
      <c r="L11224" s="12"/>
      <c r="M11224" s="13"/>
    </row>
    <row r="11225" spans="12:13" x14ac:dyDescent="0.2">
      <c r="L11225" s="12"/>
      <c r="M11225" s="13"/>
    </row>
    <row r="11226" spans="12:13" x14ac:dyDescent="0.2">
      <c r="L11226" s="12"/>
      <c r="M11226" s="13"/>
    </row>
    <row r="11227" spans="12:13" x14ac:dyDescent="0.2">
      <c r="L11227" s="12"/>
      <c r="M11227" s="13"/>
    </row>
    <row r="11228" spans="12:13" x14ac:dyDescent="0.2">
      <c r="L11228" s="12"/>
      <c r="M11228" s="13"/>
    </row>
    <row r="11229" spans="12:13" x14ac:dyDescent="0.2">
      <c r="L11229" s="12"/>
      <c r="M11229" s="13"/>
    </row>
    <row r="11230" spans="12:13" x14ac:dyDescent="0.2">
      <c r="L11230" s="12"/>
      <c r="M11230" s="13"/>
    </row>
    <row r="11231" spans="12:13" x14ac:dyDescent="0.2">
      <c r="L11231" s="12"/>
      <c r="M11231" s="13"/>
    </row>
    <row r="11232" spans="12:13" x14ac:dyDescent="0.2">
      <c r="L11232" s="12"/>
      <c r="M11232" s="13"/>
    </row>
    <row r="11233" spans="12:13" x14ac:dyDescent="0.2">
      <c r="L11233" s="12"/>
      <c r="M11233" s="13"/>
    </row>
    <row r="11234" spans="12:13" x14ac:dyDescent="0.2">
      <c r="L11234" s="12"/>
      <c r="M11234" s="13"/>
    </row>
    <row r="11235" spans="12:13" x14ac:dyDescent="0.2">
      <c r="L11235" s="12"/>
      <c r="M11235" s="13"/>
    </row>
    <row r="11236" spans="12:13" x14ac:dyDescent="0.2">
      <c r="L11236" s="12"/>
      <c r="M11236" s="13"/>
    </row>
    <row r="11237" spans="12:13" x14ac:dyDescent="0.2">
      <c r="L11237" s="12"/>
      <c r="M11237" s="13"/>
    </row>
    <row r="11238" spans="12:13" x14ac:dyDescent="0.2">
      <c r="L11238" s="12"/>
      <c r="M11238" s="13"/>
    </row>
    <row r="11239" spans="12:13" x14ac:dyDescent="0.2">
      <c r="L11239" s="12"/>
      <c r="M11239" s="13"/>
    </row>
    <row r="11240" spans="12:13" x14ac:dyDescent="0.2">
      <c r="L11240" s="12"/>
      <c r="M11240" s="13"/>
    </row>
    <row r="11241" spans="12:13" x14ac:dyDescent="0.2">
      <c r="L11241" s="12"/>
      <c r="M11241" s="13"/>
    </row>
    <row r="11242" spans="12:13" x14ac:dyDescent="0.2">
      <c r="L11242" s="12"/>
      <c r="M11242" s="13"/>
    </row>
    <row r="11243" spans="12:13" x14ac:dyDescent="0.2">
      <c r="L11243" s="12"/>
      <c r="M11243" s="13"/>
    </row>
    <row r="11244" spans="12:13" x14ac:dyDescent="0.2">
      <c r="L11244" s="12"/>
      <c r="M11244" s="13"/>
    </row>
    <row r="11245" spans="12:13" x14ac:dyDescent="0.2">
      <c r="L11245" s="12"/>
      <c r="M11245" s="13"/>
    </row>
    <row r="11246" spans="12:13" x14ac:dyDescent="0.2">
      <c r="L11246" s="12"/>
      <c r="M11246" s="13"/>
    </row>
    <row r="11247" spans="12:13" x14ac:dyDescent="0.2">
      <c r="L11247" s="12"/>
      <c r="M11247" s="13"/>
    </row>
    <row r="11248" spans="12:13" x14ac:dyDescent="0.2">
      <c r="L11248" s="12"/>
      <c r="M11248" s="13"/>
    </row>
    <row r="11249" spans="12:13" x14ac:dyDescent="0.2">
      <c r="L11249" s="12"/>
      <c r="M11249" s="13"/>
    </row>
    <row r="11250" spans="12:13" x14ac:dyDescent="0.2">
      <c r="L11250" s="12"/>
      <c r="M11250" s="13"/>
    </row>
    <row r="11251" spans="12:13" x14ac:dyDescent="0.2">
      <c r="L11251" s="12"/>
      <c r="M11251" s="13"/>
    </row>
    <row r="11252" spans="12:13" x14ac:dyDescent="0.2">
      <c r="L11252" s="12"/>
      <c r="M11252" s="13"/>
    </row>
    <row r="11253" spans="12:13" x14ac:dyDescent="0.2">
      <c r="L11253" s="12"/>
      <c r="M11253" s="13"/>
    </row>
    <row r="11254" spans="12:13" x14ac:dyDescent="0.2">
      <c r="L11254" s="12"/>
      <c r="M11254" s="13"/>
    </row>
    <row r="11255" spans="12:13" x14ac:dyDescent="0.2">
      <c r="L11255" s="12"/>
      <c r="M11255" s="13"/>
    </row>
    <row r="11256" spans="12:13" x14ac:dyDescent="0.2">
      <c r="L11256" s="12"/>
      <c r="M11256" s="13"/>
    </row>
    <row r="11257" spans="12:13" x14ac:dyDescent="0.2">
      <c r="L11257" s="12"/>
      <c r="M11257" s="13"/>
    </row>
    <row r="11258" spans="12:13" x14ac:dyDescent="0.2">
      <c r="L11258" s="12"/>
      <c r="M11258" s="13"/>
    </row>
    <row r="11259" spans="12:13" x14ac:dyDescent="0.2">
      <c r="L11259" s="12"/>
      <c r="M11259" s="13"/>
    </row>
    <row r="11260" spans="12:13" x14ac:dyDescent="0.2">
      <c r="L11260" s="12"/>
      <c r="M11260" s="13"/>
    </row>
    <row r="11261" spans="12:13" x14ac:dyDescent="0.2">
      <c r="L11261" s="12"/>
      <c r="M11261" s="13"/>
    </row>
    <row r="11262" spans="12:13" x14ac:dyDescent="0.2">
      <c r="L11262" s="12"/>
      <c r="M11262" s="13"/>
    </row>
    <row r="11263" spans="12:13" x14ac:dyDescent="0.2">
      <c r="L11263" s="12"/>
      <c r="M11263" s="13"/>
    </row>
    <row r="11264" spans="12:13" x14ac:dyDescent="0.2">
      <c r="L11264" s="12"/>
      <c r="M11264" s="13"/>
    </row>
    <row r="11265" spans="12:13" x14ac:dyDescent="0.2">
      <c r="L11265" s="12"/>
      <c r="M11265" s="13"/>
    </row>
    <row r="11266" spans="12:13" x14ac:dyDescent="0.2">
      <c r="L11266" s="17"/>
      <c r="M11266" s="18"/>
    </row>
    <row r="11267" spans="12:13" x14ac:dyDescent="0.2">
      <c r="L11267" s="12"/>
      <c r="M11267" s="13"/>
    </row>
    <row r="11268" spans="12:13" x14ac:dyDescent="0.2">
      <c r="L11268" s="12"/>
      <c r="M11268" s="13"/>
    </row>
    <row r="11269" spans="12:13" x14ac:dyDescent="0.2">
      <c r="L11269" s="12"/>
      <c r="M11269" s="13"/>
    </row>
    <row r="11270" spans="12:13" x14ac:dyDescent="0.2">
      <c r="L11270" s="12"/>
      <c r="M11270" s="13"/>
    </row>
    <row r="11271" spans="12:13" x14ac:dyDescent="0.2">
      <c r="L11271" s="12"/>
      <c r="M11271" s="13"/>
    </row>
    <row r="11272" spans="12:13" x14ac:dyDescent="0.2">
      <c r="L11272" s="12"/>
      <c r="M11272" s="13"/>
    </row>
    <row r="11273" spans="12:13" x14ac:dyDescent="0.2">
      <c r="L11273" s="12"/>
      <c r="M11273" s="13"/>
    </row>
    <row r="11274" spans="12:13" x14ac:dyDescent="0.2">
      <c r="L11274" s="12"/>
      <c r="M11274" s="13"/>
    </row>
    <row r="11275" spans="12:13" x14ac:dyDescent="0.2">
      <c r="L11275" s="12"/>
      <c r="M11275" s="13"/>
    </row>
    <row r="11276" spans="12:13" x14ac:dyDescent="0.2">
      <c r="L11276" s="12"/>
      <c r="M11276" s="13"/>
    </row>
    <row r="11277" spans="12:13" x14ac:dyDescent="0.2">
      <c r="L11277" s="12"/>
      <c r="M11277" s="13"/>
    </row>
    <row r="11278" spans="12:13" x14ac:dyDescent="0.2">
      <c r="L11278" s="12"/>
      <c r="M11278" s="13"/>
    </row>
    <row r="11279" spans="12:13" x14ac:dyDescent="0.2">
      <c r="L11279" s="12"/>
      <c r="M11279" s="13"/>
    </row>
    <row r="11280" spans="12:13" x14ac:dyDescent="0.2">
      <c r="L11280" s="12"/>
      <c r="M11280" s="13"/>
    </row>
    <row r="11281" spans="12:13" x14ac:dyDescent="0.2">
      <c r="L11281" s="12"/>
      <c r="M11281" s="13"/>
    </row>
    <row r="11282" spans="12:13" x14ac:dyDescent="0.2">
      <c r="L11282" s="12"/>
      <c r="M11282" s="13"/>
    </row>
    <row r="11283" spans="12:13" x14ac:dyDescent="0.2">
      <c r="L11283" s="12"/>
      <c r="M11283" s="13"/>
    </row>
    <row r="11284" spans="12:13" x14ac:dyDescent="0.2">
      <c r="L11284" s="12"/>
      <c r="M11284" s="13"/>
    </row>
    <row r="11285" spans="12:13" x14ac:dyDescent="0.2">
      <c r="L11285" s="12"/>
      <c r="M11285" s="13"/>
    </row>
    <row r="11286" spans="12:13" x14ac:dyDescent="0.2">
      <c r="L11286" s="12"/>
      <c r="M11286" s="13"/>
    </row>
    <row r="11287" spans="12:13" x14ac:dyDescent="0.2">
      <c r="L11287" s="12"/>
      <c r="M11287" s="13"/>
    </row>
    <row r="11288" spans="12:13" x14ac:dyDescent="0.2">
      <c r="L11288" s="12"/>
      <c r="M11288" s="13"/>
    </row>
    <row r="11289" spans="12:13" x14ac:dyDescent="0.2">
      <c r="L11289" s="12"/>
      <c r="M11289" s="13"/>
    </row>
    <row r="11290" spans="12:13" x14ac:dyDescent="0.2">
      <c r="L11290" s="12"/>
      <c r="M11290" s="13"/>
    </row>
    <row r="11291" spans="12:13" x14ac:dyDescent="0.2">
      <c r="L11291" s="12"/>
      <c r="M11291" s="13"/>
    </row>
    <row r="11292" spans="12:13" x14ac:dyDescent="0.2">
      <c r="L11292" s="12"/>
      <c r="M11292" s="13"/>
    </row>
    <row r="11293" spans="12:13" x14ac:dyDescent="0.2">
      <c r="L11293" s="12"/>
      <c r="M11293" s="13"/>
    </row>
    <row r="11294" spans="12:13" x14ac:dyDescent="0.2">
      <c r="L11294" s="12"/>
      <c r="M11294" s="13"/>
    </row>
    <row r="11295" spans="12:13" x14ac:dyDescent="0.2">
      <c r="L11295" s="12"/>
      <c r="M11295" s="13"/>
    </row>
    <row r="11296" spans="12:13" x14ac:dyDescent="0.2">
      <c r="L11296" s="12"/>
      <c r="M11296" s="13"/>
    </row>
    <row r="11297" spans="12:13" x14ac:dyDescent="0.2">
      <c r="L11297" s="12"/>
      <c r="M11297" s="13"/>
    </row>
    <row r="11298" spans="12:13" x14ac:dyDescent="0.2">
      <c r="L11298" s="12"/>
      <c r="M11298" s="13"/>
    </row>
    <row r="11299" spans="12:13" x14ac:dyDescent="0.2">
      <c r="L11299" s="12"/>
      <c r="M11299" s="13"/>
    </row>
    <row r="11300" spans="12:13" x14ac:dyDescent="0.2">
      <c r="L11300" s="12"/>
      <c r="M11300" s="13"/>
    </row>
    <row r="11301" spans="12:13" x14ac:dyDescent="0.2">
      <c r="L11301" s="12"/>
      <c r="M11301" s="13"/>
    </row>
    <row r="11302" spans="12:13" x14ac:dyDescent="0.2">
      <c r="L11302" s="12"/>
      <c r="M11302" s="13"/>
    </row>
    <row r="11303" spans="12:13" x14ac:dyDescent="0.2">
      <c r="L11303" s="12"/>
      <c r="M11303" s="13"/>
    </row>
    <row r="11304" spans="12:13" x14ac:dyDescent="0.2">
      <c r="L11304" s="12"/>
      <c r="M11304" s="13"/>
    </row>
    <row r="11305" spans="12:13" x14ac:dyDescent="0.2">
      <c r="L11305" s="12"/>
      <c r="M11305" s="13"/>
    </row>
    <row r="11306" spans="12:13" x14ac:dyDescent="0.2">
      <c r="L11306" s="12"/>
      <c r="M11306" s="13"/>
    </row>
    <row r="11307" spans="12:13" x14ac:dyDescent="0.2">
      <c r="L11307" s="12"/>
      <c r="M11307" s="13"/>
    </row>
    <row r="11308" spans="12:13" x14ac:dyDescent="0.2">
      <c r="L11308" s="12"/>
      <c r="M11308" s="13"/>
    </row>
    <row r="11309" spans="12:13" x14ac:dyDescent="0.2">
      <c r="L11309" s="12"/>
      <c r="M11309" s="13"/>
    </row>
    <row r="11310" spans="12:13" x14ac:dyDescent="0.2">
      <c r="L11310" s="12"/>
      <c r="M11310" s="13"/>
    </row>
    <row r="11311" spans="12:13" x14ac:dyDescent="0.2">
      <c r="L11311" s="12"/>
      <c r="M11311" s="13"/>
    </row>
    <row r="11312" spans="12:13" x14ac:dyDescent="0.2">
      <c r="L11312" s="12"/>
      <c r="M11312" s="13"/>
    </row>
    <row r="11313" spans="12:13" x14ac:dyDescent="0.2">
      <c r="L11313" s="12"/>
      <c r="M11313" s="13"/>
    </row>
    <row r="11314" spans="12:13" x14ac:dyDescent="0.2">
      <c r="L11314" s="12"/>
      <c r="M11314" s="13"/>
    </row>
    <row r="11315" spans="12:13" x14ac:dyDescent="0.2">
      <c r="L11315" s="12"/>
      <c r="M11315" s="13"/>
    </row>
    <row r="11316" spans="12:13" x14ac:dyDescent="0.2">
      <c r="L11316" s="12"/>
      <c r="M11316" s="13"/>
    </row>
    <row r="11317" spans="12:13" x14ac:dyDescent="0.2">
      <c r="L11317" s="12"/>
      <c r="M11317" s="13"/>
    </row>
    <row r="11318" spans="12:13" x14ac:dyDescent="0.2">
      <c r="L11318" s="12"/>
      <c r="M11318" s="13"/>
    </row>
    <row r="11319" spans="12:13" x14ac:dyDescent="0.2">
      <c r="L11319" s="12"/>
      <c r="M11319" s="13"/>
    </row>
    <row r="11320" spans="12:13" x14ac:dyDescent="0.2">
      <c r="L11320" s="12"/>
      <c r="M11320" s="13"/>
    </row>
    <row r="11321" spans="12:13" x14ac:dyDescent="0.2">
      <c r="L11321" s="12"/>
      <c r="M11321" s="13"/>
    </row>
    <row r="11322" spans="12:13" x14ac:dyDescent="0.2">
      <c r="L11322" s="12"/>
      <c r="M11322" s="13"/>
    </row>
    <row r="11323" spans="12:13" x14ac:dyDescent="0.2">
      <c r="L11323" s="12"/>
      <c r="M11323" s="13"/>
    </row>
    <row r="11324" spans="12:13" x14ac:dyDescent="0.2">
      <c r="L11324" s="12"/>
      <c r="M11324" s="13"/>
    </row>
    <row r="11325" spans="12:13" x14ac:dyDescent="0.2">
      <c r="L11325" s="12"/>
      <c r="M11325" s="13"/>
    </row>
    <row r="11326" spans="12:13" x14ac:dyDescent="0.2">
      <c r="L11326" s="12"/>
      <c r="M11326" s="13"/>
    </row>
    <row r="11327" spans="12:13" x14ac:dyDescent="0.2">
      <c r="L11327" s="12"/>
      <c r="M11327" s="13"/>
    </row>
    <row r="11328" spans="12:13" x14ac:dyDescent="0.2">
      <c r="L11328" s="12"/>
      <c r="M11328" s="13"/>
    </row>
    <row r="11329" spans="12:13" x14ac:dyDescent="0.2">
      <c r="L11329" s="12"/>
      <c r="M11329" s="13"/>
    </row>
    <row r="11330" spans="12:13" x14ac:dyDescent="0.2">
      <c r="L11330" s="12"/>
      <c r="M11330" s="13"/>
    </row>
    <row r="11331" spans="12:13" x14ac:dyDescent="0.2">
      <c r="L11331" s="12"/>
      <c r="M11331" s="13"/>
    </row>
    <row r="11332" spans="12:13" x14ac:dyDescent="0.2">
      <c r="L11332" s="12"/>
      <c r="M11332" s="13"/>
    </row>
    <row r="11333" spans="12:13" x14ac:dyDescent="0.2">
      <c r="L11333" s="12"/>
      <c r="M11333" s="13"/>
    </row>
    <row r="11334" spans="12:13" x14ac:dyDescent="0.2">
      <c r="L11334" s="12"/>
      <c r="M11334" s="13"/>
    </row>
    <row r="11335" spans="12:13" x14ac:dyDescent="0.2">
      <c r="L11335" s="12"/>
      <c r="M11335" s="13"/>
    </row>
    <row r="11336" spans="12:13" x14ac:dyDescent="0.2">
      <c r="L11336" s="12"/>
      <c r="M11336" s="13"/>
    </row>
    <row r="11337" spans="12:13" x14ac:dyDescent="0.2">
      <c r="L11337" s="12"/>
      <c r="M11337" s="13"/>
    </row>
    <row r="11338" spans="12:13" x14ac:dyDescent="0.2">
      <c r="L11338" s="12"/>
      <c r="M11338" s="13"/>
    </row>
    <row r="11339" spans="12:13" x14ac:dyDescent="0.2">
      <c r="L11339" s="12"/>
      <c r="M11339" s="13"/>
    </row>
    <row r="11340" spans="12:13" x14ac:dyDescent="0.2">
      <c r="L11340" s="12"/>
      <c r="M11340" s="13"/>
    </row>
    <row r="11341" spans="12:13" x14ac:dyDescent="0.2">
      <c r="L11341" s="12"/>
      <c r="M11341" s="13"/>
    </row>
    <row r="11342" spans="12:13" x14ac:dyDescent="0.2">
      <c r="L11342" s="12"/>
      <c r="M11342" s="13"/>
    </row>
    <row r="11343" spans="12:13" x14ac:dyDescent="0.2">
      <c r="L11343" s="12"/>
      <c r="M11343" s="13"/>
    </row>
    <row r="11344" spans="12:13" x14ac:dyDescent="0.2">
      <c r="L11344" s="12"/>
      <c r="M11344" s="13"/>
    </row>
    <row r="11345" spans="12:13" x14ac:dyDescent="0.2">
      <c r="L11345" s="12"/>
      <c r="M11345" s="13"/>
    </row>
    <row r="11346" spans="12:13" x14ac:dyDescent="0.2">
      <c r="L11346" s="12"/>
      <c r="M11346" s="13"/>
    </row>
    <row r="11347" spans="12:13" x14ac:dyDescent="0.2">
      <c r="L11347" s="12"/>
      <c r="M11347" s="13"/>
    </row>
    <row r="11348" spans="12:13" x14ac:dyDescent="0.2">
      <c r="L11348" s="12"/>
      <c r="M11348" s="13"/>
    </row>
    <row r="11349" spans="12:13" x14ac:dyDescent="0.2">
      <c r="L11349" s="12"/>
      <c r="M11349" s="13"/>
    </row>
    <row r="11350" spans="12:13" x14ac:dyDescent="0.2">
      <c r="L11350" s="12"/>
      <c r="M11350" s="13"/>
    </row>
    <row r="11351" spans="12:13" x14ac:dyDescent="0.2">
      <c r="L11351" s="12"/>
      <c r="M11351" s="13"/>
    </row>
    <row r="11352" spans="12:13" x14ac:dyDescent="0.2">
      <c r="L11352" s="12"/>
      <c r="M11352" s="13"/>
    </row>
    <row r="11353" spans="12:13" x14ac:dyDescent="0.2">
      <c r="L11353" s="12"/>
      <c r="M11353" s="13"/>
    </row>
    <row r="11354" spans="12:13" x14ac:dyDescent="0.2">
      <c r="L11354" s="12"/>
      <c r="M11354" s="13"/>
    </row>
    <row r="11355" spans="12:13" x14ac:dyDescent="0.2">
      <c r="L11355" s="12"/>
      <c r="M11355" s="13"/>
    </row>
    <row r="11356" spans="12:13" x14ac:dyDescent="0.2">
      <c r="L11356" s="12"/>
      <c r="M11356" s="13"/>
    </row>
    <row r="11357" spans="12:13" x14ac:dyDescent="0.2">
      <c r="L11357" s="12"/>
      <c r="M11357" s="13"/>
    </row>
    <row r="11358" spans="12:13" x14ac:dyDescent="0.2">
      <c r="L11358" s="12"/>
      <c r="M11358" s="13"/>
    </row>
    <row r="11359" spans="12:13" x14ac:dyDescent="0.2">
      <c r="L11359" s="12"/>
      <c r="M11359" s="13"/>
    </row>
    <row r="11360" spans="12:13" x14ac:dyDescent="0.2">
      <c r="L11360" s="12"/>
      <c r="M11360" s="13"/>
    </row>
    <row r="11361" spans="12:13" x14ac:dyDescent="0.2">
      <c r="L11361" s="12"/>
      <c r="M11361" s="13"/>
    </row>
    <row r="11362" spans="12:13" x14ac:dyDescent="0.2">
      <c r="L11362" s="12"/>
      <c r="M11362" s="13"/>
    </row>
    <row r="11363" spans="12:13" x14ac:dyDescent="0.2">
      <c r="L11363" s="12"/>
      <c r="M11363" s="13"/>
    </row>
    <row r="11364" spans="12:13" x14ac:dyDescent="0.2">
      <c r="L11364" s="12"/>
      <c r="M11364" s="13"/>
    </row>
    <row r="11365" spans="12:13" x14ac:dyDescent="0.2">
      <c r="L11365" s="12"/>
      <c r="M11365" s="13"/>
    </row>
    <row r="11366" spans="12:13" x14ac:dyDescent="0.2">
      <c r="L11366" s="12"/>
      <c r="M11366" s="13"/>
    </row>
    <row r="11367" spans="12:13" x14ac:dyDescent="0.2">
      <c r="L11367" s="12"/>
      <c r="M11367" s="13"/>
    </row>
    <row r="11368" spans="12:13" x14ac:dyDescent="0.2">
      <c r="L11368" s="12"/>
      <c r="M11368" s="13"/>
    </row>
    <row r="11369" spans="12:13" x14ac:dyDescent="0.2">
      <c r="L11369" s="12"/>
      <c r="M11369" s="13"/>
    </row>
    <row r="11370" spans="12:13" x14ac:dyDescent="0.2">
      <c r="L11370" s="12"/>
      <c r="M11370" s="13"/>
    </row>
    <row r="11371" spans="12:13" x14ac:dyDescent="0.2">
      <c r="L11371" s="12"/>
      <c r="M11371" s="13"/>
    </row>
    <row r="11372" spans="12:13" x14ac:dyDescent="0.2">
      <c r="L11372" s="12"/>
      <c r="M11372" s="13"/>
    </row>
    <row r="11373" spans="12:13" x14ac:dyDescent="0.2">
      <c r="L11373" s="12"/>
      <c r="M11373" s="13"/>
    </row>
    <row r="11374" spans="12:13" x14ac:dyDescent="0.2">
      <c r="L11374" s="12"/>
      <c r="M11374" s="13"/>
    </row>
    <row r="11375" spans="12:13" x14ac:dyDescent="0.2">
      <c r="L11375" s="12"/>
      <c r="M11375" s="13"/>
    </row>
    <row r="11376" spans="12:13" x14ac:dyDescent="0.2">
      <c r="L11376" s="12"/>
      <c r="M11376" s="13"/>
    </row>
    <row r="11377" spans="12:13" x14ac:dyDescent="0.2">
      <c r="L11377" s="12"/>
      <c r="M11377" s="13"/>
    </row>
    <row r="11378" spans="12:13" x14ac:dyDescent="0.2">
      <c r="L11378" s="12"/>
      <c r="M11378" s="13"/>
    </row>
    <row r="11379" spans="12:13" x14ac:dyDescent="0.2">
      <c r="L11379" s="12"/>
      <c r="M11379" s="13"/>
    </row>
    <row r="11380" spans="12:13" x14ac:dyDescent="0.2">
      <c r="L11380" s="12"/>
      <c r="M11380" s="13"/>
    </row>
    <row r="11381" spans="12:13" x14ac:dyDescent="0.2">
      <c r="L11381" s="12"/>
      <c r="M11381" s="13"/>
    </row>
    <row r="11382" spans="12:13" x14ac:dyDescent="0.2">
      <c r="L11382" s="12"/>
      <c r="M11382" s="13"/>
    </row>
    <row r="11383" spans="12:13" x14ac:dyDescent="0.2">
      <c r="L11383" s="12"/>
      <c r="M11383" s="13"/>
    </row>
    <row r="11384" spans="12:13" x14ac:dyDescent="0.2">
      <c r="L11384" s="12"/>
      <c r="M11384" s="13"/>
    </row>
    <row r="11385" spans="12:13" x14ac:dyDescent="0.2">
      <c r="L11385" s="12"/>
      <c r="M11385" s="13"/>
    </row>
    <row r="11386" spans="12:13" x14ac:dyDescent="0.2">
      <c r="L11386" s="12"/>
      <c r="M11386" s="13"/>
    </row>
    <row r="11387" spans="12:13" x14ac:dyDescent="0.2">
      <c r="L11387" s="12"/>
      <c r="M11387" s="13"/>
    </row>
    <row r="11388" spans="12:13" x14ac:dyDescent="0.2">
      <c r="L11388" s="12"/>
      <c r="M11388" s="13"/>
    </row>
    <row r="11389" spans="12:13" x14ac:dyDescent="0.2">
      <c r="L11389" s="12"/>
      <c r="M11389" s="13"/>
    </row>
    <row r="11390" spans="12:13" x14ac:dyDescent="0.2">
      <c r="L11390" s="12"/>
      <c r="M11390" s="13"/>
    </row>
    <row r="11391" spans="12:13" x14ac:dyDescent="0.2">
      <c r="L11391" s="12"/>
      <c r="M11391" s="13"/>
    </row>
    <row r="11392" spans="12:13" x14ac:dyDescent="0.2">
      <c r="L11392" s="12"/>
      <c r="M11392" s="13"/>
    </row>
    <row r="11393" spans="12:13" x14ac:dyDescent="0.2">
      <c r="L11393" s="12"/>
      <c r="M11393" s="13"/>
    </row>
    <row r="11394" spans="12:13" x14ac:dyDescent="0.2">
      <c r="L11394" s="12"/>
      <c r="M11394" s="13"/>
    </row>
    <row r="11395" spans="12:13" x14ac:dyDescent="0.2">
      <c r="L11395" s="12"/>
      <c r="M11395" s="13"/>
    </row>
    <row r="11396" spans="12:13" x14ac:dyDescent="0.2">
      <c r="L11396" s="12"/>
      <c r="M11396" s="13"/>
    </row>
    <row r="11397" spans="12:13" x14ac:dyDescent="0.2">
      <c r="L11397" s="12"/>
      <c r="M11397" s="13"/>
    </row>
    <row r="11398" spans="12:13" x14ac:dyDescent="0.2">
      <c r="L11398" s="12"/>
      <c r="M11398" s="13"/>
    </row>
    <row r="11399" spans="12:13" x14ac:dyDescent="0.2">
      <c r="L11399" s="12"/>
      <c r="M11399" s="13"/>
    </row>
    <row r="11400" spans="12:13" x14ac:dyDescent="0.2">
      <c r="L11400" s="12"/>
      <c r="M11400" s="13"/>
    </row>
    <row r="11401" spans="12:13" x14ac:dyDescent="0.2">
      <c r="L11401" s="12"/>
      <c r="M11401" s="13"/>
    </row>
    <row r="11402" spans="12:13" x14ac:dyDescent="0.2">
      <c r="L11402" s="12"/>
      <c r="M11402" s="13"/>
    </row>
    <row r="11403" spans="12:13" x14ac:dyDescent="0.2">
      <c r="L11403" s="12"/>
      <c r="M11403" s="13"/>
    </row>
    <row r="11404" spans="12:13" x14ac:dyDescent="0.2">
      <c r="L11404" s="12"/>
      <c r="M11404" s="13"/>
    </row>
    <row r="11405" spans="12:13" x14ac:dyDescent="0.2">
      <c r="L11405" s="12"/>
      <c r="M11405" s="13"/>
    </row>
    <row r="11406" spans="12:13" x14ac:dyDescent="0.2">
      <c r="L11406" s="12"/>
      <c r="M11406" s="13"/>
    </row>
    <row r="11407" spans="12:13" x14ac:dyDescent="0.2">
      <c r="L11407" s="12"/>
      <c r="M11407" s="13"/>
    </row>
    <row r="11408" spans="12:13" x14ac:dyDescent="0.2">
      <c r="L11408" s="12"/>
      <c r="M11408" s="13"/>
    </row>
    <row r="11409" spans="12:13" x14ac:dyDescent="0.2">
      <c r="L11409" s="12"/>
      <c r="M11409" s="13"/>
    </row>
    <row r="11410" spans="12:13" x14ac:dyDescent="0.2">
      <c r="L11410" s="12"/>
      <c r="M11410" s="13"/>
    </row>
    <row r="11411" spans="12:13" x14ac:dyDescent="0.2">
      <c r="L11411" s="12"/>
      <c r="M11411" s="13"/>
    </row>
    <row r="11412" spans="12:13" x14ac:dyDescent="0.2">
      <c r="L11412" s="12"/>
      <c r="M11412" s="13"/>
    </row>
    <row r="11413" spans="12:13" x14ac:dyDescent="0.2">
      <c r="L11413" s="12"/>
      <c r="M11413" s="13"/>
    </row>
    <row r="11414" spans="12:13" x14ac:dyDescent="0.2">
      <c r="L11414" s="12"/>
      <c r="M11414" s="13"/>
    </row>
    <row r="11415" spans="12:13" x14ac:dyDescent="0.2">
      <c r="L11415" s="12"/>
      <c r="M11415" s="13"/>
    </row>
    <row r="11416" spans="12:13" x14ac:dyDescent="0.2">
      <c r="L11416" s="12"/>
      <c r="M11416" s="13"/>
    </row>
    <row r="11417" spans="12:13" x14ac:dyDescent="0.2">
      <c r="L11417" s="12"/>
      <c r="M11417" s="13"/>
    </row>
    <row r="11418" spans="12:13" x14ac:dyDescent="0.2">
      <c r="L11418" s="12"/>
      <c r="M11418" s="13"/>
    </row>
    <row r="11419" spans="12:13" x14ac:dyDescent="0.2">
      <c r="L11419" s="12"/>
      <c r="M11419" s="13"/>
    </row>
    <row r="11420" spans="12:13" x14ac:dyDescent="0.2">
      <c r="L11420" s="12"/>
      <c r="M11420" s="13"/>
    </row>
    <row r="11421" spans="12:13" x14ac:dyDescent="0.2">
      <c r="L11421" s="12"/>
      <c r="M11421" s="13"/>
    </row>
    <row r="11422" spans="12:13" x14ac:dyDescent="0.2">
      <c r="L11422" s="12"/>
      <c r="M11422" s="13"/>
    </row>
    <row r="11423" spans="12:13" x14ac:dyDescent="0.2">
      <c r="L11423" s="12"/>
      <c r="M11423" s="13"/>
    </row>
    <row r="11424" spans="12:13" x14ac:dyDescent="0.2">
      <c r="L11424" s="12"/>
      <c r="M11424" s="13"/>
    </row>
    <row r="11425" spans="12:13" x14ac:dyDescent="0.2">
      <c r="L11425" s="12"/>
      <c r="M11425" s="13"/>
    </row>
    <row r="11426" spans="12:13" x14ac:dyDescent="0.2">
      <c r="L11426" s="12"/>
      <c r="M11426" s="13"/>
    </row>
    <row r="11427" spans="12:13" x14ac:dyDescent="0.2">
      <c r="L11427" s="12"/>
      <c r="M11427" s="13"/>
    </row>
    <row r="11428" spans="12:13" x14ac:dyDescent="0.2">
      <c r="L11428" s="12"/>
      <c r="M11428" s="13"/>
    </row>
    <row r="11429" spans="12:13" x14ac:dyDescent="0.2">
      <c r="L11429" s="12"/>
      <c r="M11429" s="13"/>
    </row>
    <row r="11430" spans="12:13" x14ac:dyDescent="0.2">
      <c r="L11430" s="12"/>
      <c r="M11430" s="13"/>
    </row>
    <row r="11431" spans="12:13" x14ac:dyDescent="0.2">
      <c r="L11431" s="12"/>
      <c r="M11431" s="13"/>
    </row>
    <row r="11432" spans="12:13" x14ac:dyDescent="0.2">
      <c r="L11432" s="12"/>
      <c r="M11432" s="13"/>
    </row>
    <row r="11433" spans="12:13" x14ac:dyDescent="0.2">
      <c r="L11433" s="12"/>
      <c r="M11433" s="13"/>
    </row>
    <row r="11434" spans="12:13" x14ac:dyDescent="0.2">
      <c r="L11434" s="12"/>
      <c r="M11434" s="13"/>
    </row>
    <row r="11435" spans="12:13" x14ac:dyDescent="0.2">
      <c r="L11435" s="12"/>
      <c r="M11435" s="13"/>
    </row>
    <row r="11436" spans="12:13" x14ac:dyDescent="0.2">
      <c r="L11436" s="12"/>
      <c r="M11436" s="13"/>
    </row>
    <row r="11437" spans="12:13" x14ac:dyDescent="0.2">
      <c r="L11437" s="12"/>
      <c r="M11437" s="13"/>
    </row>
    <row r="11438" spans="12:13" x14ac:dyDescent="0.2">
      <c r="L11438" s="12"/>
      <c r="M11438" s="13"/>
    </row>
    <row r="11439" spans="12:13" x14ac:dyDescent="0.2">
      <c r="L11439" s="12"/>
      <c r="M11439" s="13"/>
    </row>
    <row r="11440" spans="12:13" x14ac:dyDescent="0.2">
      <c r="L11440" s="12"/>
      <c r="M11440" s="13"/>
    </row>
    <row r="11441" spans="12:13" x14ac:dyDescent="0.2">
      <c r="L11441" s="12"/>
      <c r="M11441" s="13"/>
    </row>
    <row r="11442" spans="12:13" x14ac:dyDescent="0.2">
      <c r="L11442" s="12"/>
      <c r="M11442" s="13"/>
    </row>
    <row r="11443" spans="12:13" x14ac:dyDescent="0.2">
      <c r="L11443" s="12"/>
      <c r="M11443" s="13"/>
    </row>
    <row r="11444" spans="12:13" x14ac:dyDescent="0.2">
      <c r="L11444" s="12"/>
      <c r="M11444" s="13"/>
    </row>
    <row r="11445" spans="12:13" x14ac:dyDescent="0.2">
      <c r="L11445" s="12"/>
      <c r="M11445" s="13"/>
    </row>
    <row r="11446" spans="12:13" x14ac:dyDescent="0.2">
      <c r="L11446" s="12"/>
      <c r="M11446" s="13"/>
    </row>
    <row r="11447" spans="12:13" x14ac:dyDescent="0.2">
      <c r="L11447" s="12"/>
      <c r="M11447" s="13"/>
    </row>
    <row r="11448" spans="12:13" x14ac:dyDescent="0.2">
      <c r="L11448" s="12"/>
      <c r="M11448" s="13"/>
    </row>
    <row r="11449" spans="12:13" x14ac:dyDescent="0.2">
      <c r="L11449" s="12"/>
      <c r="M11449" s="13"/>
    </row>
    <row r="11450" spans="12:13" x14ac:dyDescent="0.2">
      <c r="L11450" s="12"/>
      <c r="M11450" s="13"/>
    </row>
    <row r="11451" spans="12:13" x14ac:dyDescent="0.2">
      <c r="L11451" s="12"/>
      <c r="M11451" s="13"/>
    </row>
    <row r="11452" spans="12:13" x14ac:dyDescent="0.2">
      <c r="L11452" s="12"/>
      <c r="M11452" s="13"/>
    </row>
    <row r="11453" spans="12:13" x14ac:dyDescent="0.2">
      <c r="L11453" s="12"/>
      <c r="M11453" s="13"/>
    </row>
    <row r="11454" spans="12:13" x14ac:dyDescent="0.2">
      <c r="L11454" s="12"/>
      <c r="M11454" s="13"/>
    </row>
    <row r="11455" spans="12:13" x14ac:dyDescent="0.2">
      <c r="L11455" s="12"/>
      <c r="M11455" s="13"/>
    </row>
    <row r="11456" spans="12:13" x14ac:dyDescent="0.2">
      <c r="L11456" s="12"/>
      <c r="M11456" s="13"/>
    </row>
    <row r="11457" spans="12:13" x14ac:dyDescent="0.2">
      <c r="L11457" s="12"/>
      <c r="M11457" s="13"/>
    </row>
    <row r="11458" spans="12:13" x14ac:dyDescent="0.2">
      <c r="L11458" s="12"/>
      <c r="M11458" s="13"/>
    </row>
    <row r="11459" spans="12:13" x14ac:dyDescent="0.2">
      <c r="L11459" s="12"/>
      <c r="M11459" s="13"/>
    </row>
    <row r="11460" spans="12:13" x14ac:dyDescent="0.2">
      <c r="L11460" s="12"/>
      <c r="M11460" s="13"/>
    </row>
    <row r="11461" spans="12:13" x14ac:dyDescent="0.2">
      <c r="L11461" s="12"/>
      <c r="M11461" s="13"/>
    </row>
    <row r="11462" spans="12:13" x14ac:dyDescent="0.2">
      <c r="L11462" s="12"/>
      <c r="M11462" s="13"/>
    </row>
    <row r="11463" spans="12:13" x14ac:dyDescent="0.2">
      <c r="L11463" s="12"/>
      <c r="M11463" s="13"/>
    </row>
    <row r="11464" spans="12:13" x14ac:dyDescent="0.2">
      <c r="L11464" s="12"/>
      <c r="M11464" s="13"/>
    </row>
    <row r="11465" spans="12:13" x14ac:dyDescent="0.2">
      <c r="L11465" s="12"/>
      <c r="M11465" s="13"/>
    </row>
    <row r="11466" spans="12:13" x14ac:dyDescent="0.2">
      <c r="L11466" s="12"/>
      <c r="M11466" s="13"/>
    </row>
    <row r="11467" spans="12:13" x14ac:dyDescent="0.2">
      <c r="L11467" s="12"/>
      <c r="M11467" s="13"/>
    </row>
    <row r="11468" spans="12:13" x14ac:dyDescent="0.2">
      <c r="L11468" s="12"/>
      <c r="M11468" s="13"/>
    </row>
    <row r="11469" spans="12:13" x14ac:dyDescent="0.2">
      <c r="L11469" s="12"/>
      <c r="M11469" s="13"/>
    </row>
    <row r="11470" spans="12:13" x14ac:dyDescent="0.2">
      <c r="L11470" s="12"/>
      <c r="M11470" s="13"/>
    </row>
    <row r="11471" spans="12:13" x14ac:dyDescent="0.2">
      <c r="L11471" s="12"/>
      <c r="M11471" s="13"/>
    </row>
    <row r="11472" spans="12:13" x14ac:dyDescent="0.2">
      <c r="L11472" s="12"/>
      <c r="M11472" s="13"/>
    </row>
    <row r="11473" spans="12:13" x14ac:dyDescent="0.2">
      <c r="L11473" s="12"/>
      <c r="M11473" s="13"/>
    </row>
    <row r="11474" spans="12:13" x14ac:dyDescent="0.2">
      <c r="L11474" s="12"/>
      <c r="M11474" s="13"/>
    </row>
    <row r="11475" spans="12:13" x14ac:dyDescent="0.2">
      <c r="L11475" s="12"/>
      <c r="M11475" s="13"/>
    </row>
    <row r="11476" spans="12:13" x14ac:dyDescent="0.2">
      <c r="L11476" s="12"/>
      <c r="M11476" s="13"/>
    </row>
    <row r="11477" spans="12:13" x14ac:dyDescent="0.2">
      <c r="L11477" s="12"/>
      <c r="M11477" s="13"/>
    </row>
    <row r="11478" spans="12:13" x14ac:dyDescent="0.2">
      <c r="L11478" s="12"/>
      <c r="M11478" s="13"/>
    </row>
    <row r="11479" spans="12:13" x14ac:dyDescent="0.2">
      <c r="L11479" s="12"/>
      <c r="M11479" s="13"/>
    </row>
    <row r="11480" spans="12:13" x14ac:dyDescent="0.2">
      <c r="L11480" s="12"/>
      <c r="M11480" s="13"/>
    </row>
    <row r="11481" spans="12:13" x14ac:dyDescent="0.2">
      <c r="L11481" s="12"/>
      <c r="M11481" s="13"/>
    </row>
    <row r="11482" spans="12:13" x14ac:dyDescent="0.2">
      <c r="L11482" s="12"/>
      <c r="M11482" s="13"/>
    </row>
    <row r="11483" spans="12:13" x14ac:dyDescent="0.2">
      <c r="L11483" s="12"/>
      <c r="M11483" s="13"/>
    </row>
    <row r="11484" spans="12:13" x14ac:dyDescent="0.2">
      <c r="L11484" s="12"/>
      <c r="M11484" s="13"/>
    </row>
    <row r="11485" spans="12:13" x14ac:dyDescent="0.2">
      <c r="L11485" s="12"/>
      <c r="M11485" s="13"/>
    </row>
    <row r="11486" spans="12:13" x14ac:dyDescent="0.2">
      <c r="L11486" s="12"/>
      <c r="M11486" s="13"/>
    </row>
    <row r="11487" spans="12:13" x14ac:dyDescent="0.2">
      <c r="L11487" s="12"/>
      <c r="M11487" s="13"/>
    </row>
    <row r="11488" spans="12:13" x14ac:dyDescent="0.2">
      <c r="L11488" s="12"/>
      <c r="M11488" s="13"/>
    </row>
    <row r="11489" spans="12:13" x14ac:dyDescent="0.2">
      <c r="L11489" s="12"/>
      <c r="M11489" s="13"/>
    </row>
    <row r="11490" spans="12:13" x14ac:dyDescent="0.2">
      <c r="L11490" s="12"/>
      <c r="M11490" s="13"/>
    </row>
    <row r="11491" spans="12:13" x14ac:dyDescent="0.2">
      <c r="L11491" s="12"/>
      <c r="M11491" s="13"/>
    </row>
    <row r="11492" spans="12:13" x14ac:dyDescent="0.2">
      <c r="L11492" s="12"/>
      <c r="M11492" s="13"/>
    </row>
    <row r="11493" spans="12:13" x14ac:dyDescent="0.2">
      <c r="L11493" s="12"/>
      <c r="M11493" s="13"/>
    </row>
    <row r="11494" spans="12:13" x14ac:dyDescent="0.2">
      <c r="L11494" s="12"/>
      <c r="M11494" s="13"/>
    </row>
    <row r="11495" spans="12:13" x14ac:dyDescent="0.2">
      <c r="L11495" s="12"/>
      <c r="M11495" s="13"/>
    </row>
    <row r="11496" spans="12:13" x14ac:dyDescent="0.2">
      <c r="L11496" s="12"/>
      <c r="M11496" s="13"/>
    </row>
    <row r="11497" spans="12:13" x14ac:dyDescent="0.2">
      <c r="L11497" s="12"/>
      <c r="M11497" s="13"/>
    </row>
    <row r="11498" spans="12:13" x14ac:dyDescent="0.2">
      <c r="L11498" s="12"/>
      <c r="M11498" s="13"/>
    </row>
    <row r="11499" spans="12:13" x14ac:dyDescent="0.2">
      <c r="L11499" s="12"/>
      <c r="M11499" s="13"/>
    </row>
    <row r="11500" spans="12:13" x14ac:dyDescent="0.2">
      <c r="L11500" s="12"/>
      <c r="M11500" s="13"/>
    </row>
    <row r="11501" spans="12:13" x14ac:dyDescent="0.2">
      <c r="L11501" s="12"/>
      <c r="M11501" s="13"/>
    </row>
    <row r="11502" spans="12:13" x14ac:dyDescent="0.2">
      <c r="L11502" s="12"/>
      <c r="M11502" s="13"/>
    </row>
    <row r="11503" spans="12:13" x14ac:dyDescent="0.2">
      <c r="L11503" s="12"/>
      <c r="M11503" s="13"/>
    </row>
    <row r="11504" spans="12:13" x14ac:dyDescent="0.2">
      <c r="L11504" s="12"/>
      <c r="M11504" s="13"/>
    </row>
    <row r="11505" spans="12:13" x14ac:dyDescent="0.2">
      <c r="L11505" s="12"/>
      <c r="M11505" s="13"/>
    </row>
    <row r="11506" spans="12:13" x14ac:dyDescent="0.2">
      <c r="L11506" s="12"/>
      <c r="M11506" s="13"/>
    </row>
    <row r="11507" spans="12:13" x14ac:dyDescent="0.2">
      <c r="L11507" s="12"/>
      <c r="M11507" s="13"/>
    </row>
    <row r="11508" spans="12:13" x14ac:dyDescent="0.2">
      <c r="L11508" s="12"/>
      <c r="M11508" s="13"/>
    </row>
    <row r="11509" spans="12:13" x14ac:dyDescent="0.2">
      <c r="L11509" s="12"/>
      <c r="M11509" s="13"/>
    </row>
    <row r="11510" spans="12:13" x14ac:dyDescent="0.2">
      <c r="L11510" s="12"/>
      <c r="M11510" s="13"/>
    </row>
    <row r="11511" spans="12:13" x14ac:dyDescent="0.2">
      <c r="L11511" s="12"/>
      <c r="M11511" s="13"/>
    </row>
    <row r="11512" spans="12:13" x14ac:dyDescent="0.2">
      <c r="L11512" s="12"/>
      <c r="M11512" s="13"/>
    </row>
    <row r="11513" spans="12:13" x14ac:dyDescent="0.2">
      <c r="L11513" s="12"/>
      <c r="M11513" s="13"/>
    </row>
    <row r="11514" spans="12:13" x14ac:dyDescent="0.2">
      <c r="L11514" s="12"/>
      <c r="M11514" s="13"/>
    </row>
    <row r="11515" spans="12:13" x14ac:dyDescent="0.2">
      <c r="L11515" s="12"/>
      <c r="M11515" s="13"/>
    </row>
    <row r="11516" spans="12:13" x14ac:dyDescent="0.2">
      <c r="L11516" s="12"/>
      <c r="M11516" s="13"/>
    </row>
    <row r="11517" spans="12:13" x14ac:dyDescent="0.2">
      <c r="L11517" s="12"/>
      <c r="M11517" s="13"/>
    </row>
    <row r="11518" spans="12:13" x14ac:dyDescent="0.2">
      <c r="L11518" s="12"/>
      <c r="M11518" s="13"/>
    </row>
    <row r="11519" spans="12:13" x14ac:dyDescent="0.2">
      <c r="L11519" s="12"/>
      <c r="M11519" s="13"/>
    </row>
    <row r="11520" spans="12:13" x14ac:dyDescent="0.2">
      <c r="L11520" s="12"/>
      <c r="M11520" s="13"/>
    </row>
    <row r="11521" spans="12:13" x14ac:dyDescent="0.2">
      <c r="L11521" s="12"/>
      <c r="M11521" s="13"/>
    </row>
    <row r="11522" spans="12:13" x14ac:dyDescent="0.2">
      <c r="L11522" s="17"/>
      <c r="M11522" s="18"/>
    </row>
    <row r="11523" spans="12:13" x14ac:dyDescent="0.2">
      <c r="L11523" s="12"/>
      <c r="M11523" s="13"/>
    </row>
    <row r="11524" spans="12:13" x14ac:dyDescent="0.2">
      <c r="L11524" s="12"/>
      <c r="M11524" s="13"/>
    </row>
    <row r="11525" spans="12:13" x14ac:dyDescent="0.2">
      <c r="L11525" s="12"/>
      <c r="M11525" s="13"/>
    </row>
    <row r="11526" spans="12:13" x14ac:dyDescent="0.2">
      <c r="L11526" s="12"/>
      <c r="M11526" s="13"/>
    </row>
    <row r="11527" spans="12:13" x14ac:dyDescent="0.2">
      <c r="L11527" s="12"/>
      <c r="M11527" s="13"/>
    </row>
    <row r="11528" spans="12:13" x14ac:dyDescent="0.2">
      <c r="L11528" s="12"/>
      <c r="M11528" s="13"/>
    </row>
    <row r="11529" spans="12:13" x14ac:dyDescent="0.2">
      <c r="L11529" s="12"/>
      <c r="M11529" s="13"/>
    </row>
    <row r="11530" spans="12:13" x14ac:dyDescent="0.2">
      <c r="L11530" s="12"/>
      <c r="M11530" s="13"/>
    </row>
    <row r="11531" spans="12:13" x14ac:dyDescent="0.2">
      <c r="L11531" s="12"/>
      <c r="M11531" s="13"/>
    </row>
    <row r="11532" spans="12:13" x14ac:dyDescent="0.2">
      <c r="L11532" s="12"/>
      <c r="M11532" s="13"/>
    </row>
    <row r="11533" spans="12:13" x14ac:dyDescent="0.2">
      <c r="L11533" s="12"/>
      <c r="M11533" s="13"/>
    </row>
    <row r="11534" spans="12:13" x14ac:dyDescent="0.2">
      <c r="L11534" s="12"/>
      <c r="M11534" s="13"/>
    </row>
    <row r="11535" spans="12:13" x14ac:dyDescent="0.2">
      <c r="L11535" s="12"/>
      <c r="M11535" s="13"/>
    </row>
    <row r="11536" spans="12:13" x14ac:dyDescent="0.2">
      <c r="L11536" s="12"/>
      <c r="M11536" s="13"/>
    </row>
    <row r="11537" spans="12:13" x14ac:dyDescent="0.2">
      <c r="L11537" s="12"/>
      <c r="M11537" s="13"/>
    </row>
    <row r="11538" spans="12:13" x14ac:dyDescent="0.2">
      <c r="L11538" s="12"/>
      <c r="M11538" s="13"/>
    </row>
    <row r="11539" spans="12:13" x14ac:dyDescent="0.2">
      <c r="L11539" s="12"/>
      <c r="M11539" s="13"/>
    </row>
    <row r="11540" spans="12:13" x14ac:dyDescent="0.2">
      <c r="L11540" s="12"/>
      <c r="M11540" s="13"/>
    </row>
    <row r="11541" spans="12:13" x14ac:dyDescent="0.2">
      <c r="L11541" s="12"/>
      <c r="M11541" s="13"/>
    </row>
    <row r="11542" spans="12:13" x14ac:dyDescent="0.2">
      <c r="L11542" s="12"/>
      <c r="M11542" s="13"/>
    </row>
    <row r="11543" spans="12:13" x14ac:dyDescent="0.2">
      <c r="L11543" s="12"/>
      <c r="M11543" s="13"/>
    </row>
    <row r="11544" spans="12:13" x14ac:dyDescent="0.2">
      <c r="L11544" s="12"/>
      <c r="M11544" s="13"/>
    </row>
    <row r="11545" spans="12:13" x14ac:dyDescent="0.2">
      <c r="L11545" s="12"/>
      <c r="M11545" s="13"/>
    </row>
    <row r="11546" spans="12:13" x14ac:dyDescent="0.2">
      <c r="L11546" s="12"/>
      <c r="M11546" s="13"/>
    </row>
    <row r="11547" spans="12:13" x14ac:dyDescent="0.2">
      <c r="L11547" s="12"/>
      <c r="M11547" s="13"/>
    </row>
    <row r="11548" spans="12:13" x14ac:dyDescent="0.2">
      <c r="L11548" s="12"/>
      <c r="M11548" s="13"/>
    </row>
    <row r="11549" spans="12:13" x14ac:dyDescent="0.2">
      <c r="L11549" s="12"/>
      <c r="M11549" s="13"/>
    </row>
    <row r="11550" spans="12:13" x14ac:dyDescent="0.2">
      <c r="L11550" s="12"/>
      <c r="M11550" s="13"/>
    </row>
    <row r="11551" spans="12:13" x14ac:dyDescent="0.2">
      <c r="L11551" s="12"/>
      <c r="M11551" s="13"/>
    </row>
    <row r="11552" spans="12:13" x14ac:dyDescent="0.2">
      <c r="L11552" s="12"/>
      <c r="M11552" s="13"/>
    </row>
    <row r="11553" spans="12:13" x14ac:dyDescent="0.2">
      <c r="L11553" s="12"/>
      <c r="M11553" s="13"/>
    </row>
    <row r="11554" spans="12:13" x14ac:dyDescent="0.2">
      <c r="L11554" s="12"/>
      <c r="M11554" s="13"/>
    </row>
    <row r="11555" spans="12:13" x14ac:dyDescent="0.2">
      <c r="L11555" s="12"/>
      <c r="M11555" s="13"/>
    </row>
    <row r="11556" spans="12:13" x14ac:dyDescent="0.2">
      <c r="L11556" s="12"/>
      <c r="M11556" s="13"/>
    </row>
    <row r="11557" spans="12:13" x14ac:dyDescent="0.2">
      <c r="L11557" s="12"/>
      <c r="M11557" s="13"/>
    </row>
    <row r="11558" spans="12:13" x14ac:dyDescent="0.2">
      <c r="L11558" s="12"/>
      <c r="M11558" s="13"/>
    </row>
    <row r="11559" spans="12:13" x14ac:dyDescent="0.2">
      <c r="L11559" s="12"/>
      <c r="M11559" s="13"/>
    </row>
    <row r="11560" spans="12:13" x14ac:dyDescent="0.2">
      <c r="L11560" s="12"/>
      <c r="M11560" s="13"/>
    </row>
    <row r="11561" spans="12:13" x14ac:dyDescent="0.2">
      <c r="L11561" s="12"/>
      <c r="M11561" s="13"/>
    </row>
    <row r="11562" spans="12:13" x14ac:dyDescent="0.2">
      <c r="L11562" s="12"/>
      <c r="M11562" s="13"/>
    </row>
    <row r="11563" spans="12:13" x14ac:dyDescent="0.2">
      <c r="L11563" s="12"/>
      <c r="M11563" s="13"/>
    </row>
    <row r="11564" spans="12:13" x14ac:dyDescent="0.2">
      <c r="L11564" s="12"/>
      <c r="M11564" s="13"/>
    </row>
    <row r="11565" spans="12:13" x14ac:dyDescent="0.2">
      <c r="L11565" s="12"/>
      <c r="M11565" s="13"/>
    </row>
    <row r="11566" spans="12:13" x14ac:dyDescent="0.2">
      <c r="L11566" s="12"/>
      <c r="M11566" s="13"/>
    </row>
    <row r="11567" spans="12:13" x14ac:dyDescent="0.2">
      <c r="L11567" s="12"/>
      <c r="M11567" s="13"/>
    </row>
    <row r="11568" spans="12:13" x14ac:dyDescent="0.2">
      <c r="L11568" s="12"/>
      <c r="M11568" s="13"/>
    </row>
    <row r="11569" spans="12:13" x14ac:dyDescent="0.2">
      <c r="L11569" s="12"/>
      <c r="M11569" s="13"/>
    </row>
    <row r="11570" spans="12:13" x14ac:dyDescent="0.2">
      <c r="L11570" s="12"/>
      <c r="M11570" s="13"/>
    </row>
    <row r="11571" spans="12:13" x14ac:dyDescent="0.2">
      <c r="L11571" s="12"/>
      <c r="M11571" s="13"/>
    </row>
    <row r="11572" spans="12:13" x14ac:dyDescent="0.2">
      <c r="L11572" s="12"/>
      <c r="M11572" s="13"/>
    </row>
    <row r="11573" spans="12:13" x14ac:dyDescent="0.2">
      <c r="L11573" s="12"/>
      <c r="M11573" s="13"/>
    </row>
    <row r="11574" spans="12:13" x14ac:dyDescent="0.2">
      <c r="L11574" s="12"/>
      <c r="M11574" s="13"/>
    </row>
    <row r="11575" spans="12:13" x14ac:dyDescent="0.2">
      <c r="L11575" s="12"/>
      <c r="M11575" s="13"/>
    </row>
    <row r="11576" spans="12:13" x14ac:dyDescent="0.2">
      <c r="L11576" s="12"/>
      <c r="M11576" s="13"/>
    </row>
    <row r="11577" spans="12:13" x14ac:dyDescent="0.2">
      <c r="L11577" s="12"/>
      <c r="M11577" s="13"/>
    </row>
    <row r="11578" spans="12:13" x14ac:dyDescent="0.2">
      <c r="L11578" s="12"/>
      <c r="M11578" s="13"/>
    </row>
    <row r="11579" spans="12:13" x14ac:dyDescent="0.2">
      <c r="L11579" s="12"/>
      <c r="M11579" s="13"/>
    </row>
    <row r="11580" spans="12:13" x14ac:dyDescent="0.2">
      <c r="L11580" s="12"/>
      <c r="M11580" s="13"/>
    </row>
    <row r="11581" spans="12:13" x14ac:dyDescent="0.2">
      <c r="L11581" s="12"/>
      <c r="M11581" s="13"/>
    </row>
    <row r="11582" spans="12:13" x14ac:dyDescent="0.2">
      <c r="L11582" s="12"/>
      <c r="M11582" s="13"/>
    </row>
    <row r="11583" spans="12:13" x14ac:dyDescent="0.2">
      <c r="L11583" s="12"/>
      <c r="M11583" s="13"/>
    </row>
    <row r="11584" spans="12:13" x14ac:dyDescent="0.2">
      <c r="L11584" s="12"/>
      <c r="M11584" s="13"/>
    </row>
    <row r="11585" spans="12:13" x14ac:dyDescent="0.2">
      <c r="L11585" s="12"/>
      <c r="M11585" s="13"/>
    </row>
    <row r="11586" spans="12:13" x14ac:dyDescent="0.2">
      <c r="L11586" s="12"/>
      <c r="M11586" s="13"/>
    </row>
    <row r="11587" spans="12:13" x14ac:dyDescent="0.2">
      <c r="L11587" s="12"/>
      <c r="M11587" s="13"/>
    </row>
    <row r="11588" spans="12:13" x14ac:dyDescent="0.2">
      <c r="L11588" s="12"/>
      <c r="M11588" s="13"/>
    </row>
    <row r="11589" spans="12:13" x14ac:dyDescent="0.2">
      <c r="L11589" s="12"/>
      <c r="M11589" s="13"/>
    </row>
    <row r="11590" spans="12:13" x14ac:dyDescent="0.2">
      <c r="L11590" s="12"/>
      <c r="M11590" s="13"/>
    </row>
    <row r="11591" spans="12:13" x14ac:dyDescent="0.2">
      <c r="L11591" s="12"/>
      <c r="M11591" s="13"/>
    </row>
    <row r="11592" spans="12:13" x14ac:dyDescent="0.2">
      <c r="L11592" s="12"/>
      <c r="M11592" s="13"/>
    </row>
    <row r="11593" spans="12:13" x14ac:dyDescent="0.2">
      <c r="L11593" s="12"/>
      <c r="M11593" s="13"/>
    </row>
    <row r="11594" spans="12:13" x14ac:dyDescent="0.2">
      <c r="L11594" s="12"/>
      <c r="M11594" s="13"/>
    </row>
    <row r="11595" spans="12:13" x14ac:dyDescent="0.2">
      <c r="L11595" s="12"/>
      <c r="M11595" s="13"/>
    </row>
    <row r="11596" spans="12:13" x14ac:dyDescent="0.2">
      <c r="L11596" s="12"/>
      <c r="M11596" s="13"/>
    </row>
    <row r="11597" spans="12:13" x14ac:dyDescent="0.2">
      <c r="L11597" s="12"/>
      <c r="M11597" s="13"/>
    </row>
    <row r="11598" spans="12:13" x14ac:dyDescent="0.2">
      <c r="L11598" s="12"/>
      <c r="M11598" s="13"/>
    </row>
    <row r="11599" spans="12:13" x14ac:dyDescent="0.2">
      <c r="L11599" s="12"/>
      <c r="M11599" s="13"/>
    </row>
    <row r="11600" spans="12:13" x14ac:dyDescent="0.2">
      <c r="L11600" s="12"/>
      <c r="M11600" s="13"/>
    </row>
    <row r="11601" spans="12:13" x14ac:dyDescent="0.2">
      <c r="L11601" s="12"/>
      <c r="M11601" s="13"/>
    </row>
    <row r="11602" spans="12:13" x14ac:dyDescent="0.2">
      <c r="L11602" s="12"/>
      <c r="M11602" s="13"/>
    </row>
    <row r="11603" spans="12:13" x14ac:dyDescent="0.2">
      <c r="L11603" s="12"/>
      <c r="M11603" s="13"/>
    </row>
    <row r="11604" spans="12:13" x14ac:dyDescent="0.2">
      <c r="L11604" s="12"/>
      <c r="M11604" s="13"/>
    </row>
    <row r="11605" spans="12:13" x14ac:dyDescent="0.2">
      <c r="L11605" s="12"/>
      <c r="M11605" s="13"/>
    </row>
    <row r="11606" spans="12:13" x14ac:dyDescent="0.2">
      <c r="L11606" s="12"/>
      <c r="M11606" s="13"/>
    </row>
    <row r="11607" spans="12:13" x14ac:dyDescent="0.2">
      <c r="L11607" s="12"/>
      <c r="M11607" s="13"/>
    </row>
    <row r="11608" spans="12:13" x14ac:dyDescent="0.2">
      <c r="L11608" s="12"/>
      <c r="M11608" s="13"/>
    </row>
    <row r="11609" spans="12:13" x14ac:dyDescent="0.2">
      <c r="L11609" s="12"/>
      <c r="M11609" s="13"/>
    </row>
    <row r="11610" spans="12:13" x14ac:dyDescent="0.2">
      <c r="L11610" s="12"/>
      <c r="M11610" s="13"/>
    </row>
    <row r="11611" spans="12:13" x14ac:dyDescent="0.2">
      <c r="L11611" s="12"/>
      <c r="M11611" s="13"/>
    </row>
    <row r="11612" spans="12:13" x14ac:dyDescent="0.2">
      <c r="L11612" s="12"/>
      <c r="M11612" s="13"/>
    </row>
    <row r="11613" spans="12:13" x14ac:dyDescent="0.2">
      <c r="L11613" s="12"/>
      <c r="M11613" s="13"/>
    </row>
    <row r="11614" spans="12:13" x14ac:dyDescent="0.2">
      <c r="L11614" s="12"/>
      <c r="M11614" s="13"/>
    </row>
    <row r="11615" spans="12:13" x14ac:dyDescent="0.2">
      <c r="L11615" s="12"/>
      <c r="M11615" s="13"/>
    </row>
    <row r="11616" spans="12:13" x14ac:dyDescent="0.2">
      <c r="L11616" s="12"/>
      <c r="M11616" s="13"/>
    </row>
    <row r="11617" spans="12:13" x14ac:dyDescent="0.2">
      <c r="L11617" s="12"/>
      <c r="M11617" s="13"/>
    </row>
    <row r="11618" spans="12:13" x14ac:dyDescent="0.2">
      <c r="L11618" s="12"/>
      <c r="M11618" s="13"/>
    </row>
    <row r="11619" spans="12:13" x14ac:dyDescent="0.2">
      <c r="L11619" s="12"/>
      <c r="M11619" s="13"/>
    </row>
    <row r="11620" spans="12:13" x14ac:dyDescent="0.2">
      <c r="L11620" s="12"/>
      <c r="M11620" s="13"/>
    </row>
    <row r="11621" spans="12:13" x14ac:dyDescent="0.2">
      <c r="L11621" s="12"/>
      <c r="M11621" s="13"/>
    </row>
    <row r="11622" spans="12:13" x14ac:dyDescent="0.2">
      <c r="L11622" s="12"/>
      <c r="M11622" s="13"/>
    </row>
    <row r="11623" spans="12:13" x14ac:dyDescent="0.2">
      <c r="L11623" s="12"/>
      <c r="M11623" s="13"/>
    </row>
    <row r="11624" spans="12:13" x14ac:dyDescent="0.2">
      <c r="L11624" s="12"/>
      <c r="M11624" s="13"/>
    </row>
    <row r="11625" spans="12:13" x14ac:dyDescent="0.2">
      <c r="L11625" s="12"/>
      <c r="M11625" s="13"/>
    </row>
    <row r="11626" spans="12:13" x14ac:dyDescent="0.2">
      <c r="L11626" s="12"/>
      <c r="M11626" s="13"/>
    </row>
    <row r="11627" spans="12:13" x14ac:dyDescent="0.2">
      <c r="L11627" s="12"/>
      <c r="M11627" s="13"/>
    </row>
    <row r="11628" spans="12:13" x14ac:dyDescent="0.2">
      <c r="L11628" s="12"/>
      <c r="M11628" s="13"/>
    </row>
    <row r="11629" spans="12:13" x14ac:dyDescent="0.2">
      <c r="L11629" s="12"/>
      <c r="M11629" s="13"/>
    </row>
    <row r="11630" spans="12:13" x14ac:dyDescent="0.2">
      <c r="L11630" s="12"/>
      <c r="M11630" s="13"/>
    </row>
    <row r="11631" spans="12:13" x14ac:dyDescent="0.2">
      <c r="L11631" s="12"/>
      <c r="M11631" s="13"/>
    </row>
    <row r="11632" spans="12:13" x14ac:dyDescent="0.2">
      <c r="L11632" s="12"/>
      <c r="M11632" s="13"/>
    </row>
    <row r="11633" spans="12:13" x14ac:dyDescent="0.2">
      <c r="L11633" s="12"/>
      <c r="M11633" s="13"/>
    </row>
    <row r="11634" spans="12:13" x14ac:dyDescent="0.2">
      <c r="L11634" s="12"/>
      <c r="M11634" s="13"/>
    </row>
    <row r="11635" spans="12:13" x14ac:dyDescent="0.2">
      <c r="L11635" s="12"/>
      <c r="M11635" s="13"/>
    </row>
    <row r="11636" spans="12:13" x14ac:dyDescent="0.2">
      <c r="L11636" s="12"/>
      <c r="M11636" s="13"/>
    </row>
    <row r="11637" spans="12:13" x14ac:dyDescent="0.2">
      <c r="L11637" s="12"/>
      <c r="M11637" s="13"/>
    </row>
    <row r="11638" spans="12:13" x14ac:dyDescent="0.2">
      <c r="L11638" s="12"/>
      <c r="M11638" s="13"/>
    </row>
    <row r="11639" spans="12:13" x14ac:dyDescent="0.2">
      <c r="L11639" s="12"/>
      <c r="M11639" s="13"/>
    </row>
    <row r="11640" spans="12:13" x14ac:dyDescent="0.2">
      <c r="L11640" s="12"/>
      <c r="M11640" s="13"/>
    </row>
    <row r="11641" spans="12:13" x14ac:dyDescent="0.2">
      <c r="L11641" s="12"/>
      <c r="M11641" s="13"/>
    </row>
    <row r="11642" spans="12:13" x14ac:dyDescent="0.2">
      <c r="L11642" s="12"/>
      <c r="M11642" s="13"/>
    </row>
    <row r="11643" spans="12:13" x14ac:dyDescent="0.2">
      <c r="L11643" s="12"/>
      <c r="M11643" s="13"/>
    </row>
    <row r="11644" spans="12:13" x14ac:dyDescent="0.2">
      <c r="L11644" s="12"/>
      <c r="M11644" s="13"/>
    </row>
    <row r="11645" spans="12:13" x14ac:dyDescent="0.2">
      <c r="L11645" s="12"/>
      <c r="M11645" s="13"/>
    </row>
    <row r="11646" spans="12:13" x14ac:dyDescent="0.2">
      <c r="L11646" s="12"/>
      <c r="M11646" s="13"/>
    </row>
    <row r="11647" spans="12:13" x14ac:dyDescent="0.2">
      <c r="L11647" s="12"/>
      <c r="M11647" s="13"/>
    </row>
    <row r="11648" spans="12:13" x14ac:dyDescent="0.2">
      <c r="L11648" s="12"/>
      <c r="M11648" s="13"/>
    </row>
    <row r="11649" spans="12:13" x14ac:dyDescent="0.2">
      <c r="L11649" s="12"/>
      <c r="M11649" s="13"/>
    </row>
    <row r="11650" spans="12:13" x14ac:dyDescent="0.2">
      <c r="L11650" s="12"/>
      <c r="M11650" s="13"/>
    </row>
    <row r="11651" spans="12:13" x14ac:dyDescent="0.2">
      <c r="L11651" s="12"/>
      <c r="M11651" s="13"/>
    </row>
    <row r="11652" spans="12:13" x14ac:dyDescent="0.2">
      <c r="L11652" s="12"/>
      <c r="M11652" s="13"/>
    </row>
    <row r="11653" spans="12:13" x14ac:dyDescent="0.2">
      <c r="L11653" s="12"/>
      <c r="M11653" s="13"/>
    </row>
    <row r="11654" spans="12:13" x14ac:dyDescent="0.2">
      <c r="L11654" s="12"/>
      <c r="M11654" s="13"/>
    </row>
    <row r="11655" spans="12:13" x14ac:dyDescent="0.2">
      <c r="L11655" s="12"/>
      <c r="M11655" s="13"/>
    </row>
    <row r="11656" spans="12:13" x14ac:dyDescent="0.2">
      <c r="L11656" s="12"/>
      <c r="M11656" s="13"/>
    </row>
    <row r="11657" spans="12:13" x14ac:dyDescent="0.2">
      <c r="L11657" s="12"/>
      <c r="M11657" s="13"/>
    </row>
    <row r="11658" spans="12:13" x14ac:dyDescent="0.2">
      <c r="L11658" s="12"/>
      <c r="M11658" s="13"/>
    </row>
    <row r="11659" spans="12:13" x14ac:dyDescent="0.2">
      <c r="L11659" s="12"/>
      <c r="M11659" s="13"/>
    </row>
    <row r="11660" spans="12:13" x14ac:dyDescent="0.2">
      <c r="L11660" s="12"/>
      <c r="M11660" s="13"/>
    </row>
    <row r="11661" spans="12:13" x14ac:dyDescent="0.2">
      <c r="L11661" s="12"/>
      <c r="M11661" s="13"/>
    </row>
    <row r="11662" spans="12:13" x14ac:dyDescent="0.2">
      <c r="L11662" s="12"/>
      <c r="M11662" s="13"/>
    </row>
    <row r="11663" spans="12:13" x14ac:dyDescent="0.2">
      <c r="L11663" s="12"/>
      <c r="M11663" s="13"/>
    </row>
    <row r="11664" spans="12:13" x14ac:dyDescent="0.2">
      <c r="L11664" s="12"/>
      <c r="M11664" s="13"/>
    </row>
    <row r="11665" spans="12:13" x14ac:dyDescent="0.2">
      <c r="L11665" s="12"/>
      <c r="M11665" s="13"/>
    </row>
    <row r="11666" spans="12:13" x14ac:dyDescent="0.2">
      <c r="L11666" s="12"/>
      <c r="M11666" s="13"/>
    </row>
    <row r="11667" spans="12:13" x14ac:dyDescent="0.2">
      <c r="L11667" s="12"/>
      <c r="M11667" s="13"/>
    </row>
    <row r="11668" spans="12:13" x14ac:dyDescent="0.2">
      <c r="L11668" s="12"/>
      <c r="M11668" s="13"/>
    </row>
    <row r="11669" spans="12:13" x14ac:dyDescent="0.2">
      <c r="L11669" s="12"/>
      <c r="M11669" s="13"/>
    </row>
    <row r="11670" spans="12:13" x14ac:dyDescent="0.2">
      <c r="L11670" s="12"/>
      <c r="M11670" s="13"/>
    </row>
    <row r="11671" spans="12:13" x14ac:dyDescent="0.2">
      <c r="L11671" s="12"/>
      <c r="M11671" s="13"/>
    </row>
    <row r="11672" spans="12:13" x14ac:dyDescent="0.2">
      <c r="L11672" s="12"/>
      <c r="M11672" s="13"/>
    </row>
    <row r="11673" spans="12:13" x14ac:dyDescent="0.2">
      <c r="L11673" s="12"/>
      <c r="M11673" s="13"/>
    </row>
    <row r="11674" spans="12:13" x14ac:dyDescent="0.2">
      <c r="L11674" s="12"/>
      <c r="M11674" s="13"/>
    </row>
    <row r="11675" spans="12:13" x14ac:dyDescent="0.2">
      <c r="L11675" s="12"/>
      <c r="M11675" s="13"/>
    </row>
    <row r="11676" spans="12:13" x14ac:dyDescent="0.2">
      <c r="L11676" s="12"/>
      <c r="M11676" s="13"/>
    </row>
    <row r="11677" spans="12:13" x14ac:dyDescent="0.2">
      <c r="L11677" s="12"/>
      <c r="M11677" s="13"/>
    </row>
    <row r="11678" spans="12:13" x14ac:dyDescent="0.2">
      <c r="L11678" s="12"/>
      <c r="M11678" s="13"/>
    </row>
    <row r="11679" spans="12:13" x14ac:dyDescent="0.2">
      <c r="L11679" s="12"/>
      <c r="M11679" s="13"/>
    </row>
    <row r="11680" spans="12:13" x14ac:dyDescent="0.2">
      <c r="L11680" s="12"/>
      <c r="M11680" s="13"/>
    </row>
    <row r="11681" spans="12:13" x14ac:dyDescent="0.2">
      <c r="L11681" s="12"/>
      <c r="M11681" s="13"/>
    </row>
    <row r="11682" spans="12:13" x14ac:dyDescent="0.2">
      <c r="L11682" s="12"/>
      <c r="M11682" s="13"/>
    </row>
    <row r="11683" spans="12:13" x14ac:dyDescent="0.2">
      <c r="L11683" s="12"/>
      <c r="M11683" s="13"/>
    </row>
    <row r="11684" spans="12:13" x14ac:dyDescent="0.2">
      <c r="L11684" s="12"/>
      <c r="M11684" s="13"/>
    </row>
    <row r="11685" spans="12:13" x14ac:dyDescent="0.2">
      <c r="L11685" s="12"/>
      <c r="M11685" s="13"/>
    </row>
    <row r="11686" spans="12:13" x14ac:dyDescent="0.2">
      <c r="L11686" s="12"/>
      <c r="M11686" s="13"/>
    </row>
    <row r="11687" spans="12:13" x14ac:dyDescent="0.2">
      <c r="L11687" s="12"/>
      <c r="M11687" s="13"/>
    </row>
    <row r="11688" spans="12:13" x14ac:dyDescent="0.2">
      <c r="L11688" s="12"/>
      <c r="M11688" s="13"/>
    </row>
    <row r="11689" spans="12:13" x14ac:dyDescent="0.2">
      <c r="L11689" s="12"/>
      <c r="M11689" s="13"/>
    </row>
    <row r="11690" spans="12:13" x14ac:dyDescent="0.2">
      <c r="L11690" s="12"/>
      <c r="M11690" s="13"/>
    </row>
    <row r="11691" spans="12:13" x14ac:dyDescent="0.2">
      <c r="L11691" s="12"/>
      <c r="M11691" s="13"/>
    </row>
    <row r="11692" spans="12:13" x14ac:dyDescent="0.2">
      <c r="L11692" s="12"/>
      <c r="M11692" s="13"/>
    </row>
    <row r="11693" spans="12:13" x14ac:dyDescent="0.2">
      <c r="L11693" s="12"/>
      <c r="M11693" s="13"/>
    </row>
    <row r="11694" spans="12:13" x14ac:dyDescent="0.2">
      <c r="L11694" s="12"/>
      <c r="M11694" s="13"/>
    </row>
    <row r="11695" spans="12:13" x14ac:dyDescent="0.2">
      <c r="L11695" s="12"/>
      <c r="M11695" s="13"/>
    </row>
    <row r="11696" spans="12:13" x14ac:dyDescent="0.2">
      <c r="L11696" s="12"/>
      <c r="M11696" s="13"/>
    </row>
    <row r="11697" spans="12:13" x14ac:dyDescent="0.2">
      <c r="L11697" s="12"/>
      <c r="M11697" s="13"/>
    </row>
    <row r="11698" spans="12:13" x14ac:dyDescent="0.2">
      <c r="L11698" s="12"/>
      <c r="M11698" s="13"/>
    </row>
    <row r="11699" spans="12:13" x14ac:dyDescent="0.2">
      <c r="L11699" s="12"/>
      <c r="M11699" s="13"/>
    </row>
    <row r="11700" spans="12:13" x14ac:dyDescent="0.2">
      <c r="L11700" s="12"/>
      <c r="M11700" s="13"/>
    </row>
    <row r="11701" spans="12:13" x14ac:dyDescent="0.2">
      <c r="L11701" s="12"/>
      <c r="M11701" s="13"/>
    </row>
    <row r="11702" spans="12:13" x14ac:dyDescent="0.2">
      <c r="L11702" s="12"/>
      <c r="M11702" s="13"/>
    </row>
    <row r="11703" spans="12:13" x14ac:dyDescent="0.2">
      <c r="L11703" s="12"/>
      <c r="M11703" s="13"/>
    </row>
    <row r="11704" spans="12:13" x14ac:dyDescent="0.2">
      <c r="L11704" s="12"/>
      <c r="M11704" s="13"/>
    </row>
    <row r="11705" spans="12:13" x14ac:dyDescent="0.2">
      <c r="L11705" s="12"/>
      <c r="M11705" s="13"/>
    </row>
    <row r="11706" spans="12:13" x14ac:dyDescent="0.2">
      <c r="L11706" s="12"/>
      <c r="M11706" s="13"/>
    </row>
    <row r="11707" spans="12:13" x14ac:dyDescent="0.2">
      <c r="L11707" s="12"/>
      <c r="M11707" s="13"/>
    </row>
    <row r="11708" spans="12:13" x14ac:dyDescent="0.2">
      <c r="L11708" s="12"/>
      <c r="M11708" s="13"/>
    </row>
    <row r="11709" spans="12:13" x14ac:dyDescent="0.2">
      <c r="L11709" s="12"/>
      <c r="M11709" s="13"/>
    </row>
    <row r="11710" spans="12:13" x14ac:dyDescent="0.2">
      <c r="L11710" s="12"/>
      <c r="M11710" s="13"/>
    </row>
    <row r="11711" spans="12:13" x14ac:dyDescent="0.2">
      <c r="L11711" s="12"/>
      <c r="M11711" s="13"/>
    </row>
    <row r="11712" spans="12:13" x14ac:dyDescent="0.2">
      <c r="L11712" s="12"/>
      <c r="M11712" s="13"/>
    </row>
    <row r="11713" spans="12:13" x14ac:dyDescent="0.2">
      <c r="L11713" s="12"/>
      <c r="M11713" s="13"/>
    </row>
    <row r="11714" spans="12:13" x14ac:dyDescent="0.2">
      <c r="L11714" s="12"/>
      <c r="M11714" s="13"/>
    </row>
    <row r="11715" spans="12:13" x14ac:dyDescent="0.2">
      <c r="L11715" s="12"/>
      <c r="M11715" s="13"/>
    </row>
    <row r="11716" spans="12:13" x14ac:dyDescent="0.2">
      <c r="L11716" s="12"/>
      <c r="M11716" s="13"/>
    </row>
    <row r="11717" spans="12:13" x14ac:dyDescent="0.2">
      <c r="L11717" s="12"/>
      <c r="M11717" s="13"/>
    </row>
    <row r="11718" spans="12:13" x14ac:dyDescent="0.2">
      <c r="L11718" s="12"/>
      <c r="M11718" s="13"/>
    </row>
    <row r="11719" spans="12:13" x14ac:dyDescent="0.2">
      <c r="L11719" s="12"/>
      <c r="M11719" s="13"/>
    </row>
    <row r="11720" spans="12:13" x14ac:dyDescent="0.2">
      <c r="L11720" s="12"/>
      <c r="M11720" s="13"/>
    </row>
    <row r="11721" spans="12:13" x14ac:dyDescent="0.2">
      <c r="L11721" s="12"/>
      <c r="M11721" s="13"/>
    </row>
    <row r="11722" spans="12:13" x14ac:dyDescent="0.2">
      <c r="L11722" s="12"/>
      <c r="M11722" s="13"/>
    </row>
    <row r="11723" spans="12:13" x14ac:dyDescent="0.2">
      <c r="L11723" s="12"/>
      <c r="M11723" s="13"/>
    </row>
    <row r="11724" spans="12:13" x14ac:dyDescent="0.2">
      <c r="L11724" s="12"/>
      <c r="M11724" s="13"/>
    </row>
    <row r="11725" spans="12:13" x14ac:dyDescent="0.2">
      <c r="L11725" s="12"/>
      <c r="M11725" s="13"/>
    </row>
    <row r="11726" spans="12:13" x14ac:dyDescent="0.2">
      <c r="L11726" s="12"/>
      <c r="M11726" s="13"/>
    </row>
    <row r="11727" spans="12:13" x14ac:dyDescent="0.2">
      <c r="L11727" s="12"/>
      <c r="M11727" s="13"/>
    </row>
    <row r="11728" spans="12:13" x14ac:dyDescent="0.2">
      <c r="L11728" s="12"/>
      <c r="M11728" s="13"/>
    </row>
    <row r="11729" spans="12:13" x14ac:dyDescent="0.2">
      <c r="L11729" s="12"/>
      <c r="M11729" s="13"/>
    </row>
    <row r="11730" spans="12:13" x14ac:dyDescent="0.2">
      <c r="L11730" s="12"/>
      <c r="M11730" s="13"/>
    </row>
    <row r="11731" spans="12:13" x14ac:dyDescent="0.2">
      <c r="L11731" s="12"/>
      <c r="M11731" s="13"/>
    </row>
    <row r="11732" spans="12:13" x14ac:dyDescent="0.2">
      <c r="L11732" s="12"/>
      <c r="M11732" s="13"/>
    </row>
    <row r="11733" spans="12:13" x14ac:dyDescent="0.2">
      <c r="L11733" s="12"/>
      <c r="M11733" s="13"/>
    </row>
    <row r="11734" spans="12:13" x14ac:dyDescent="0.2">
      <c r="L11734" s="12"/>
      <c r="M11734" s="13"/>
    </row>
    <row r="11735" spans="12:13" x14ac:dyDescent="0.2">
      <c r="L11735" s="12"/>
      <c r="M11735" s="13"/>
    </row>
    <row r="11736" spans="12:13" x14ac:dyDescent="0.2">
      <c r="L11736" s="12"/>
      <c r="M11736" s="13"/>
    </row>
    <row r="11737" spans="12:13" x14ac:dyDescent="0.2">
      <c r="L11737" s="12"/>
      <c r="M11737" s="13"/>
    </row>
    <row r="11738" spans="12:13" x14ac:dyDescent="0.2">
      <c r="L11738" s="12"/>
      <c r="M11738" s="13"/>
    </row>
    <row r="11739" spans="12:13" x14ac:dyDescent="0.2">
      <c r="L11739" s="12"/>
      <c r="M11739" s="13"/>
    </row>
    <row r="11740" spans="12:13" x14ac:dyDescent="0.2">
      <c r="L11740" s="12"/>
      <c r="M11740" s="13"/>
    </row>
    <row r="11741" spans="12:13" x14ac:dyDescent="0.2">
      <c r="L11741" s="12"/>
      <c r="M11741" s="13"/>
    </row>
    <row r="11742" spans="12:13" x14ac:dyDescent="0.2">
      <c r="L11742" s="12"/>
      <c r="M11742" s="13"/>
    </row>
    <row r="11743" spans="12:13" x14ac:dyDescent="0.2">
      <c r="L11743" s="12"/>
      <c r="M11743" s="13"/>
    </row>
    <row r="11744" spans="12:13" x14ac:dyDescent="0.2">
      <c r="L11744" s="12"/>
      <c r="M11744" s="13"/>
    </row>
    <row r="11745" spans="12:13" x14ac:dyDescent="0.2">
      <c r="L11745" s="12"/>
      <c r="M11745" s="13"/>
    </row>
    <row r="11746" spans="12:13" x14ac:dyDescent="0.2">
      <c r="L11746" s="12"/>
      <c r="M11746" s="13"/>
    </row>
    <row r="11747" spans="12:13" x14ac:dyDescent="0.2">
      <c r="L11747" s="12"/>
      <c r="M11747" s="13"/>
    </row>
    <row r="11748" spans="12:13" x14ac:dyDescent="0.2">
      <c r="L11748" s="12"/>
      <c r="M11748" s="13"/>
    </row>
    <row r="11749" spans="12:13" x14ac:dyDescent="0.2">
      <c r="L11749" s="12"/>
      <c r="M11749" s="13"/>
    </row>
    <row r="11750" spans="12:13" x14ac:dyDescent="0.2">
      <c r="L11750" s="12"/>
      <c r="M11750" s="13"/>
    </row>
    <row r="11751" spans="12:13" x14ac:dyDescent="0.2">
      <c r="L11751" s="12"/>
      <c r="M11751" s="13"/>
    </row>
    <row r="11752" spans="12:13" x14ac:dyDescent="0.2">
      <c r="L11752" s="12"/>
      <c r="M11752" s="13"/>
    </row>
    <row r="11753" spans="12:13" x14ac:dyDescent="0.2">
      <c r="L11753" s="12"/>
      <c r="M11753" s="13"/>
    </row>
    <row r="11754" spans="12:13" x14ac:dyDescent="0.2">
      <c r="L11754" s="12"/>
      <c r="M11754" s="13"/>
    </row>
    <row r="11755" spans="12:13" x14ac:dyDescent="0.2">
      <c r="L11755" s="12"/>
      <c r="M11755" s="13"/>
    </row>
    <row r="11756" spans="12:13" x14ac:dyDescent="0.2">
      <c r="L11756" s="12"/>
      <c r="M11756" s="13"/>
    </row>
    <row r="11757" spans="12:13" x14ac:dyDescent="0.2">
      <c r="L11757" s="12"/>
      <c r="M11757" s="13"/>
    </row>
    <row r="11758" spans="12:13" x14ac:dyDescent="0.2">
      <c r="L11758" s="12"/>
      <c r="M11758" s="13"/>
    </row>
    <row r="11759" spans="12:13" x14ac:dyDescent="0.2">
      <c r="L11759" s="12"/>
      <c r="M11759" s="13"/>
    </row>
    <row r="11760" spans="12:13" x14ac:dyDescent="0.2">
      <c r="L11760" s="12"/>
      <c r="M11760" s="13"/>
    </row>
    <row r="11761" spans="12:13" x14ac:dyDescent="0.2">
      <c r="L11761" s="12"/>
      <c r="M11761" s="13"/>
    </row>
    <row r="11762" spans="12:13" x14ac:dyDescent="0.2">
      <c r="L11762" s="12"/>
      <c r="M11762" s="13"/>
    </row>
    <row r="11763" spans="12:13" x14ac:dyDescent="0.2">
      <c r="L11763" s="12"/>
      <c r="M11763" s="13"/>
    </row>
    <row r="11764" spans="12:13" x14ac:dyDescent="0.2">
      <c r="L11764" s="12"/>
      <c r="M11764" s="13"/>
    </row>
    <row r="11765" spans="12:13" x14ac:dyDescent="0.2">
      <c r="L11765" s="12"/>
      <c r="M11765" s="13"/>
    </row>
    <row r="11766" spans="12:13" x14ac:dyDescent="0.2">
      <c r="L11766" s="12"/>
      <c r="M11766" s="13"/>
    </row>
    <row r="11767" spans="12:13" x14ac:dyDescent="0.2">
      <c r="L11767" s="12"/>
      <c r="M11767" s="13"/>
    </row>
    <row r="11768" spans="12:13" x14ac:dyDescent="0.2">
      <c r="L11768" s="12"/>
      <c r="M11768" s="13"/>
    </row>
    <row r="11769" spans="12:13" x14ac:dyDescent="0.2">
      <c r="L11769" s="12"/>
      <c r="M11769" s="13"/>
    </row>
    <row r="11770" spans="12:13" x14ac:dyDescent="0.2">
      <c r="L11770" s="12"/>
      <c r="M11770" s="13"/>
    </row>
    <row r="11771" spans="12:13" x14ac:dyDescent="0.2">
      <c r="L11771" s="12"/>
      <c r="M11771" s="13"/>
    </row>
    <row r="11772" spans="12:13" x14ac:dyDescent="0.2">
      <c r="L11772" s="12"/>
      <c r="M11772" s="13"/>
    </row>
    <row r="11773" spans="12:13" x14ac:dyDescent="0.2">
      <c r="L11773" s="12"/>
      <c r="M11773" s="13"/>
    </row>
    <row r="11774" spans="12:13" x14ac:dyDescent="0.2">
      <c r="L11774" s="12"/>
      <c r="M11774" s="13"/>
    </row>
    <row r="11775" spans="12:13" x14ac:dyDescent="0.2">
      <c r="L11775" s="12"/>
      <c r="M11775" s="13"/>
    </row>
    <row r="11776" spans="12:13" x14ac:dyDescent="0.2">
      <c r="L11776" s="12"/>
      <c r="M11776" s="13"/>
    </row>
    <row r="11777" spans="12:13" x14ac:dyDescent="0.2">
      <c r="L11777" s="12"/>
      <c r="M11777" s="13"/>
    </row>
    <row r="11778" spans="12:13" x14ac:dyDescent="0.2">
      <c r="L11778" s="17"/>
      <c r="M11778" s="18"/>
    </row>
    <row r="11779" spans="12:13" x14ac:dyDescent="0.2">
      <c r="L11779" s="12"/>
      <c r="M11779" s="13"/>
    </row>
    <row r="11780" spans="12:13" x14ac:dyDescent="0.2">
      <c r="L11780" s="12"/>
      <c r="M11780" s="13"/>
    </row>
    <row r="11781" spans="12:13" x14ac:dyDescent="0.2">
      <c r="L11781" s="12"/>
      <c r="M11781" s="13"/>
    </row>
    <row r="11782" spans="12:13" x14ac:dyDescent="0.2">
      <c r="L11782" s="12"/>
      <c r="M11782" s="13"/>
    </row>
    <row r="11783" spans="12:13" x14ac:dyDescent="0.2">
      <c r="L11783" s="12"/>
      <c r="M11783" s="13"/>
    </row>
    <row r="11784" spans="12:13" x14ac:dyDescent="0.2">
      <c r="L11784" s="12"/>
      <c r="M11784" s="13"/>
    </row>
    <row r="11785" spans="12:13" x14ac:dyDescent="0.2">
      <c r="L11785" s="12"/>
      <c r="M11785" s="13"/>
    </row>
    <row r="11786" spans="12:13" x14ac:dyDescent="0.2">
      <c r="L11786" s="12"/>
      <c r="M11786" s="13"/>
    </row>
    <row r="11787" spans="12:13" x14ac:dyDescent="0.2">
      <c r="L11787" s="12"/>
      <c r="M11787" s="13"/>
    </row>
    <row r="11788" spans="12:13" x14ac:dyDescent="0.2">
      <c r="L11788" s="12"/>
      <c r="M11788" s="13"/>
    </row>
    <row r="11789" spans="12:13" x14ac:dyDescent="0.2">
      <c r="L11789" s="12"/>
      <c r="M11789" s="13"/>
    </row>
    <row r="11790" spans="12:13" x14ac:dyDescent="0.2">
      <c r="L11790" s="12"/>
      <c r="M11790" s="13"/>
    </row>
    <row r="11791" spans="12:13" x14ac:dyDescent="0.2">
      <c r="L11791" s="12"/>
      <c r="M11791" s="13"/>
    </row>
    <row r="11792" spans="12:13" x14ac:dyDescent="0.2">
      <c r="L11792" s="12"/>
      <c r="M11792" s="13"/>
    </row>
    <row r="11793" spans="12:13" x14ac:dyDescent="0.2">
      <c r="L11793" s="12"/>
      <c r="M11793" s="13"/>
    </row>
    <row r="11794" spans="12:13" x14ac:dyDescent="0.2">
      <c r="L11794" s="12"/>
      <c r="M11794" s="13"/>
    </row>
    <row r="11795" spans="12:13" x14ac:dyDescent="0.2">
      <c r="L11795" s="12"/>
      <c r="M11795" s="13"/>
    </row>
    <row r="11796" spans="12:13" x14ac:dyDescent="0.2">
      <c r="L11796" s="12"/>
      <c r="M11796" s="13"/>
    </row>
    <row r="11797" spans="12:13" x14ac:dyDescent="0.2">
      <c r="L11797" s="12"/>
      <c r="M11797" s="13"/>
    </row>
    <row r="11798" spans="12:13" x14ac:dyDescent="0.2">
      <c r="L11798" s="12"/>
      <c r="M11798" s="13"/>
    </row>
    <row r="11799" spans="12:13" x14ac:dyDescent="0.2">
      <c r="L11799" s="12"/>
      <c r="M11799" s="13"/>
    </row>
    <row r="11800" spans="12:13" x14ac:dyDescent="0.2">
      <c r="L11800" s="12"/>
      <c r="M11800" s="13"/>
    </row>
    <row r="11801" spans="12:13" x14ac:dyDescent="0.2">
      <c r="L11801" s="12"/>
      <c r="M11801" s="13"/>
    </row>
    <row r="11802" spans="12:13" x14ac:dyDescent="0.2">
      <c r="L11802" s="12"/>
      <c r="M11802" s="13"/>
    </row>
    <row r="11803" spans="12:13" x14ac:dyDescent="0.2">
      <c r="L11803" s="12"/>
      <c r="M11803" s="13"/>
    </row>
    <row r="11804" spans="12:13" x14ac:dyDescent="0.2">
      <c r="L11804" s="12"/>
      <c r="M11804" s="13"/>
    </row>
    <row r="11805" spans="12:13" x14ac:dyDescent="0.2">
      <c r="L11805" s="12"/>
      <c r="M11805" s="13"/>
    </row>
    <row r="11806" spans="12:13" x14ac:dyDescent="0.2">
      <c r="L11806" s="12"/>
      <c r="M11806" s="13"/>
    </row>
    <row r="11807" spans="12:13" x14ac:dyDescent="0.2">
      <c r="L11807" s="12"/>
      <c r="M11807" s="13"/>
    </row>
    <row r="11808" spans="12:13" x14ac:dyDescent="0.2">
      <c r="L11808" s="12"/>
      <c r="M11808" s="13"/>
    </row>
    <row r="11809" spans="12:13" x14ac:dyDescent="0.2">
      <c r="L11809" s="12"/>
      <c r="M11809" s="13"/>
    </row>
    <row r="11810" spans="12:13" x14ac:dyDescent="0.2">
      <c r="L11810" s="12"/>
      <c r="M11810" s="13"/>
    </row>
    <row r="11811" spans="12:13" x14ac:dyDescent="0.2">
      <c r="L11811" s="12"/>
      <c r="M11811" s="13"/>
    </row>
    <row r="11812" spans="12:13" x14ac:dyDescent="0.2">
      <c r="L11812" s="12"/>
      <c r="M11812" s="13"/>
    </row>
    <row r="11813" spans="12:13" x14ac:dyDescent="0.2">
      <c r="L11813" s="12"/>
      <c r="M11813" s="13"/>
    </row>
    <row r="11814" spans="12:13" x14ac:dyDescent="0.2">
      <c r="L11814" s="12"/>
      <c r="M11814" s="13"/>
    </row>
    <row r="11815" spans="12:13" x14ac:dyDescent="0.2">
      <c r="L11815" s="12"/>
      <c r="M11815" s="13"/>
    </row>
    <row r="11816" spans="12:13" x14ac:dyDescent="0.2">
      <c r="L11816" s="12"/>
      <c r="M11816" s="13"/>
    </row>
    <row r="11817" spans="12:13" x14ac:dyDescent="0.2">
      <c r="L11817" s="12"/>
      <c r="M11817" s="13"/>
    </row>
    <row r="11818" spans="12:13" x14ac:dyDescent="0.2">
      <c r="L11818" s="12"/>
      <c r="M11818" s="13"/>
    </row>
    <row r="11819" spans="12:13" x14ac:dyDescent="0.2">
      <c r="L11819" s="12"/>
      <c r="M11819" s="13"/>
    </row>
    <row r="11820" spans="12:13" x14ac:dyDescent="0.2">
      <c r="L11820" s="12"/>
      <c r="M11820" s="13"/>
    </row>
    <row r="11821" spans="12:13" x14ac:dyDescent="0.2">
      <c r="L11821" s="12"/>
      <c r="M11821" s="13"/>
    </row>
    <row r="11822" spans="12:13" x14ac:dyDescent="0.2">
      <c r="L11822" s="12"/>
      <c r="M11822" s="13"/>
    </row>
    <row r="11823" spans="12:13" x14ac:dyDescent="0.2">
      <c r="L11823" s="12"/>
      <c r="M11823" s="13"/>
    </row>
    <row r="11824" spans="12:13" x14ac:dyDescent="0.2">
      <c r="L11824" s="12"/>
      <c r="M11824" s="13"/>
    </row>
    <row r="11825" spans="12:13" x14ac:dyDescent="0.2">
      <c r="L11825" s="12"/>
      <c r="M11825" s="13"/>
    </row>
    <row r="11826" spans="12:13" x14ac:dyDescent="0.2">
      <c r="L11826" s="12"/>
      <c r="M11826" s="13"/>
    </row>
    <row r="11827" spans="12:13" x14ac:dyDescent="0.2">
      <c r="L11827" s="12"/>
      <c r="M11827" s="13"/>
    </row>
    <row r="11828" spans="12:13" x14ac:dyDescent="0.2">
      <c r="L11828" s="12"/>
      <c r="M11828" s="13"/>
    </row>
    <row r="11829" spans="12:13" x14ac:dyDescent="0.2">
      <c r="L11829" s="12"/>
      <c r="M11829" s="13"/>
    </row>
    <row r="11830" spans="12:13" x14ac:dyDescent="0.2">
      <c r="L11830" s="12"/>
      <c r="M11830" s="13"/>
    </row>
    <row r="11831" spans="12:13" x14ac:dyDescent="0.2">
      <c r="L11831" s="12"/>
      <c r="M11831" s="13"/>
    </row>
    <row r="11832" spans="12:13" x14ac:dyDescent="0.2">
      <c r="L11832" s="12"/>
      <c r="M11832" s="13"/>
    </row>
    <row r="11833" spans="12:13" x14ac:dyDescent="0.2">
      <c r="L11833" s="12"/>
      <c r="M11833" s="13"/>
    </row>
    <row r="11834" spans="12:13" x14ac:dyDescent="0.2">
      <c r="L11834" s="12"/>
      <c r="M11834" s="13"/>
    </row>
    <row r="11835" spans="12:13" x14ac:dyDescent="0.2">
      <c r="L11835" s="12"/>
      <c r="M11835" s="13"/>
    </row>
    <row r="11836" spans="12:13" x14ac:dyDescent="0.2">
      <c r="L11836" s="12"/>
      <c r="M11836" s="13"/>
    </row>
    <row r="11837" spans="12:13" x14ac:dyDescent="0.2">
      <c r="L11837" s="12"/>
      <c r="M11837" s="13"/>
    </row>
    <row r="11838" spans="12:13" x14ac:dyDescent="0.2">
      <c r="L11838" s="12"/>
      <c r="M11838" s="13"/>
    </row>
    <row r="11839" spans="12:13" x14ac:dyDescent="0.2">
      <c r="L11839" s="12"/>
      <c r="M11839" s="13"/>
    </row>
    <row r="11840" spans="12:13" x14ac:dyDescent="0.2">
      <c r="L11840" s="12"/>
      <c r="M11840" s="13"/>
    </row>
    <row r="11841" spans="12:13" x14ac:dyDescent="0.2">
      <c r="L11841" s="12"/>
      <c r="M11841" s="13"/>
    </row>
    <row r="11842" spans="12:13" x14ac:dyDescent="0.2">
      <c r="L11842" s="12"/>
      <c r="M11842" s="13"/>
    </row>
    <row r="11843" spans="12:13" x14ac:dyDescent="0.2">
      <c r="L11843" s="12"/>
      <c r="M11843" s="13"/>
    </row>
    <row r="11844" spans="12:13" x14ac:dyDescent="0.2">
      <c r="L11844" s="12"/>
      <c r="M11844" s="13"/>
    </row>
    <row r="11845" spans="12:13" x14ac:dyDescent="0.2">
      <c r="L11845" s="12"/>
      <c r="M11845" s="13"/>
    </row>
    <row r="11846" spans="12:13" x14ac:dyDescent="0.2">
      <c r="L11846" s="12"/>
      <c r="M11846" s="13"/>
    </row>
    <row r="11847" spans="12:13" x14ac:dyDescent="0.2">
      <c r="L11847" s="12"/>
      <c r="M11847" s="13"/>
    </row>
    <row r="11848" spans="12:13" x14ac:dyDescent="0.2">
      <c r="L11848" s="12"/>
      <c r="M11848" s="13"/>
    </row>
    <row r="11849" spans="12:13" x14ac:dyDescent="0.2">
      <c r="L11849" s="12"/>
      <c r="M11849" s="13"/>
    </row>
    <row r="11850" spans="12:13" x14ac:dyDescent="0.2">
      <c r="L11850" s="12"/>
      <c r="M11850" s="13"/>
    </row>
    <row r="11851" spans="12:13" x14ac:dyDescent="0.2">
      <c r="L11851" s="12"/>
      <c r="M11851" s="13"/>
    </row>
    <row r="11852" spans="12:13" x14ac:dyDescent="0.2">
      <c r="L11852" s="12"/>
      <c r="M11852" s="13"/>
    </row>
    <row r="11853" spans="12:13" x14ac:dyDescent="0.2">
      <c r="L11853" s="12"/>
      <c r="M11853" s="13"/>
    </row>
    <row r="11854" spans="12:13" x14ac:dyDescent="0.2">
      <c r="L11854" s="12"/>
      <c r="M11854" s="13"/>
    </row>
    <row r="11855" spans="12:13" x14ac:dyDescent="0.2">
      <c r="L11855" s="12"/>
      <c r="M11855" s="13"/>
    </row>
    <row r="11856" spans="12:13" x14ac:dyDescent="0.2">
      <c r="L11856" s="12"/>
      <c r="M11856" s="13"/>
    </row>
    <row r="11857" spans="12:13" x14ac:dyDescent="0.2">
      <c r="L11857" s="12"/>
      <c r="M11857" s="13"/>
    </row>
    <row r="11858" spans="12:13" x14ac:dyDescent="0.2">
      <c r="L11858" s="12"/>
      <c r="M11858" s="13"/>
    </row>
    <row r="11859" spans="12:13" x14ac:dyDescent="0.2">
      <c r="L11859" s="12"/>
      <c r="M11859" s="13"/>
    </row>
    <row r="11860" spans="12:13" x14ac:dyDescent="0.2">
      <c r="L11860" s="12"/>
      <c r="M11860" s="13"/>
    </row>
    <row r="11861" spans="12:13" x14ac:dyDescent="0.2">
      <c r="L11861" s="12"/>
      <c r="M11861" s="13"/>
    </row>
    <row r="11862" spans="12:13" x14ac:dyDescent="0.2">
      <c r="L11862" s="12"/>
      <c r="M11862" s="13"/>
    </row>
    <row r="11863" spans="12:13" x14ac:dyDescent="0.2">
      <c r="L11863" s="12"/>
      <c r="M11863" s="13"/>
    </row>
    <row r="11864" spans="12:13" x14ac:dyDescent="0.2">
      <c r="L11864" s="12"/>
      <c r="M11864" s="13"/>
    </row>
    <row r="11865" spans="12:13" x14ac:dyDescent="0.2">
      <c r="L11865" s="12"/>
      <c r="M11865" s="13"/>
    </row>
    <row r="11866" spans="12:13" x14ac:dyDescent="0.2">
      <c r="L11866" s="12"/>
      <c r="M11866" s="13"/>
    </row>
    <row r="11867" spans="12:13" x14ac:dyDescent="0.2">
      <c r="L11867" s="12"/>
      <c r="M11867" s="13"/>
    </row>
    <row r="11868" spans="12:13" x14ac:dyDescent="0.2">
      <c r="L11868" s="12"/>
      <c r="M11868" s="13"/>
    </row>
    <row r="11869" spans="12:13" x14ac:dyDescent="0.2">
      <c r="L11869" s="12"/>
      <c r="M11869" s="13"/>
    </row>
    <row r="11870" spans="12:13" x14ac:dyDescent="0.2">
      <c r="L11870" s="12"/>
      <c r="M11870" s="13"/>
    </row>
    <row r="11871" spans="12:13" x14ac:dyDescent="0.2">
      <c r="L11871" s="12"/>
      <c r="M11871" s="13"/>
    </row>
    <row r="11872" spans="12:13" x14ac:dyDescent="0.2">
      <c r="L11872" s="12"/>
      <c r="M11872" s="13"/>
    </row>
    <row r="11873" spans="12:13" x14ac:dyDescent="0.2">
      <c r="L11873" s="12"/>
      <c r="M11873" s="13"/>
    </row>
    <row r="11874" spans="12:13" x14ac:dyDescent="0.2">
      <c r="L11874" s="12"/>
      <c r="M11874" s="13"/>
    </row>
    <row r="11875" spans="12:13" x14ac:dyDescent="0.2">
      <c r="L11875" s="12"/>
      <c r="M11875" s="13"/>
    </row>
    <row r="11876" spans="12:13" x14ac:dyDescent="0.2">
      <c r="L11876" s="12"/>
      <c r="M11876" s="13"/>
    </row>
    <row r="11877" spans="12:13" x14ac:dyDescent="0.2">
      <c r="L11877" s="12"/>
      <c r="M11877" s="13"/>
    </row>
    <row r="11878" spans="12:13" x14ac:dyDescent="0.2">
      <c r="L11878" s="12"/>
      <c r="M11878" s="13"/>
    </row>
    <row r="11879" spans="12:13" x14ac:dyDescent="0.2">
      <c r="L11879" s="12"/>
      <c r="M11879" s="13"/>
    </row>
    <row r="11880" spans="12:13" x14ac:dyDescent="0.2">
      <c r="L11880" s="12"/>
      <c r="M11880" s="13"/>
    </row>
    <row r="11881" spans="12:13" x14ac:dyDescent="0.2">
      <c r="L11881" s="12"/>
      <c r="M11881" s="13"/>
    </row>
    <row r="11882" spans="12:13" x14ac:dyDescent="0.2">
      <c r="L11882" s="12"/>
      <c r="M11882" s="13"/>
    </row>
    <row r="11883" spans="12:13" x14ac:dyDescent="0.2">
      <c r="L11883" s="12"/>
      <c r="M11883" s="13"/>
    </row>
    <row r="11884" spans="12:13" x14ac:dyDescent="0.2">
      <c r="L11884" s="12"/>
      <c r="M11884" s="13"/>
    </row>
    <row r="11885" spans="12:13" x14ac:dyDescent="0.2">
      <c r="L11885" s="12"/>
      <c r="M11885" s="13"/>
    </row>
    <row r="11886" spans="12:13" x14ac:dyDescent="0.2">
      <c r="L11886" s="12"/>
      <c r="M11886" s="13"/>
    </row>
    <row r="11887" spans="12:13" x14ac:dyDescent="0.2">
      <c r="L11887" s="12"/>
      <c r="M11887" s="13"/>
    </row>
    <row r="11888" spans="12:13" x14ac:dyDescent="0.2">
      <c r="L11888" s="12"/>
      <c r="M11888" s="13"/>
    </row>
    <row r="11889" spans="12:13" x14ac:dyDescent="0.2">
      <c r="L11889" s="12"/>
      <c r="M11889" s="13"/>
    </row>
    <row r="11890" spans="12:13" x14ac:dyDescent="0.2">
      <c r="L11890" s="12"/>
      <c r="M11890" s="13"/>
    </row>
    <row r="11891" spans="12:13" x14ac:dyDescent="0.2">
      <c r="L11891" s="12"/>
      <c r="M11891" s="13"/>
    </row>
    <row r="11892" spans="12:13" x14ac:dyDescent="0.2">
      <c r="L11892" s="12"/>
      <c r="M11892" s="13"/>
    </row>
    <row r="11893" spans="12:13" x14ac:dyDescent="0.2">
      <c r="L11893" s="12"/>
      <c r="M11893" s="13"/>
    </row>
    <row r="11894" spans="12:13" x14ac:dyDescent="0.2">
      <c r="L11894" s="12"/>
      <c r="M11894" s="13"/>
    </row>
    <row r="11895" spans="12:13" x14ac:dyDescent="0.2">
      <c r="L11895" s="12"/>
      <c r="M11895" s="13"/>
    </row>
    <row r="11896" spans="12:13" x14ac:dyDescent="0.2">
      <c r="L11896" s="12"/>
      <c r="M11896" s="13"/>
    </row>
    <row r="11897" spans="12:13" x14ac:dyDescent="0.2">
      <c r="L11897" s="12"/>
      <c r="M11897" s="13"/>
    </row>
    <row r="11898" spans="12:13" x14ac:dyDescent="0.2">
      <c r="L11898" s="12"/>
      <c r="M11898" s="13"/>
    </row>
    <row r="11899" spans="12:13" x14ac:dyDescent="0.2">
      <c r="L11899" s="12"/>
      <c r="M11899" s="13"/>
    </row>
    <row r="11900" spans="12:13" x14ac:dyDescent="0.2">
      <c r="L11900" s="12"/>
      <c r="M11900" s="13"/>
    </row>
    <row r="11901" spans="12:13" x14ac:dyDescent="0.2">
      <c r="L11901" s="12"/>
      <c r="M11901" s="13"/>
    </row>
    <row r="11902" spans="12:13" x14ac:dyDescent="0.2">
      <c r="L11902" s="12"/>
      <c r="M11902" s="13"/>
    </row>
    <row r="11903" spans="12:13" x14ac:dyDescent="0.2">
      <c r="L11903" s="12"/>
      <c r="M11903" s="13"/>
    </row>
    <row r="11904" spans="12:13" x14ac:dyDescent="0.2">
      <c r="L11904" s="12"/>
      <c r="M11904" s="13"/>
    </row>
    <row r="11905" spans="12:13" x14ac:dyDescent="0.2">
      <c r="L11905" s="12"/>
      <c r="M11905" s="13"/>
    </row>
    <row r="11906" spans="12:13" x14ac:dyDescent="0.2">
      <c r="L11906" s="12"/>
      <c r="M11906" s="13"/>
    </row>
    <row r="11907" spans="12:13" x14ac:dyDescent="0.2">
      <c r="L11907" s="12"/>
      <c r="M11907" s="13"/>
    </row>
    <row r="11908" spans="12:13" x14ac:dyDescent="0.2">
      <c r="L11908" s="12"/>
      <c r="M11908" s="13"/>
    </row>
    <row r="11909" spans="12:13" x14ac:dyDescent="0.2">
      <c r="L11909" s="12"/>
      <c r="M11909" s="13"/>
    </row>
    <row r="11910" spans="12:13" x14ac:dyDescent="0.2">
      <c r="L11910" s="12"/>
      <c r="M11910" s="13"/>
    </row>
    <row r="11911" spans="12:13" x14ac:dyDescent="0.2">
      <c r="L11911" s="12"/>
      <c r="M11911" s="13"/>
    </row>
    <row r="11912" spans="12:13" x14ac:dyDescent="0.2">
      <c r="L11912" s="12"/>
      <c r="M11912" s="13"/>
    </row>
    <row r="11913" spans="12:13" x14ac:dyDescent="0.2">
      <c r="L11913" s="12"/>
      <c r="M11913" s="13"/>
    </row>
    <row r="11914" spans="12:13" x14ac:dyDescent="0.2">
      <c r="L11914" s="12"/>
      <c r="M11914" s="13"/>
    </row>
    <row r="11915" spans="12:13" x14ac:dyDescent="0.2">
      <c r="L11915" s="12"/>
      <c r="M11915" s="13"/>
    </row>
    <row r="11916" spans="12:13" x14ac:dyDescent="0.2">
      <c r="L11916" s="12"/>
      <c r="M11916" s="13"/>
    </row>
    <row r="11917" spans="12:13" x14ac:dyDescent="0.2">
      <c r="L11917" s="12"/>
      <c r="M11917" s="13"/>
    </row>
    <row r="11918" spans="12:13" x14ac:dyDescent="0.2">
      <c r="L11918" s="12"/>
      <c r="M11918" s="13"/>
    </row>
    <row r="11919" spans="12:13" x14ac:dyDescent="0.2">
      <c r="L11919" s="12"/>
      <c r="M11919" s="13"/>
    </row>
    <row r="11920" spans="12:13" x14ac:dyDescent="0.2">
      <c r="L11920" s="12"/>
      <c r="M11920" s="13"/>
    </row>
    <row r="11921" spans="12:13" x14ac:dyDescent="0.2">
      <c r="L11921" s="12"/>
      <c r="M11921" s="13"/>
    </row>
    <row r="11922" spans="12:13" x14ac:dyDescent="0.2">
      <c r="L11922" s="12"/>
      <c r="M11922" s="13"/>
    </row>
    <row r="11923" spans="12:13" x14ac:dyDescent="0.2">
      <c r="L11923" s="12"/>
      <c r="M11923" s="13"/>
    </row>
    <row r="11924" spans="12:13" x14ac:dyDescent="0.2">
      <c r="L11924" s="12"/>
      <c r="M11924" s="13"/>
    </row>
    <row r="11925" spans="12:13" x14ac:dyDescent="0.2">
      <c r="L11925" s="12"/>
      <c r="M11925" s="13"/>
    </row>
    <row r="11926" spans="12:13" x14ac:dyDescent="0.2">
      <c r="L11926" s="12"/>
      <c r="M11926" s="13"/>
    </row>
    <row r="11927" spans="12:13" x14ac:dyDescent="0.2">
      <c r="L11927" s="12"/>
      <c r="M11927" s="13"/>
    </row>
    <row r="11928" spans="12:13" x14ac:dyDescent="0.2">
      <c r="L11928" s="12"/>
      <c r="M11928" s="13"/>
    </row>
    <row r="11929" spans="12:13" x14ac:dyDescent="0.2">
      <c r="L11929" s="12"/>
      <c r="M11929" s="13"/>
    </row>
    <row r="11930" spans="12:13" x14ac:dyDescent="0.2">
      <c r="L11930" s="12"/>
      <c r="M11930" s="13"/>
    </row>
    <row r="11931" spans="12:13" x14ac:dyDescent="0.2">
      <c r="L11931" s="12"/>
      <c r="M11931" s="13"/>
    </row>
    <row r="11932" spans="12:13" x14ac:dyDescent="0.2">
      <c r="L11932" s="12"/>
      <c r="M11932" s="13"/>
    </row>
    <row r="11933" spans="12:13" x14ac:dyDescent="0.2">
      <c r="L11933" s="12"/>
      <c r="M11933" s="13"/>
    </row>
    <row r="11934" spans="12:13" x14ac:dyDescent="0.2">
      <c r="L11934" s="12"/>
      <c r="M11934" s="13"/>
    </row>
    <row r="11935" spans="12:13" x14ac:dyDescent="0.2">
      <c r="L11935" s="12"/>
      <c r="M11935" s="13"/>
    </row>
    <row r="11936" spans="12:13" x14ac:dyDescent="0.2">
      <c r="L11936" s="12"/>
      <c r="M11936" s="13"/>
    </row>
    <row r="11937" spans="12:13" x14ac:dyDescent="0.2">
      <c r="L11937" s="12"/>
      <c r="M11937" s="13"/>
    </row>
    <row r="11938" spans="12:13" x14ac:dyDescent="0.2">
      <c r="L11938" s="12"/>
      <c r="M11938" s="13"/>
    </row>
    <row r="11939" spans="12:13" x14ac:dyDescent="0.2">
      <c r="L11939" s="12"/>
      <c r="M11939" s="13"/>
    </row>
    <row r="11940" spans="12:13" x14ac:dyDescent="0.2">
      <c r="L11940" s="12"/>
      <c r="M11940" s="13"/>
    </row>
    <row r="11941" spans="12:13" x14ac:dyDescent="0.2">
      <c r="L11941" s="12"/>
      <c r="M11941" s="13"/>
    </row>
    <row r="11942" spans="12:13" x14ac:dyDescent="0.2">
      <c r="L11942" s="12"/>
      <c r="M11942" s="13"/>
    </row>
    <row r="11943" spans="12:13" x14ac:dyDescent="0.2">
      <c r="L11943" s="12"/>
      <c r="M11943" s="13"/>
    </row>
    <row r="11944" spans="12:13" x14ac:dyDescent="0.2">
      <c r="L11944" s="12"/>
      <c r="M11944" s="13"/>
    </row>
    <row r="11945" spans="12:13" x14ac:dyDescent="0.2">
      <c r="L11945" s="12"/>
      <c r="M11945" s="13"/>
    </row>
    <row r="11946" spans="12:13" x14ac:dyDescent="0.2">
      <c r="L11946" s="12"/>
      <c r="M11946" s="13"/>
    </row>
    <row r="11947" spans="12:13" x14ac:dyDescent="0.2">
      <c r="L11947" s="12"/>
      <c r="M11947" s="13"/>
    </row>
    <row r="11948" spans="12:13" x14ac:dyDescent="0.2">
      <c r="L11948" s="12"/>
      <c r="M11948" s="13"/>
    </row>
    <row r="11949" spans="12:13" x14ac:dyDescent="0.2">
      <c r="L11949" s="12"/>
      <c r="M11949" s="13"/>
    </row>
    <row r="11950" spans="12:13" x14ac:dyDescent="0.2">
      <c r="L11950" s="12"/>
      <c r="M11950" s="13"/>
    </row>
    <row r="11951" spans="12:13" x14ac:dyDescent="0.2">
      <c r="L11951" s="12"/>
      <c r="M11951" s="13"/>
    </row>
    <row r="11952" spans="12:13" x14ac:dyDescent="0.2">
      <c r="L11952" s="12"/>
      <c r="M11952" s="13"/>
    </row>
    <row r="11953" spans="12:13" x14ac:dyDescent="0.2">
      <c r="L11953" s="12"/>
      <c r="M11953" s="13"/>
    </row>
    <row r="11954" spans="12:13" x14ac:dyDescent="0.2">
      <c r="L11954" s="12"/>
      <c r="M11954" s="13"/>
    </row>
    <row r="11955" spans="12:13" x14ac:dyDescent="0.2">
      <c r="L11955" s="12"/>
      <c r="M11955" s="13"/>
    </row>
    <row r="11956" spans="12:13" x14ac:dyDescent="0.2">
      <c r="L11956" s="12"/>
      <c r="M11956" s="13"/>
    </row>
    <row r="11957" spans="12:13" x14ac:dyDescent="0.2">
      <c r="L11957" s="12"/>
      <c r="M11957" s="13"/>
    </row>
    <row r="11958" spans="12:13" x14ac:dyDescent="0.2">
      <c r="L11958" s="12"/>
      <c r="M11958" s="13"/>
    </row>
    <row r="11959" spans="12:13" x14ac:dyDescent="0.2">
      <c r="L11959" s="12"/>
      <c r="M11959" s="13"/>
    </row>
    <row r="11960" spans="12:13" x14ac:dyDescent="0.2">
      <c r="L11960" s="12"/>
      <c r="M11960" s="13"/>
    </row>
    <row r="11961" spans="12:13" x14ac:dyDescent="0.2">
      <c r="L11961" s="12"/>
      <c r="M11961" s="13"/>
    </row>
    <row r="11962" spans="12:13" x14ac:dyDescent="0.2">
      <c r="L11962" s="12"/>
      <c r="M11962" s="13"/>
    </row>
    <row r="11963" spans="12:13" x14ac:dyDescent="0.2">
      <c r="L11963" s="12"/>
      <c r="M11963" s="13"/>
    </row>
    <row r="11964" spans="12:13" x14ac:dyDescent="0.2">
      <c r="L11964" s="12"/>
      <c r="M11964" s="13"/>
    </row>
    <row r="11965" spans="12:13" x14ac:dyDescent="0.2">
      <c r="L11965" s="12"/>
      <c r="M11965" s="13"/>
    </row>
    <row r="11966" spans="12:13" x14ac:dyDescent="0.2">
      <c r="L11966" s="12"/>
      <c r="M11966" s="13"/>
    </row>
    <row r="11967" spans="12:13" x14ac:dyDescent="0.2">
      <c r="L11967" s="12"/>
      <c r="M11967" s="13"/>
    </row>
    <row r="11968" spans="12:13" x14ac:dyDescent="0.2">
      <c r="L11968" s="12"/>
      <c r="M11968" s="13"/>
    </row>
    <row r="11969" spans="12:13" x14ac:dyDescent="0.2">
      <c r="L11969" s="12"/>
      <c r="M11969" s="13"/>
    </row>
    <row r="11970" spans="12:13" x14ac:dyDescent="0.2">
      <c r="L11970" s="12"/>
      <c r="M11970" s="13"/>
    </row>
    <row r="11971" spans="12:13" x14ac:dyDescent="0.2">
      <c r="L11971" s="12"/>
      <c r="M11971" s="13"/>
    </row>
    <row r="11972" spans="12:13" x14ac:dyDescent="0.2">
      <c r="L11972" s="12"/>
      <c r="M11972" s="13"/>
    </row>
    <row r="11973" spans="12:13" x14ac:dyDescent="0.2">
      <c r="L11973" s="12"/>
      <c r="M11973" s="13"/>
    </row>
    <row r="11974" spans="12:13" x14ac:dyDescent="0.2">
      <c r="L11974" s="12"/>
      <c r="M11974" s="13"/>
    </row>
    <row r="11975" spans="12:13" x14ac:dyDescent="0.2">
      <c r="L11975" s="12"/>
      <c r="M11975" s="13"/>
    </row>
    <row r="11976" spans="12:13" x14ac:dyDescent="0.2">
      <c r="L11976" s="12"/>
      <c r="M11976" s="13"/>
    </row>
    <row r="11977" spans="12:13" x14ac:dyDescent="0.2">
      <c r="L11977" s="12"/>
      <c r="M11977" s="13"/>
    </row>
    <row r="11978" spans="12:13" x14ac:dyDescent="0.2">
      <c r="L11978" s="12"/>
      <c r="M11978" s="13"/>
    </row>
    <row r="11979" spans="12:13" x14ac:dyDescent="0.2">
      <c r="L11979" s="12"/>
      <c r="M11979" s="13"/>
    </row>
    <row r="11980" spans="12:13" x14ac:dyDescent="0.2">
      <c r="L11980" s="12"/>
      <c r="M11980" s="13"/>
    </row>
    <row r="11981" spans="12:13" x14ac:dyDescent="0.2">
      <c r="L11981" s="12"/>
      <c r="M11981" s="13"/>
    </row>
    <row r="11982" spans="12:13" x14ac:dyDescent="0.2">
      <c r="L11982" s="12"/>
      <c r="M11982" s="13"/>
    </row>
    <row r="11983" spans="12:13" x14ac:dyDescent="0.2">
      <c r="L11983" s="12"/>
      <c r="M11983" s="13"/>
    </row>
    <row r="11984" spans="12:13" x14ac:dyDescent="0.2">
      <c r="L11984" s="12"/>
      <c r="M11984" s="13"/>
    </row>
    <row r="11985" spans="12:13" x14ac:dyDescent="0.2">
      <c r="L11985" s="12"/>
      <c r="M11985" s="13"/>
    </row>
    <row r="11986" spans="12:13" x14ac:dyDescent="0.2">
      <c r="L11986" s="12"/>
      <c r="M11986" s="13"/>
    </row>
    <row r="11987" spans="12:13" x14ac:dyDescent="0.2">
      <c r="L11987" s="12"/>
      <c r="M11987" s="13"/>
    </row>
    <row r="11988" spans="12:13" x14ac:dyDescent="0.2">
      <c r="L11988" s="12"/>
      <c r="M11988" s="13"/>
    </row>
    <row r="11989" spans="12:13" x14ac:dyDescent="0.2">
      <c r="L11989" s="12"/>
      <c r="M11989" s="13"/>
    </row>
    <row r="11990" spans="12:13" x14ac:dyDescent="0.2">
      <c r="L11990" s="12"/>
      <c r="M11990" s="13"/>
    </row>
    <row r="11991" spans="12:13" x14ac:dyDescent="0.2">
      <c r="L11991" s="12"/>
      <c r="M11991" s="13"/>
    </row>
    <row r="11992" spans="12:13" x14ac:dyDescent="0.2">
      <c r="L11992" s="12"/>
      <c r="M11992" s="13"/>
    </row>
    <row r="11993" spans="12:13" x14ac:dyDescent="0.2">
      <c r="L11993" s="12"/>
      <c r="M11993" s="13"/>
    </row>
    <row r="11994" spans="12:13" x14ac:dyDescent="0.2">
      <c r="L11994" s="12"/>
      <c r="M11994" s="13"/>
    </row>
    <row r="11995" spans="12:13" x14ac:dyDescent="0.2">
      <c r="L11995" s="12"/>
      <c r="M11995" s="13"/>
    </row>
    <row r="11996" spans="12:13" x14ac:dyDescent="0.2">
      <c r="L11996" s="12"/>
      <c r="M11996" s="13"/>
    </row>
    <row r="11997" spans="12:13" x14ac:dyDescent="0.2">
      <c r="L11997" s="12"/>
      <c r="M11997" s="13"/>
    </row>
    <row r="11998" spans="12:13" x14ac:dyDescent="0.2">
      <c r="L11998" s="12"/>
      <c r="M11998" s="13"/>
    </row>
    <row r="11999" spans="12:13" x14ac:dyDescent="0.2">
      <c r="L11999" s="12"/>
      <c r="M11999" s="13"/>
    </row>
    <row r="12000" spans="12:13" x14ac:dyDescent="0.2">
      <c r="L12000" s="12"/>
      <c r="M12000" s="13"/>
    </row>
    <row r="12001" spans="12:13" x14ac:dyDescent="0.2">
      <c r="L12001" s="12"/>
      <c r="M12001" s="13"/>
    </row>
    <row r="12002" spans="12:13" x14ac:dyDescent="0.2">
      <c r="L12002" s="12"/>
      <c r="M12002" s="13"/>
    </row>
    <row r="12003" spans="12:13" x14ac:dyDescent="0.2">
      <c r="L12003" s="12"/>
      <c r="M12003" s="13"/>
    </row>
    <row r="12004" spans="12:13" x14ac:dyDescent="0.2">
      <c r="L12004" s="12"/>
      <c r="M12004" s="13"/>
    </row>
    <row r="12005" spans="12:13" x14ac:dyDescent="0.2">
      <c r="L12005" s="12"/>
      <c r="M12005" s="13"/>
    </row>
    <row r="12006" spans="12:13" x14ac:dyDescent="0.2">
      <c r="L12006" s="12"/>
      <c r="M12006" s="13"/>
    </row>
    <row r="12007" spans="12:13" x14ac:dyDescent="0.2">
      <c r="L12007" s="12"/>
      <c r="M12007" s="13"/>
    </row>
    <row r="12008" spans="12:13" x14ac:dyDescent="0.2">
      <c r="L12008" s="12"/>
      <c r="M12008" s="13"/>
    </row>
    <row r="12009" spans="12:13" x14ac:dyDescent="0.2">
      <c r="L12009" s="12"/>
      <c r="M12009" s="13"/>
    </row>
    <row r="12010" spans="12:13" x14ac:dyDescent="0.2">
      <c r="L12010" s="12"/>
      <c r="M12010" s="13"/>
    </row>
    <row r="12011" spans="12:13" x14ac:dyDescent="0.2">
      <c r="L12011" s="12"/>
      <c r="M12011" s="13"/>
    </row>
    <row r="12012" spans="12:13" x14ac:dyDescent="0.2">
      <c r="L12012" s="12"/>
      <c r="M12012" s="13"/>
    </row>
    <row r="12013" spans="12:13" x14ac:dyDescent="0.2">
      <c r="L12013" s="12"/>
      <c r="M12013" s="13"/>
    </row>
    <row r="12014" spans="12:13" x14ac:dyDescent="0.2">
      <c r="L12014" s="12"/>
      <c r="M12014" s="13"/>
    </row>
    <row r="12015" spans="12:13" x14ac:dyDescent="0.2">
      <c r="L12015" s="12"/>
      <c r="M12015" s="13"/>
    </row>
    <row r="12016" spans="12:13" x14ac:dyDescent="0.2">
      <c r="L12016" s="12"/>
      <c r="M12016" s="13"/>
    </row>
    <row r="12017" spans="12:13" x14ac:dyDescent="0.2">
      <c r="L12017" s="12"/>
      <c r="M12017" s="13"/>
    </row>
    <row r="12018" spans="12:13" x14ac:dyDescent="0.2">
      <c r="L12018" s="12"/>
      <c r="M12018" s="13"/>
    </row>
    <row r="12019" spans="12:13" x14ac:dyDescent="0.2">
      <c r="L12019" s="12"/>
      <c r="M12019" s="13"/>
    </row>
    <row r="12020" spans="12:13" x14ac:dyDescent="0.2">
      <c r="L12020" s="12"/>
      <c r="M12020" s="13"/>
    </row>
    <row r="12021" spans="12:13" x14ac:dyDescent="0.2">
      <c r="L12021" s="12"/>
      <c r="M12021" s="13"/>
    </row>
    <row r="12022" spans="12:13" x14ac:dyDescent="0.2">
      <c r="L12022" s="12"/>
      <c r="M12022" s="13"/>
    </row>
    <row r="12023" spans="12:13" x14ac:dyDescent="0.2">
      <c r="L12023" s="12"/>
      <c r="M12023" s="13"/>
    </row>
    <row r="12024" spans="12:13" x14ac:dyDescent="0.2">
      <c r="L12024" s="12"/>
      <c r="M12024" s="13"/>
    </row>
    <row r="12025" spans="12:13" x14ac:dyDescent="0.2">
      <c r="L12025" s="12"/>
      <c r="M12025" s="13"/>
    </row>
    <row r="12026" spans="12:13" x14ac:dyDescent="0.2">
      <c r="L12026" s="12"/>
      <c r="M12026" s="13"/>
    </row>
    <row r="12027" spans="12:13" x14ac:dyDescent="0.2">
      <c r="L12027" s="12"/>
      <c r="M12027" s="13"/>
    </row>
    <row r="12028" spans="12:13" x14ac:dyDescent="0.2">
      <c r="L12028" s="12"/>
      <c r="M12028" s="13"/>
    </row>
    <row r="12029" spans="12:13" x14ac:dyDescent="0.2">
      <c r="L12029" s="12"/>
      <c r="M12029" s="13"/>
    </row>
    <row r="12030" spans="12:13" x14ac:dyDescent="0.2">
      <c r="L12030" s="12"/>
      <c r="M12030" s="13"/>
    </row>
    <row r="12031" spans="12:13" x14ac:dyDescent="0.2">
      <c r="L12031" s="12"/>
      <c r="M12031" s="13"/>
    </row>
    <row r="12032" spans="12:13" x14ac:dyDescent="0.2">
      <c r="L12032" s="12"/>
      <c r="M12032" s="13"/>
    </row>
    <row r="12033" spans="12:13" x14ac:dyDescent="0.2">
      <c r="L12033" s="12"/>
      <c r="M12033" s="13"/>
    </row>
    <row r="12034" spans="12:13" x14ac:dyDescent="0.2">
      <c r="L12034" s="17"/>
      <c r="M12034" s="18"/>
    </row>
    <row r="12035" spans="12:13" x14ac:dyDescent="0.2">
      <c r="L12035" s="12"/>
      <c r="M12035" s="13"/>
    </row>
    <row r="12036" spans="12:13" x14ac:dyDescent="0.2">
      <c r="L12036" s="12"/>
      <c r="M12036" s="13"/>
    </row>
    <row r="12037" spans="12:13" x14ac:dyDescent="0.2">
      <c r="L12037" s="12"/>
      <c r="M12037" s="13"/>
    </row>
    <row r="12038" spans="12:13" x14ac:dyDescent="0.2">
      <c r="L12038" s="12"/>
      <c r="M12038" s="13"/>
    </row>
    <row r="12039" spans="12:13" x14ac:dyDescent="0.2">
      <c r="L12039" s="12"/>
      <c r="M12039" s="13"/>
    </row>
    <row r="12040" spans="12:13" x14ac:dyDescent="0.2">
      <c r="L12040" s="12"/>
      <c r="M12040" s="13"/>
    </row>
    <row r="12041" spans="12:13" x14ac:dyDescent="0.2">
      <c r="L12041" s="12"/>
      <c r="M12041" s="13"/>
    </row>
    <row r="12042" spans="12:13" x14ac:dyDescent="0.2">
      <c r="L12042" s="12"/>
      <c r="M12042" s="13"/>
    </row>
    <row r="12043" spans="12:13" x14ac:dyDescent="0.2">
      <c r="L12043" s="12"/>
      <c r="M12043" s="13"/>
    </row>
    <row r="12044" spans="12:13" x14ac:dyDescent="0.2">
      <c r="L12044" s="12"/>
      <c r="M12044" s="13"/>
    </row>
    <row r="12045" spans="12:13" x14ac:dyDescent="0.2">
      <c r="L12045" s="12"/>
      <c r="M12045" s="13"/>
    </row>
    <row r="12046" spans="12:13" x14ac:dyDescent="0.2">
      <c r="L12046" s="12"/>
      <c r="M12046" s="13"/>
    </row>
    <row r="12047" spans="12:13" x14ac:dyDescent="0.2">
      <c r="L12047" s="12"/>
      <c r="M12047" s="13"/>
    </row>
    <row r="12048" spans="12:13" x14ac:dyDescent="0.2">
      <c r="L12048" s="12"/>
      <c r="M12048" s="13"/>
    </row>
    <row r="12049" spans="12:13" x14ac:dyDescent="0.2">
      <c r="L12049" s="12"/>
      <c r="M12049" s="13"/>
    </row>
    <row r="12050" spans="12:13" x14ac:dyDescent="0.2">
      <c r="L12050" s="12"/>
      <c r="M12050" s="13"/>
    </row>
    <row r="12051" spans="12:13" x14ac:dyDescent="0.2">
      <c r="L12051" s="12"/>
      <c r="M12051" s="13"/>
    </row>
    <row r="12052" spans="12:13" x14ac:dyDescent="0.2">
      <c r="L12052" s="12"/>
      <c r="M12052" s="13"/>
    </row>
    <row r="12053" spans="12:13" x14ac:dyDescent="0.2">
      <c r="L12053" s="12"/>
      <c r="M12053" s="13"/>
    </row>
    <row r="12054" spans="12:13" x14ac:dyDescent="0.2">
      <c r="L12054" s="12"/>
      <c r="M12054" s="13"/>
    </row>
    <row r="12055" spans="12:13" x14ac:dyDescent="0.2">
      <c r="L12055" s="12"/>
      <c r="M12055" s="13"/>
    </row>
    <row r="12056" spans="12:13" x14ac:dyDescent="0.2">
      <c r="L12056" s="12"/>
      <c r="M12056" s="13"/>
    </row>
    <row r="12057" spans="12:13" x14ac:dyDescent="0.2">
      <c r="L12057" s="12"/>
      <c r="M12057" s="13"/>
    </row>
    <row r="12058" spans="12:13" x14ac:dyDescent="0.2">
      <c r="L12058" s="12"/>
      <c r="M12058" s="13"/>
    </row>
    <row r="12059" spans="12:13" x14ac:dyDescent="0.2">
      <c r="L12059" s="12"/>
      <c r="M12059" s="13"/>
    </row>
    <row r="12060" spans="12:13" x14ac:dyDescent="0.2">
      <c r="L12060" s="12"/>
      <c r="M12060" s="13"/>
    </row>
    <row r="12061" spans="12:13" x14ac:dyDescent="0.2">
      <c r="L12061" s="12"/>
      <c r="M12061" s="13"/>
    </row>
    <row r="12062" spans="12:13" x14ac:dyDescent="0.2">
      <c r="L12062" s="12"/>
      <c r="M12062" s="13"/>
    </row>
    <row r="12063" spans="12:13" x14ac:dyDescent="0.2">
      <c r="L12063" s="12"/>
      <c r="M12063" s="13"/>
    </row>
    <row r="12064" spans="12:13" x14ac:dyDescent="0.2">
      <c r="L12064" s="12"/>
      <c r="M12064" s="13"/>
    </row>
    <row r="12065" spans="12:13" x14ac:dyDescent="0.2">
      <c r="L12065" s="12"/>
      <c r="M12065" s="13"/>
    </row>
    <row r="12066" spans="12:13" x14ac:dyDescent="0.2">
      <c r="L12066" s="12"/>
      <c r="M12066" s="13"/>
    </row>
    <row r="12067" spans="12:13" x14ac:dyDescent="0.2">
      <c r="L12067" s="12"/>
      <c r="M12067" s="13"/>
    </row>
    <row r="12068" spans="12:13" x14ac:dyDescent="0.2">
      <c r="L12068" s="12"/>
      <c r="M12068" s="13"/>
    </row>
    <row r="12069" spans="12:13" x14ac:dyDescent="0.2">
      <c r="L12069" s="12"/>
      <c r="M12069" s="13"/>
    </row>
    <row r="12070" spans="12:13" x14ac:dyDescent="0.2">
      <c r="L12070" s="12"/>
      <c r="M12070" s="13"/>
    </row>
    <row r="12071" spans="12:13" x14ac:dyDescent="0.2">
      <c r="L12071" s="12"/>
      <c r="M12071" s="13"/>
    </row>
    <row r="12072" spans="12:13" x14ac:dyDescent="0.2">
      <c r="L12072" s="12"/>
      <c r="M12072" s="13"/>
    </row>
    <row r="12073" spans="12:13" x14ac:dyDescent="0.2">
      <c r="L12073" s="12"/>
      <c r="M12073" s="13"/>
    </row>
    <row r="12074" spans="12:13" x14ac:dyDescent="0.2">
      <c r="L12074" s="12"/>
      <c r="M12074" s="13"/>
    </row>
    <row r="12075" spans="12:13" x14ac:dyDescent="0.2">
      <c r="L12075" s="12"/>
      <c r="M12075" s="13"/>
    </row>
    <row r="12076" spans="12:13" x14ac:dyDescent="0.2">
      <c r="L12076" s="12"/>
      <c r="M12076" s="13"/>
    </row>
    <row r="12077" spans="12:13" x14ac:dyDescent="0.2">
      <c r="L12077" s="12"/>
      <c r="M12077" s="13"/>
    </row>
    <row r="12078" spans="12:13" x14ac:dyDescent="0.2">
      <c r="L12078" s="12"/>
      <c r="M12078" s="13"/>
    </row>
    <row r="12079" spans="12:13" x14ac:dyDescent="0.2">
      <c r="L12079" s="12"/>
      <c r="M12079" s="13"/>
    </row>
    <row r="12080" spans="12:13" x14ac:dyDescent="0.2">
      <c r="L12080" s="12"/>
      <c r="M12080" s="13"/>
    </row>
    <row r="12081" spans="12:13" x14ac:dyDescent="0.2">
      <c r="L12081" s="12"/>
      <c r="M12081" s="13"/>
    </row>
    <row r="12082" spans="12:13" x14ac:dyDescent="0.2">
      <c r="L12082" s="12"/>
      <c r="M12082" s="13"/>
    </row>
    <row r="12083" spans="12:13" x14ac:dyDescent="0.2">
      <c r="L12083" s="12"/>
      <c r="M12083" s="13"/>
    </row>
    <row r="12084" spans="12:13" x14ac:dyDescent="0.2">
      <c r="L12084" s="12"/>
      <c r="M12084" s="13"/>
    </row>
    <row r="12085" spans="12:13" x14ac:dyDescent="0.2">
      <c r="L12085" s="12"/>
      <c r="M12085" s="13"/>
    </row>
    <row r="12086" spans="12:13" x14ac:dyDescent="0.2">
      <c r="L12086" s="12"/>
      <c r="M12086" s="13"/>
    </row>
    <row r="12087" spans="12:13" x14ac:dyDescent="0.2">
      <c r="L12087" s="12"/>
      <c r="M12087" s="13"/>
    </row>
    <row r="12088" spans="12:13" x14ac:dyDescent="0.2">
      <c r="L12088" s="12"/>
      <c r="M12088" s="13"/>
    </row>
    <row r="12089" spans="12:13" x14ac:dyDescent="0.2">
      <c r="L12089" s="12"/>
      <c r="M12089" s="13"/>
    </row>
    <row r="12090" spans="12:13" x14ac:dyDescent="0.2">
      <c r="L12090" s="12"/>
      <c r="M12090" s="13"/>
    </row>
    <row r="12091" spans="12:13" x14ac:dyDescent="0.2">
      <c r="L12091" s="12"/>
      <c r="M12091" s="13"/>
    </row>
    <row r="12092" spans="12:13" x14ac:dyDescent="0.2">
      <c r="L12092" s="12"/>
      <c r="M12092" s="13"/>
    </row>
    <row r="12093" spans="12:13" x14ac:dyDescent="0.2">
      <c r="L12093" s="12"/>
      <c r="M12093" s="13"/>
    </row>
    <row r="12094" spans="12:13" x14ac:dyDescent="0.2">
      <c r="L12094" s="12"/>
      <c r="M12094" s="13"/>
    </row>
    <row r="12095" spans="12:13" x14ac:dyDescent="0.2">
      <c r="L12095" s="12"/>
      <c r="M12095" s="13"/>
    </row>
    <row r="12096" spans="12:13" x14ac:dyDescent="0.2">
      <c r="L12096" s="12"/>
      <c r="M12096" s="13"/>
    </row>
    <row r="12097" spans="12:13" x14ac:dyDescent="0.2">
      <c r="L12097" s="12"/>
      <c r="M12097" s="13"/>
    </row>
    <row r="12098" spans="12:13" x14ac:dyDescent="0.2">
      <c r="L12098" s="12"/>
      <c r="M12098" s="13"/>
    </row>
    <row r="12099" spans="12:13" x14ac:dyDescent="0.2">
      <c r="L12099" s="12"/>
      <c r="M12099" s="13"/>
    </row>
    <row r="12100" spans="12:13" x14ac:dyDescent="0.2">
      <c r="L12100" s="12"/>
      <c r="M12100" s="13"/>
    </row>
    <row r="12101" spans="12:13" x14ac:dyDescent="0.2">
      <c r="L12101" s="12"/>
      <c r="M12101" s="13"/>
    </row>
    <row r="12102" spans="12:13" x14ac:dyDescent="0.2">
      <c r="L12102" s="12"/>
      <c r="M12102" s="13"/>
    </row>
    <row r="12103" spans="12:13" x14ac:dyDescent="0.2">
      <c r="L12103" s="12"/>
      <c r="M12103" s="13"/>
    </row>
    <row r="12104" spans="12:13" x14ac:dyDescent="0.2">
      <c r="L12104" s="12"/>
      <c r="M12104" s="13"/>
    </row>
    <row r="12105" spans="12:13" x14ac:dyDescent="0.2">
      <c r="L12105" s="12"/>
      <c r="M12105" s="13"/>
    </row>
    <row r="12106" spans="12:13" x14ac:dyDescent="0.2">
      <c r="L12106" s="12"/>
      <c r="M12106" s="13"/>
    </row>
    <row r="12107" spans="12:13" x14ac:dyDescent="0.2">
      <c r="L12107" s="12"/>
      <c r="M12107" s="13"/>
    </row>
    <row r="12108" spans="12:13" x14ac:dyDescent="0.2">
      <c r="L12108" s="12"/>
      <c r="M12108" s="13"/>
    </row>
    <row r="12109" spans="12:13" x14ac:dyDescent="0.2">
      <c r="L12109" s="12"/>
      <c r="M12109" s="13"/>
    </row>
    <row r="12110" spans="12:13" x14ac:dyDescent="0.2">
      <c r="L12110" s="12"/>
      <c r="M12110" s="13"/>
    </row>
    <row r="12111" spans="12:13" x14ac:dyDescent="0.2">
      <c r="L12111" s="12"/>
      <c r="M12111" s="13"/>
    </row>
    <row r="12112" spans="12:13" x14ac:dyDescent="0.2">
      <c r="L12112" s="12"/>
      <c r="M12112" s="13"/>
    </row>
    <row r="12113" spans="12:13" x14ac:dyDescent="0.2">
      <c r="L12113" s="12"/>
      <c r="M12113" s="13"/>
    </row>
    <row r="12114" spans="12:13" x14ac:dyDescent="0.2">
      <c r="L12114" s="12"/>
      <c r="M12114" s="13"/>
    </row>
    <row r="12115" spans="12:13" x14ac:dyDescent="0.2">
      <c r="L12115" s="12"/>
      <c r="M12115" s="13"/>
    </row>
    <row r="12116" spans="12:13" x14ac:dyDescent="0.2">
      <c r="L12116" s="12"/>
      <c r="M12116" s="13"/>
    </row>
    <row r="12117" spans="12:13" x14ac:dyDescent="0.2">
      <c r="L12117" s="12"/>
      <c r="M12117" s="13"/>
    </row>
    <row r="12118" spans="12:13" x14ac:dyDescent="0.2">
      <c r="L12118" s="12"/>
      <c r="M12118" s="13"/>
    </row>
    <row r="12119" spans="12:13" x14ac:dyDescent="0.2">
      <c r="L12119" s="12"/>
      <c r="M12119" s="13"/>
    </row>
    <row r="12120" spans="12:13" x14ac:dyDescent="0.2">
      <c r="L12120" s="12"/>
      <c r="M12120" s="13"/>
    </row>
    <row r="12121" spans="12:13" x14ac:dyDescent="0.2">
      <c r="L12121" s="12"/>
      <c r="M12121" s="13"/>
    </row>
    <row r="12122" spans="12:13" x14ac:dyDescent="0.2">
      <c r="L12122" s="12"/>
      <c r="M12122" s="13"/>
    </row>
    <row r="12123" spans="12:13" x14ac:dyDescent="0.2">
      <c r="L12123" s="12"/>
      <c r="M12123" s="13"/>
    </row>
    <row r="12124" spans="12:13" x14ac:dyDescent="0.2">
      <c r="L12124" s="12"/>
      <c r="M12124" s="13"/>
    </row>
    <row r="12125" spans="12:13" x14ac:dyDescent="0.2">
      <c r="L12125" s="12"/>
      <c r="M12125" s="13"/>
    </row>
    <row r="12126" spans="12:13" x14ac:dyDescent="0.2">
      <c r="L12126" s="12"/>
      <c r="M12126" s="13"/>
    </row>
    <row r="12127" spans="12:13" x14ac:dyDescent="0.2">
      <c r="L12127" s="12"/>
      <c r="M12127" s="13"/>
    </row>
    <row r="12128" spans="12:13" x14ac:dyDescent="0.2">
      <c r="L12128" s="12"/>
      <c r="M12128" s="13"/>
    </row>
    <row r="12129" spans="12:13" x14ac:dyDescent="0.2">
      <c r="L12129" s="12"/>
      <c r="M12129" s="13"/>
    </row>
    <row r="12130" spans="12:13" x14ac:dyDescent="0.2">
      <c r="L12130" s="12"/>
      <c r="M12130" s="13"/>
    </row>
    <row r="12131" spans="12:13" x14ac:dyDescent="0.2">
      <c r="L12131" s="12"/>
      <c r="M12131" s="13"/>
    </row>
    <row r="12132" spans="12:13" x14ac:dyDescent="0.2">
      <c r="L12132" s="12"/>
      <c r="M12132" s="13"/>
    </row>
    <row r="12133" spans="12:13" x14ac:dyDescent="0.2">
      <c r="L12133" s="12"/>
      <c r="M12133" s="13"/>
    </row>
    <row r="12134" spans="12:13" x14ac:dyDescent="0.2">
      <c r="L12134" s="12"/>
      <c r="M12134" s="13"/>
    </row>
    <row r="12135" spans="12:13" x14ac:dyDescent="0.2">
      <c r="L12135" s="12"/>
      <c r="M12135" s="13"/>
    </row>
    <row r="12136" spans="12:13" x14ac:dyDescent="0.2">
      <c r="L12136" s="12"/>
      <c r="M12136" s="13"/>
    </row>
    <row r="12137" spans="12:13" x14ac:dyDescent="0.2">
      <c r="L12137" s="12"/>
      <c r="M12137" s="13"/>
    </row>
    <row r="12138" spans="12:13" x14ac:dyDescent="0.2">
      <c r="L12138" s="12"/>
      <c r="M12138" s="13"/>
    </row>
    <row r="12139" spans="12:13" x14ac:dyDescent="0.2">
      <c r="L12139" s="12"/>
      <c r="M12139" s="13"/>
    </row>
    <row r="12140" spans="12:13" x14ac:dyDescent="0.2">
      <c r="L12140" s="12"/>
      <c r="M12140" s="13"/>
    </row>
    <row r="12141" spans="12:13" x14ac:dyDescent="0.2">
      <c r="L12141" s="12"/>
      <c r="M12141" s="13"/>
    </row>
    <row r="12142" spans="12:13" x14ac:dyDescent="0.2">
      <c r="L12142" s="12"/>
      <c r="M12142" s="13"/>
    </row>
    <row r="12143" spans="12:13" x14ac:dyDescent="0.2">
      <c r="L12143" s="12"/>
      <c r="M12143" s="13"/>
    </row>
    <row r="12144" spans="12:13" x14ac:dyDescent="0.2">
      <c r="L12144" s="12"/>
      <c r="M12144" s="13"/>
    </row>
    <row r="12145" spans="12:13" x14ac:dyDescent="0.2">
      <c r="L12145" s="12"/>
      <c r="M12145" s="13"/>
    </row>
    <row r="12146" spans="12:13" x14ac:dyDescent="0.2">
      <c r="L12146" s="12"/>
      <c r="M12146" s="13"/>
    </row>
    <row r="12147" spans="12:13" x14ac:dyDescent="0.2">
      <c r="L12147" s="12"/>
      <c r="M12147" s="13"/>
    </row>
    <row r="12148" spans="12:13" x14ac:dyDescent="0.2">
      <c r="L12148" s="12"/>
      <c r="M12148" s="13"/>
    </row>
    <row r="12149" spans="12:13" x14ac:dyDescent="0.2">
      <c r="L12149" s="12"/>
      <c r="M12149" s="13"/>
    </row>
    <row r="12150" spans="12:13" x14ac:dyDescent="0.2">
      <c r="L12150" s="12"/>
      <c r="M12150" s="13"/>
    </row>
    <row r="12151" spans="12:13" x14ac:dyDescent="0.2">
      <c r="L12151" s="12"/>
      <c r="M12151" s="13"/>
    </row>
    <row r="12152" spans="12:13" x14ac:dyDescent="0.2">
      <c r="L12152" s="12"/>
      <c r="M12152" s="13"/>
    </row>
    <row r="12153" spans="12:13" x14ac:dyDescent="0.2">
      <c r="L12153" s="12"/>
      <c r="M12153" s="13"/>
    </row>
    <row r="12154" spans="12:13" x14ac:dyDescent="0.2">
      <c r="L12154" s="12"/>
      <c r="M12154" s="13"/>
    </row>
    <row r="12155" spans="12:13" x14ac:dyDescent="0.2">
      <c r="L12155" s="12"/>
      <c r="M12155" s="13"/>
    </row>
    <row r="12156" spans="12:13" x14ac:dyDescent="0.2">
      <c r="L12156" s="12"/>
      <c r="M12156" s="13"/>
    </row>
    <row r="12157" spans="12:13" x14ac:dyDescent="0.2">
      <c r="L12157" s="12"/>
      <c r="M12157" s="13"/>
    </row>
    <row r="12158" spans="12:13" x14ac:dyDescent="0.2">
      <c r="L12158" s="12"/>
      <c r="M12158" s="13"/>
    </row>
    <row r="12159" spans="12:13" x14ac:dyDescent="0.2">
      <c r="L12159" s="12"/>
      <c r="M12159" s="13"/>
    </row>
    <row r="12160" spans="12:13" x14ac:dyDescent="0.2">
      <c r="L12160" s="12"/>
      <c r="M12160" s="13"/>
    </row>
    <row r="12161" spans="12:13" x14ac:dyDescent="0.2">
      <c r="L12161" s="12"/>
      <c r="M12161" s="13"/>
    </row>
    <row r="12162" spans="12:13" x14ac:dyDescent="0.2">
      <c r="L12162" s="12"/>
      <c r="M12162" s="13"/>
    </row>
    <row r="12163" spans="12:13" x14ac:dyDescent="0.2">
      <c r="L12163" s="12"/>
      <c r="M12163" s="13"/>
    </row>
    <row r="12164" spans="12:13" x14ac:dyDescent="0.2">
      <c r="L12164" s="12"/>
      <c r="M12164" s="13"/>
    </row>
    <row r="12165" spans="12:13" x14ac:dyDescent="0.2">
      <c r="L12165" s="12"/>
      <c r="M12165" s="13"/>
    </row>
    <row r="12166" spans="12:13" x14ac:dyDescent="0.2">
      <c r="L12166" s="12"/>
      <c r="M12166" s="13"/>
    </row>
    <row r="12167" spans="12:13" x14ac:dyDescent="0.2">
      <c r="L12167" s="12"/>
      <c r="M12167" s="13"/>
    </row>
    <row r="12168" spans="12:13" x14ac:dyDescent="0.2">
      <c r="L12168" s="12"/>
      <c r="M12168" s="13"/>
    </row>
    <row r="12169" spans="12:13" x14ac:dyDescent="0.2">
      <c r="L12169" s="12"/>
      <c r="M12169" s="13"/>
    </row>
    <row r="12170" spans="12:13" x14ac:dyDescent="0.2">
      <c r="L12170" s="12"/>
      <c r="M12170" s="13"/>
    </row>
    <row r="12171" spans="12:13" x14ac:dyDescent="0.2">
      <c r="L12171" s="12"/>
      <c r="M12171" s="13"/>
    </row>
    <row r="12172" spans="12:13" x14ac:dyDescent="0.2">
      <c r="L12172" s="12"/>
      <c r="M12172" s="13"/>
    </row>
    <row r="12173" spans="12:13" x14ac:dyDescent="0.2">
      <c r="L12173" s="12"/>
      <c r="M12173" s="13"/>
    </row>
    <row r="12174" spans="12:13" x14ac:dyDescent="0.2">
      <c r="L12174" s="12"/>
      <c r="M12174" s="13"/>
    </row>
    <row r="12175" spans="12:13" x14ac:dyDescent="0.2">
      <c r="L12175" s="12"/>
      <c r="M12175" s="13"/>
    </row>
    <row r="12176" spans="12:13" x14ac:dyDescent="0.2">
      <c r="L12176" s="12"/>
      <c r="M12176" s="13"/>
    </row>
    <row r="12177" spans="12:13" x14ac:dyDescent="0.2">
      <c r="L12177" s="12"/>
      <c r="M12177" s="13"/>
    </row>
    <row r="12178" spans="12:13" x14ac:dyDescent="0.2">
      <c r="L12178" s="12"/>
      <c r="M12178" s="13"/>
    </row>
    <row r="12179" spans="12:13" x14ac:dyDescent="0.2">
      <c r="L12179" s="12"/>
      <c r="M12179" s="13"/>
    </row>
    <row r="12180" spans="12:13" x14ac:dyDescent="0.2">
      <c r="L12180" s="12"/>
      <c r="M12180" s="13"/>
    </row>
    <row r="12181" spans="12:13" x14ac:dyDescent="0.2">
      <c r="L12181" s="12"/>
      <c r="M12181" s="13"/>
    </row>
    <row r="12182" spans="12:13" x14ac:dyDescent="0.2">
      <c r="L12182" s="12"/>
      <c r="M12182" s="13"/>
    </row>
    <row r="12183" spans="12:13" x14ac:dyDescent="0.2">
      <c r="L12183" s="12"/>
      <c r="M12183" s="13"/>
    </row>
    <row r="12184" spans="12:13" x14ac:dyDescent="0.2">
      <c r="L12184" s="12"/>
      <c r="M12184" s="13"/>
    </row>
    <row r="12185" spans="12:13" x14ac:dyDescent="0.2">
      <c r="L12185" s="12"/>
      <c r="M12185" s="13"/>
    </row>
    <row r="12186" spans="12:13" x14ac:dyDescent="0.2">
      <c r="L12186" s="12"/>
      <c r="M12186" s="13"/>
    </row>
    <row r="12187" spans="12:13" x14ac:dyDescent="0.2">
      <c r="L12187" s="12"/>
      <c r="M12187" s="13"/>
    </row>
    <row r="12188" spans="12:13" x14ac:dyDescent="0.2">
      <c r="L12188" s="12"/>
      <c r="M12188" s="13"/>
    </row>
    <row r="12189" spans="12:13" x14ac:dyDescent="0.2">
      <c r="L12189" s="12"/>
      <c r="M12189" s="13"/>
    </row>
    <row r="12190" spans="12:13" x14ac:dyDescent="0.2">
      <c r="L12190" s="12"/>
      <c r="M12190" s="13"/>
    </row>
    <row r="12191" spans="12:13" x14ac:dyDescent="0.2">
      <c r="L12191" s="12"/>
      <c r="M12191" s="13"/>
    </row>
    <row r="12192" spans="12:13" x14ac:dyDescent="0.2">
      <c r="L12192" s="12"/>
      <c r="M12192" s="13"/>
    </row>
    <row r="12193" spans="12:13" x14ac:dyDescent="0.2">
      <c r="L12193" s="12"/>
      <c r="M12193" s="13"/>
    </row>
    <row r="12194" spans="12:13" x14ac:dyDescent="0.2">
      <c r="L12194" s="12"/>
      <c r="M12194" s="13"/>
    </row>
    <row r="12195" spans="12:13" x14ac:dyDescent="0.2">
      <c r="L12195" s="12"/>
      <c r="M12195" s="13"/>
    </row>
    <row r="12196" spans="12:13" x14ac:dyDescent="0.2">
      <c r="L12196" s="12"/>
      <c r="M12196" s="13"/>
    </row>
    <row r="12197" spans="12:13" x14ac:dyDescent="0.2">
      <c r="L12197" s="12"/>
      <c r="M12197" s="13"/>
    </row>
    <row r="12198" spans="12:13" x14ac:dyDescent="0.2">
      <c r="L12198" s="12"/>
      <c r="M12198" s="13"/>
    </row>
    <row r="12199" spans="12:13" x14ac:dyDescent="0.2">
      <c r="L12199" s="12"/>
      <c r="M12199" s="13"/>
    </row>
    <row r="12200" spans="12:13" x14ac:dyDescent="0.2">
      <c r="L12200" s="12"/>
      <c r="M12200" s="13"/>
    </row>
    <row r="12201" spans="12:13" x14ac:dyDescent="0.2">
      <c r="L12201" s="12"/>
      <c r="M12201" s="13"/>
    </row>
    <row r="12202" spans="12:13" x14ac:dyDescent="0.2">
      <c r="L12202" s="12"/>
      <c r="M12202" s="13"/>
    </row>
    <row r="12203" spans="12:13" x14ac:dyDescent="0.2">
      <c r="L12203" s="12"/>
      <c r="M12203" s="13"/>
    </row>
    <row r="12204" spans="12:13" x14ac:dyDescent="0.2">
      <c r="L12204" s="12"/>
      <c r="M12204" s="13"/>
    </row>
    <row r="12205" spans="12:13" x14ac:dyDescent="0.2">
      <c r="L12205" s="12"/>
      <c r="M12205" s="13"/>
    </row>
    <row r="12206" spans="12:13" x14ac:dyDescent="0.2">
      <c r="L12206" s="12"/>
      <c r="M12206" s="13"/>
    </row>
    <row r="12207" spans="12:13" x14ac:dyDescent="0.2">
      <c r="L12207" s="12"/>
      <c r="M12207" s="13"/>
    </row>
    <row r="12208" spans="12:13" x14ac:dyDescent="0.2">
      <c r="L12208" s="12"/>
      <c r="M12208" s="13"/>
    </row>
    <row r="12209" spans="12:13" x14ac:dyDescent="0.2">
      <c r="L12209" s="12"/>
      <c r="M12209" s="13"/>
    </row>
    <row r="12210" spans="12:13" x14ac:dyDescent="0.2">
      <c r="L12210" s="12"/>
      <c r="M12210" s="13"/>
    </row>
    <row r="12211" spans="12:13" x14ac:dyDescent="0.2">
      <c r="L12211" s="12"/>
      <c r="M12211" s="13"/>
    </row>
    <row r="12212" spans="12:13" x14ac:dyDescent="0.2">
      <c r="L12212" s="12"/>
      <c r="M12212" s="13"/>
    </row>
    <row r="12213" spans="12:13" x14ac:dyDescent="0.2">
      <c r="L12213" s="12"/>
      <c r="M12213" s="13"/>
    </row>
    <row r="12214" spans="12:13" x14ac:dyDescent="0.2">
      <c r="L12214" s="12"/>
      <c r="M12214" s="13"/>
    </row>
    <row r="12215" spans="12:13" x14ac:dyDescent="0.2">
      <c r="L12215" s="12"/>
      <c r="M12215" s="13"/>
    </row>
    <row r="12216" spans="12:13" x14ac:dyDescent="0.2">
      <c r="L12216" s="12"/>
      <c r="M12216" s="13"/>
    </row>
    <row r="12217" spans="12:13" x14ac:dyDescent="0.2">
      <c r="L12217" s="12"/>
      <c r="M12217" s="13"/>
    </row>
    <row r="12218" spans="12:13" x14ac:dyDescent="0.2">
      <c r="L12218" s="12"/>
      <c r="M12218" s="13"/>
    </row>
    <row r="12219" spans="12:13" x14ac:dyDescent="0.2">
      <c r="L12219" s="12"/>
      <c r="M12219" s="13"/>
    </row>
    <row r="12220" spans="12:13" x14ac:dyDescent="0.2">
      <c r="L12220" s="12"/>
      <c r="M12220" s="13"/>
    </row>
    <row r="12221" spans="12:13" x14ac:dyDescent="0.2">
      <c r="L12221" s="12"/>
      <c r="M12221" s="13"/>
    </row>
    <row r="12222" spans="12:13" x14ac:dyDescent="0.2">
      <c r="L12222" s="12"/>
      <c r="M12222" s="13"/>
    </row>
    <row r="12223" spans="12:13" x14ac:dyDescent="0.2">
      <c r="L12223" s="12"/>
      <c r="M12223" s="13"/>
    </row>
    <row r="12224" spans="12:13" x14ac:dyDescent="0.2">
      <c r="L12224" s="12"/>
      <c r="M12224" s="13"/>
    </row>
    <row r="12225" spans="12:13" x14ac:dyDescent="0.2">
      <c r="L12225" s="12"/>
      <c r="M12225" s="13"/>
    </row>
    <row r="12226" spans="12:13" x14ac:dyDescent="0.2">
      <c r="L12226" s="12"/>
      <c r="M12226" s="13"/>
    </row>
    <row r="12227" spans="12:13" x14ac:dyDescent="0.2">
      <c r="L12227" s="12"/>
      <c r="M12227" s="13"/>
    </row>
    <row r="12228" spans="12:13" x14ac:dyDescent="0.2">
      <c r="L12228" s="12"/>
      <c r="M12228" s="13"/>
    </row>
    <row r="12229" spans="12:13" x14ac:dyDescent="0.2">
      <c r="L12229" s="12"/>
      <c r="M12229" s="13"/>
    </row>
    <row r="12230" spans="12:13" x14ac:dyDescent="0.2">
      <c r="L12230" s="12"/>
      <c r="M12230" s="13"/>
    </row>
    <row r="12231" spans="12:13" x14ac:dyDescent="0.2">
      <c r="L12231" s="12"/>
      <c r="M12231" s="13"/>
    </row>
    <row r="12232" spans="12:13" x14ac:dyDescent="0.2">
      <c r="L12232" s="12"/>
      <c r="M12232" s="13"/>
    </row>
    <row r="12233" spans="12:13" x14ac:dyDescent="0.2">
      <c r="L12233" s="12"/>
      <c r="M12233" s="13"/>
    </row>
    <row r="12234" spans="12:13" x14ac:dyDescent="0.2">
      <c r="L12234" s="12"/>
      <c r="M12234" s="13"/>
    </row>
    <row r="12235" spans="12:13" x14ac:dyDescent="0.2">
      <c r="L12235" s="12"/>
      <c r="M12235" s="13"/>
    </row>
    <row r="12236" spans="12:13" x14ac:dyDescent="0.2">
      <c r="L12236" s="12"/>
      <c r="M12236" s="13"/>
    </row>
    <row r="12237" spans="12:13" x14ac:dyDescent="0.2">
      <c r="L12237" s="12"/>
      <c r="M12237" s="13"/>
    </row>
    <row r="12238" spans="12:13" x14ac:dyDescent="0.2">
      <c r="L12238" s="12"/>
      <c r="M12238" s="13"/>
    </row>
    <row r="12239" spans="12:13" x14ac:dyDescent="0.2">
      <c r="L12239" s="12"/>
      <c r="M12239" s="13"/>
    </row>
    <row r="12240" spans="12:13" x14ac:dyDescent="0.2">
      <c r="L12240" s="12"/>
      <c r="M12240" s="13"/>
    </row>
    <row r="12241" spans="12:13" x14ac:dyDescent="0.2">
      <c r="L12241" s="12"/>
      <c r="M12241" s="13"/>
    </row>
    <row r="12242" spans="12:13" x14ac:dyDescent="0.2">
      <c r="L12242" s="12"/>
      <c r="M12242" s="13"/>
    </row>
    <row r="12243" spans="12:13" x14ac:dyDescent="0.2">
      <c r="L12243" s="12"/>
      <c r="M12243" s="13"/>
    </row>
    <row r="12244" spans="12:13" x14ac:dyDescent="0.2">
      <c r="L12244" s="12"/>
      <c r="M12244" s="13"/>
    </row>
    <row r="12245" spans="12:13" x14ac:dyDescent="0.2">
      <c r="L12245" s="12"/>
      <c r="M12245" s="13"/>
    </row>
    <row r="12246" spans="12:13" x14ac:dyDescent="0.2">
      <c r="L12246" s="12"/>
      <c r="M12246" s="13"/>
    </row>
    <row r="12247" spans="12:13" x14ac:dyDescent="0.2">
      <c r="L12247" s="12"/>
      <c r="M12247" s="13"/>
    </row>
    <row r="12248" spans="12:13" x14ac:dyDescent="0.2">
      <c r="L12248" s="12"/>
      <c r="M12248" s="13"/>
    </row>
    <row r="12249" spans="12:13" x14ac:dyDescent="0.2">
      <c r="L12249" s="12"/>
      <c r="M12249" s="13"/>
    </row>
    <row r="12250" spans="12:13" x14ac:dyDescent="0.2">
      <c r="L12250" s="12"/>
      <c r="M12250" s="13"/>
    </row>
    <row r="12251" spans="12:13" x14ac:dyDescent="0.2">
      <c r="L12251" s="12"/>
      <c r="M12251" s="13"/>
    </row>
    <row r="12252" spans="12:13" x14ac:dyDescent="0.2">
      <c r="L12252" s="12"/>
      <c r="M12252" s="13"/>
    </row>
    <row r="12253" spans="12:13" x14ac:dyDescent="0.2">
      <c r="L12253" s="12"/>
      <c r="M12253" s="13"/>
    </row>
    <row r="12254" spans="12:13" x14ac:dyDescent="0.2">
      <c r="L12254" s="12"/>
      <c r="M12254" s="13"/>
    </row>
    <row r="12255" spans="12:13" x14ac:dyDescent="0.2">
      <c r="L12255" s="12"/>
      <c r="M12255" s="13"/>
    </row>
    <row r="12256" spans="12:13" x14ac:dyDescent="0.2">
      <c r="L12256" s="12"/>
      <c r="M12256" s="13"/>
    </row>
    <row r="12257" spans="12:13" x14ac:dyDescent="0.2">
      <c r="L12257" s="12"/>
      <c r="M12257" s="13"/>
    </row>
    <row r="12258" spans="12:13" x14ac:dyDescent="0.2">
      <c r="L12258" s="12"/>
      <c r="M12258" s="13"/>
    </row>
    <row r="12259" spans="12:13" x14ac:dyDescent="0.2">
      <c r="L12259" s="12"/>
      <c r="M12259" s="13"/>
    </row>
    <row r="12260" spans="12:13" x14ac:dyDescent="0.2">
      <c r="L12260" s="12"/>
      <c r="M12260" s="13"/>
    </row>
    <row r="12261" spans="12:13" x14ac:dyDescent="0.2">
      <c r="L12261" s="12"/>
      <c r="M12261" s="13"/>
    </row>
    <row r="12262" spans="12:13" x14ac:dyDescent="0.2">
      <c r="L12262" s="12"/>
      <c r="M12262" s="13"/>
    </row>
    <row r="12263" spans="12:13" x14ac:dyDescent="0.2">
      <c r="L12263" s="12"/>
      <c r="M12263" s="13"/>
    </row>
    <row r="12264" spans="12:13" x14ac:dyDescent="0.2">
      <c r="L12264" s="12"/>
      <c r="M12264" s="13"/>
    </row>
    <row r="12265" spans="12:13" x14ac:dyDescent="0.2">
      <c r="L12265" s="12"/>
      <c r="M12265" s="13"/>
    </row>
    <row r="12266" spans="12:13" x14ac:dyDescent="0.2">
      <c r="L12266" s="12"/>
      <c r="M12266" s="13"/>
    </row>
    <row r="12267" spans="12:13" x14ac:dyDescent="0.2">
      <c r="L12267" s="12"/>
      <c r="M12267" s="13"/>
    </row>
    <row r="12268" spans="12:13" x14ac:dyDescent="0.2">
      <c r="L12268" s="12"/>
      <c r="M12268" s="13"/>
    </row>
    <row r="12269" spans="12:13" x14ac:dyDescent="0.2">
      <c r="L12269" s="12"/>
      <c r="M12269" s="13"/>
    </row>
    <row r="12270" spans="12:13" x14ac:dyDescent="0.2">
      <c r="L12270" s="12"/>
      <c r="M12270" s="13"/>
    </row>
    <row r="12271" spans="12:13" x14ac:dyDescent="0.2">
      <c r="L12271" s="12"/>
      <c r="M12271" s="13"/>
    </row>
    <row r="12272" spans="12:13" x14ac:dyDescent="0.2">
      <c r="L12272" s="12"/>
      <c r="M12272" s="13"/>
    </row>
    <row r="12273" spans="12:13" x14ac:dyDescent="0.2">
      <c r="L12273" s="12"/>
      <c r="M12273" s="13"/>
    </row>
    <row r="12274" spans="12:13" x14ac:dyDescent="0.2">
      <c r="L12274" s="12"/>
      <c r="M12274" s="13"/>
    </row>
    <row r="12275" spans="12:13" x14ac:dyDescent="0.2">
      <c r="L12275" s="12"/>
      <c r="M12275" s="13"/>
    </row>
    <row r="12276" spans="12:13" x14ac:dyDescent="0.2">
      <c r="L12276" s="12"/>
      <c r="M12276" s="13"/>
    </row>
    <row r="12277" spans="12:13" x14ac:dyDescent="0.2">
      <c r="L12277" s="12"/>
      <c r="M12277" s="13"/>
    </row>
    <row r="12278" spans="12:13" x14ac:dyDescent="0.2">
      <c r="L12278" s="12"/>
      <c r="M12278" s="13"/>
    </row>
    <row r="12279" spans="12:13" x14ac:dyDescent="0.2">
      <c r="L12279" s="12"/>
      <c r="M12279" s="13"/>
    </row>
    <row r="12280" spans="12:13" x14ac:dyDescent="0.2">
      <c r="L12280" s="12"/>
      <c r="M12280" s="13"/>
    </row>
    <row r="12281" spans="12:13" x14ac:dyDescent="0.2">
      <c r="L12281" s="12"/>
      <c r="M12281" s="13"/>
    </row>
    <row r="12282" spans="12:13" x14ac:dyDescent="0.2">
      <c r="L12282" s="12"/>
      <c r="M12282" s="13"/>
    </row>
    <row r="12283" spans="12:13" x14ac:dyDescent="0.2">
      <c r="L12283" s="12"/>
      <c r="M12283" s="13"/>
    </row>
    <row r="12284" spans="12:13" x14ac:dyDescent="0.2">
      <c r="L12284" s="12"/>
      <c r="M12284" s="13"/>
    </row>
    <row r="12285" spans="12:13" x14ac:dyDescent="0.2">
      <c r="L12285" s="12"/>
      <c r="M12285" s="13"/>
    </row>
    <row r="12286" spans="12:13" x14ac:dyDescent="0.2">
      <c r="L12286" s="12"/>
      <c r="M12286" s="13"/>
    </row>
    <row r="12287" spans="12:13" x14ac:dyDescent="0.2">
      <c r="L12287" s="12"/>
      <c r="M12287" s="13"/>
    </row>
    <row r="12288" spans="12:13" x14ac:dyDescent="0.2">
      <c r="L12288" s="12"/>
      <c r="M12288" s="13"/>
    </row>
    <row r="12289" spans="12:13" x14ac:dyDescent="0.2">
      <c r="L12289" s="12"/>
      <c r="M12289" s="13"/>
    </row>
    <row r="12290" spans="12:13" x14ac:dyDescent="0.2">
      <c r="L12290" s="17"/>
      <c r="M12290" s="18"/>
    </row>
    <row r="12291" spans="12:13" x14ac:dyDescent="0.2">
      <c r="L12291" s="12"/>
      <c r="M12291" s="13"/>
    </row>
    <row r="12292" spans="12:13" x14ac:dyDescent="0.2">
      <c r="L12292" s="12"/>
      <c r="M12292" s="13"/>
    </row>
    <row r="12293" spans="12:13" x14ac:dyDescent="0.2">
      <c r="L12293" s="12"/>
      <c r="M12293" s="13"/>
    </row>
    <row r="12294" spans="12:13" x14ac:dyDescent="0.2">
      <c r="L12294" s="12"/>
      <c r="M12294" s="13"/>
    </row>
    <row r="12295" spans="12:13" x14ac:dyDescent="0.2">
      <c r="L12295" s="12"/>
      <c r="M12295" s="13"/>
    </row>
    <row r="12296" spans="12:13" x14ac:dyDescent="0.2">
      <c r="L12296" s="12"/>
      <c r="M12296" s="13"/>
    </row>
    <row r="12297" spans="12:13" x14ac:dyDescent="0.2">
      <c r="L12297" s="12"/>
      <c r="M12297" s="13"/>
    </row>
    <row r="12298" spans="12:13" x14ac:dyDescent="0.2">
      <c r="L12298" s="12"/>
      <c r="M12298" s="13"/>
    </row>
    <row r="12299" spans="12:13" x14ac:dyDescent="0.2">
      <c r="L12299" s="12"/>
      <c r="M12299" s="13"/>
    </row>
    <row r="12300" spans="12:13" x14ac:dyDescent="0.2">
      <c r="L12300" s="12"/>
      <c r="M12300" s="13"/>
    </row>
    <row r="12301" spans="12:13" x14ac:dyDescent="0.2">
      <c r="L12301" s="12"/>
      <c r="M12301" s="13"/>
    </row>
    <row r="12302" spans="12:13" x14ac:dyDescent="0.2">
      <c r="L12302" s="12"/>
      <c r="M12302" s="13"/>
    </row>
    <row r="12303" spans="12:13" x14ac:dyDescent="0.2">
      <c r="L12303" s="12"/>
      <c r="M12303" s="13"/>
    </row>
    <row r="12304" spans="12:13" x14ac:dyDescent="0.2">
      <c r="L12304" s="12"/>
      <c r="M12304" s="13"/>
    </row>
    <row r="12305" spans="12:13" x14ac:dyDescent="0.2">
      <c r="L12305" s="12"/>
      <c r="M12305" s="13"/>
    </row>
    <row r="12306" spans="12:13" x14ac:dyDescent="0.2">
      <c r="L12306" s="12"/>
      <c r="M12306" s="13"/>
    </row>
    <row r="12307" spans="12:13" x14ac:dyDescent="0.2">
      <c r="L12307" s="12"/>
      <c r="M12307" s="13"/>
    </row>
    <row r="12308" spans="12:13" x14ac:dyDescent="0.2">
      <c r="L12308" s="12"/>
      <c r="M12308" s="13"/>
    </row>
    <row r="12309" spans="12:13" x14ac:dyDescent="0.2">
      <c r="L12309" s="12"/>
      <c r="M12309" s="13"/>
    </row>
    <row r="12310" spans="12:13" x14ac:dyDescent="0.2">
      <c r="L12310" s="12"/>
      <c r="M12310" s="13"/>
    </row>
    <row r="12311" spans="12:13" x14ac:dyDescent="0.2">
      <c r="L12311" s="12"/>
      <c r="M12311" s="13"/>
    </row>
    <row r="12312" spans="12:13" x14ac:dyDescent="0.2">
      <c r="L12312" s="12"/>
      <c r="M12312" s="13"/>
    </row>
    <row r="12313" spans="12:13" x14ac:dyDescent="0.2">
      <c r="L12313" s="12"/>
      <c r="M12313" s="13"/>
    </row>
    <row r="12314" spans="12:13" x14ac:dyDescent="0.2">
      <c r="L12314" s="12"/>
      <c r="M12314" s="13"/>
    </row>
    <row r="12315" spans="12:13" x14ac:dyDescent="0.2">
      <c r="L12315" s="12"/>
      <c r="M12315" s="13"/>
    </row>
    <row r="12316" spans="12:13" x14ac:dyDescent="0.2">
      <c r="L12316" s="12"/>
      <c r="M12316" s="13"/>
    </row>
    <row r="12317" spans="12:13" x14ac:dyDescent="0.2">
      <c r="L12317" s="12"/>
      <c r="M12317" s="13"/>
    </row>
    <row r="12318" spans="12:13" x14ac:dyDescent="0.2">
      <c r="L12318" s="12"/>
      <c r="M12318" s="13"/>
    </row>
    <row r="12319" spans="12:13" x14ac:dyDescent="0.2">
      <c r="L12319" s="12"/>
      <c r="M12319" s="13"/>
    </row>
    <row r="12320" spans="12:13" x14ac:dyDescent="0.2">
      <c r="L12320" s="12"/>
      <c r="M12320" s="13"/>
    </row>
    <row r="12321" spans="12:13" x14ac:dyDescent="0.2">
      <c r="L12321" s="12"/>
      <c r="M12321" s="13"/>
    </row>
    <row r="12322" spans="12:13" x14ac:dyDescent="0.2">
      <c r="L12322" s="12"/>
      <c r="M12322" s="13"/>
    </row>
    <row r="12323" spans="12:13" x14ac:dyDescent="0.2">
      <c r="L12323" s="12"/>
      <c r="M12323" s="13"/>
    </row>
    <row r="12324" spans="12:13" x14ac:dyDescent="0.2">
      <c r="L12324" s="12"/>
      <c r="M12324" s="13"/>
    </row>
    <row r="12325" spans="12:13" x14ac:dyDescent="0.2">
      <c r="L12325" s="12"/>
      <c r="M12325" s="13"/>
    </row>
    <row r="12326" spans="12:13" x14ac:dyDescent="0.2">
      <c r="L12326" s="12"/>
      <c r="M12326" s="13"/>
    </row>
    <row r="12327" spans="12:13" x14ac:dyDescent="0.2">
      <c r="L12327" s="12"/>
      <c r="M12327" s="13"/>
    </row>
    <row r="12328" spans="12:13" x14ac:dyDescent="0.2">
      <c r="L12328" s="12"/>
      <c r="M12328" s="13"/>
    </row>
    <row r="12329" spans="12:13" x14ac:dyDescent="0.2">
      <c r="L12329" s="12"/>
      <c r="M12329" s="13"/>
    </row>
    <row r="12330" spans="12:13" x14ac:dyDescent="0.2">
      <c r="L12330" s="12"/>
      <c r="M12330" s="13"/>
    </row>
    <row r="12331" spans="12:13" x14ac:dyDescent="0.2">
      <c r="L12331" s="12"/>
      <c r="M12331" s="13"/>
    </row>
    <row r="12332" spans="12:13" x14ac:dyDescent="0.2">
      <c r="L12332" s="12"/>
      <c r="M12332" s="13"/>
    </row>
    <row r="12333" spans="12:13" x14ac:dyDescent="0.2">
      <c r="L12333" s="12"/>
      <c r="M12333" s="13"/>
    </row>
    <row r="12334" spans="12:13" x14ac:dyDescent="0.2">
      <c r="L12334" s="12"/>
      <c r="M12334" s="13"/>
    </row>
    <row r="12335" spans="12:13" x14ac:dyDescent="0.2">
      <c r="L12335" s="12"/>
      <c r="M12335" s="13"/>
    </row>
    <row r="12336" spans="12:13" x14ac:dyDescent="0.2">
      <c r="L12336" s="12"/>
      <c r="M12336" s="13"/>
    </row>
    <row r="12337" spans="12:13" x14ac:dyDescent="0.2">
      <c r="L12337" s="12"/>
      <c r="M12337" s="13"/>
    </row>
    <row r="12338" spans="12:13" x14ac:dyDescent="0.2">
      <c r="L12338" s="12"/>
      <c r="M12338" s="13"/>
    </row>
    <row r="12339" spans="12:13" x14ac:dyDescent="0.2">
      <c r="L12339" s="12"/>
      <c r="M12339" s="13"/>
    </row>
    <row r="12340" spans="12:13" x14ac:dyDescent="0.2">
      <c r="L12340" s="12"/>
      <c r="M12340" s="13"/>
    </row>
    <row r="12341" spans="12:13" x14ac:dyDescent="0.2">
      <c r="L12341" s="12"/>
      <c r="M12341" s="13"/>
    </row>
    <row r="12342" spans="12:13" x14ac:dyDescent="0.2">
      <c r="L12342" s="12"/>
      <c r="M12342" s="13"/>
    </row>
    <row r="12343" spans="12:13" x14ac:dyDescent="0.2">
      <c r="L12343" s="12"/>
      <c r="M12343" s="13"/>
    </row>
    <row r="12344" spans="12:13" x14ac:dyDescent="0.2">
      <c r="L12344" s="12"/>
      <c r="M12344" s="13"/>
    </row>
    <row r="12345" spans="12:13" x14ac:dyDescent="0.2">
      <c r="L12345" s="12"/>
      <c r="M12345" s="13"/>
    </row>
    <row r="12346" spans="12:13" x14ac:dyDescent="0.2">
      <c r="L12346" s="12"/>
      <c r="M12346" s="13"/>
    </row>
    <row r="12347" spans="12:13" x14ac:dyDescent="0.2">
      <c r="L12347" s="12"/>
      <c r="M12347" s="13"/>
    </row>
    <row r="12348" spans="12:13" x14ac:dyDescent="0.2">
      <c r="L12348" s="12"/>
      <c r="M12348" s="13"/>
    </row>
    <row r="12349" spans="12:13" x14ac:dyDescent="0.2">
      <c r="L12349" s="12"/>
      <c r="M12349" s="13"/>
    </row>
    <row r="12350" spans="12:13" x14ac:dyDescent="0.2">
      <c r="L12350" s="12"/>
      <c r="M12350" s="13"/>
    </row>
    <row r="12351" spans="12:13" x14ac:dyDescent="0.2">
      <c r="L12351" s="12"/>
      <c r="M12351" s="13"/>
    </row>
    <row r="12352" spans="12:13" x14ac:dyDescent="0.2">
      <c r="L12352" s="12"/>
      <c r="M12352" s="13"/>
    </row>
    <row r="12353" spans="12:13" x14ac:dyDescent="0.2">
      <c r="L12353" s="12"/>
      <c r="M12353" s="13"/>
    </row>
    <row r="12354" spans="12:13" x14ac:dyDescent="0.2">
      <c r="L12354" s="12"/>
      <c r="M12354" s="13"/>
    </row>
    <row r="12355" spans="12:13" x14ac:dyDescent="0.2">
      <c r="L12355" s="12"/>
      <c r="M12355" s="13"/>
    </row>
    <row r="12356" spans="12:13" x14ac:dyDescent="0.2">
      <c r="L12356" s="12"/>
      <c r="M12356" s="13"/>
    </row>
    <row r="12357" spans="12:13" x14ac:dyDescent="0.2">
      <c r="L12357" s="12"/>
      <c r="M12357" s="13"/>
    </row>
    <row r="12358" spans="12:13" x14ac:dyDescent="0.2">
      <c r="L12358" s="12"/>
      <c r="M12358" s="13"/>
    </row>
    <row r="12359" spans="12:13" x14ac:dyDescent="0.2">
      <c r="L12359" s="12"/>
      <c r="M12359" s="13"/>
    </row>
    <row r="12360" spans="12:13" x14ac:dyDescent="0.2">
      <c r="L12360" s="12"/>
      <c r="M12360" s="13"/>
    </row>
    <row r="12361" spans="12:13" x14ac:dyDescent="0.2">
      <c r="L12361" s="12"/>
      <c r="M12361" s="13"/>
    </row>
    <row r="12362" spans="12:13" x14ac:dyDescent="0.2">
      <c r="L12362" s="12"/>
      <c r="M12362" s="13"/>
    </row>
    <row r="12363" spans="12:13" x14ac:dyDescent="0.2">
      <c r="L12363" s="12"/>
      <c r="M12363" s="13"/>
    </row>
    <row r="12364" spans="12:13" x14ac:dyDescent="0.2">
      <c r="L12364" s="12"/>
      <c r="M12364" s="13"/>
    </row>
    <row r="12365" spans="12:13" x14ac:dyDescent="0.2">
      <c r="L12365" s="12"/>
      <c r="M12365" s="13"/>
    </row>
    <row r="12366" spans="12:13" x14ac:dyDescent="0.2">
      <c r="L12366" s="12"/>
      <c r="M12366" s="13"/>
    </row>
    <row r="12367" spans="12:13" x14ac:dyDescent="0.2">
      <c r="L12367" s="12"/>
      <c r="M12367" s="13"/>
    </row>
    <row r="12368" spans="12:13" x14ac:dyDescent="0.2">
      <c r="L12368" s="12"/>
      <c r="M12368" s="13"/>
    </row>
    <row r="12369" spans="12:13" x14ac:dyDescent="0.2">
      <c r="L12369" s="12"/>
      <c r="M12369" s="13"/>
    </row>
    <row r="12370" spans="12:13" x14ac:dyDescent="0.2">
      <c r="L12370" s="12"/>
      <c r="M12370" s="13"/>
    </row>
    <row r="12371" spans="12:13" x14ac:dyDescent="0.2">
      <c r="L12371" s="12"/>
      <c r="M12371" s="13"/>
    </row>
    <row r="12372" spans="12:13" x14ac:dyDescent="0.2">
      <c r="L12372" s="12"/>
      <c r="M12372" s="13"/>
    </row>
    <row r="12373" spans="12:13" x14ac:dyDescent="0.2">
      <c r="L12373" s="12"/>
      <c r="M12373" s="13"/>
    </row>
    <row r="12374" spans="12:13" x14ac:dyDescent="0.2">
      <c r="L12374" s="12"/>
      <c r="M12374" s="13"/>
    </row>
    <row r="12375" spans="12:13" x14ac:dyDescent="0.2">
      <c r="L12375" s="12"/>
      <c r="M12375" s="13"/>
    </row>
    <row r="12376" spans="12:13" x14ac:dyDescent="0.2">
      <c r="L12376" s="12"/>
      <c r="M12376" s="13"/>
    </row>
    <row r="12377" spans="12:13" x14ac:dyDescent="0.2">
      <c r="L12377" s="12"/>
      <c r="M12377" s="13"/>
    </row>
    <row r="12378" spans="12:13" x14ac:dyDescent="0.2">
      <c r="L12378" s="12"/>
      <c r="M12378" s="13"/>
    </row>
    <row r="12379" spans="12:13" x14ac:dyDescent="0.2">
      <c r="L12379" s="12"/>
      <c r="M12379" s="13"/>
    </row>
    <row r="12380" spans="12:13" x14ac:dyDescent="0.2">
      <c r="L12380" s="12"/>
      <c r="M12380" s="13"/>
    </row>
    <row r="12381" spans="12:13" x14ac:dyDescent="0.2">
      <c r="L12381" s="12"/>
      <c r="M12381" s="13"/>
    </row>
    <row r="12382" spans="12:13" x14ac:dyDescent="0.2">
      <c r="L12382" s="12"/>
      <c r="M12382" s="13"/>
    </row>
    <row r="12383" spans="12:13" x14ac:dyDescent="0.2">
      <c r="L12383" s="12"/>
      <c r="M12383" s="13"/>
    </row>
    <row r="12384" spans="12:13" x14ac:dyDescent="0.2">
      <c r="L12384" s="12"/>
      <c r="M12384" s="13"/>
    </row>
    <row r="12385" spans="12:13" x14ac:dyDescent="0.2">
      <c r="L12385" s="12"/>
      <c r="M12385" s="13"/>
    </row>
    <row r="12386" spans="12:13" x14ac:dyDescent="0.2">
      <c r="L12386" s="12"/>
      <c r="M12386" s="13"/>
    </row>
    <row r="12387" spans="12:13" x14ac:dyDescent="0.2">
      <c r="L12387" s="12"/>
      <c r="M12387" s="13"/>
    </row>
    <row r="12388" spans="12:13" x14ac:dyDescent="0.2">
      <c r="L12388" s="12"/>
      <c r="M12388" s="13"/>
    </row>
    <row r="12389" spans="12:13" x14ac:dyDescent="0.2">
      <c r="L12389" s="12"/>
      <c r="M12389" s="13"/>
    </row>
    <row r="12390" spans="12:13" x14ac:dyDescent="0.2">
      <c r="L12390" s="12"/>
      <c r="M12390" s="13"/>
    </row>
    <row r="12391" spans="12:13" x14ac:dyDescent="0.2">
      <c r="L12391" s="12"/>
      <c r="M12391" s="13"/>
    </row>
    <row r="12392" spans="12:13" x14ac:dyDescent="0.2">
      <c r="L12392" s="12"/>
      <c r="M12392" s="13"/>
    </row>
    <row r="12393" spans="12:13" x14ac:dyDescent="0.2">
      <c r="L12393" s="12"/>
      <c r="M12393" s="13"/>
    </row>
    <row r="12394" spans="12:13" x14ac:dyDescent="0.2">
      <c r="L12394" s="12"/>
      <c r="M12394" s="13"/>
    </row>
    <row r="12395" spans="12:13" x14ac:dyDescent="0.2">
      <c r="L12395" s="12"/>
      <c r="M12395" s="13"/>
    </row>
    <row r="12396" spans="12:13" x14ac:dyDescent="0.2">
      <c r="L12396" s="12"/>
      <c r="M12396" s="13"/>
    </row>
    <row r="12397" spans="12:13" x14ac:dyDescent="0.2">
      <c r="L12397" s="12"/>
      <c r="M12397" s="13"/>
    </row>
    <row r="12398" spans="12:13" x14ac:dyDescent="0.2">
      <c r="L12398" s="12"/>
      <c r="M12398" s="13"/>
    </row>
    <row r="12399" spans="12:13" x14ac:dyDescent="0.2">
      <c r="L12399" s="12"/>
      <c r="M12399" s="13"/>
    </row>
    <row r="12400" spans="12:13" x14ac:dyDescent="0.2">
      <c r="L12400" s="12"/>
      <c r="M12400" s="13"/>
    </row>
    <row r="12401" spans="12:13" x14ac:dyDescent="0.2">
      <c r="L12401" s="12"/>
      <c r="M12401" s="13"/>
    </row>
    <row r="12402" spans="12:13" x14ac:dyDescent="0.2">
      <c r="L12402" s="12"/>
      <c r="M12402" s="13"/>
    </row>
    <row r="12403" spans="12:13" x14ac:dyDescent="0.2">
      <c r="L12403" s="12"/>
      <c r="M12403" s="13"/>
    </row>
    <row r="12404" spans="12:13" x14ac:dyDescent="0.2">
      <c r="L12404" s="12"/>
      <c r="M12404" s="13"/>
    </row>
    <row r="12405" spans="12:13" x14ac:dyDescent="0.2">
      <c r="L12405" s="12"/>
      <c r="M12405" s="13"/>
    </row>
    <row r="12406" spans="12:13" x14ac:dyDescent="0.2">
      <c r="L12406" s="12"/>
      <c r="M12406" s="13"/>
    </row>
    <row r="12407" spans="12:13" x14ac:dyDescent="0.2">
      <c r="L12407" s="12"/>
      <c r="M12407" s="13"/>
    </row>
    <row r="12408" spans="12:13" x14ac:dyDescent="0.2">
      <c r="L12408" s="12"/>
      <c r="M12408" s="13"/>
    </row>
    <row r="12409" spans="12:13" x14ac:dyDescent="0.2">
      <c r="L12409" s="12"/>
      <c r="M12409" s="13"/>
    </row>
    <row r="12410" spans="12:13" x14ac:dyDescent="0.2">
      <c r="L12410" s="12"/>
      <c r="M12410" s="13"/>
    </row>
    <row r="12411" spans="12:13" x14ac:dyDescent="0.2">
      <c r="L12411" s="12"/>
      <c r="M12411" s="13"/>
    </row>
    <row r="12412" spans="12:13" x14ac:dyDescent="0.2">
      <c r="L12412" s="12"/>
      <c r="M12412" s="13"/>
    </row>
    <row r="12413" spans="12:13" x14ac:dyDescent="0.2">
      <c r="L12413" s="12"/>
      <c r="M12413" s="13"/>
    </row>
    <row r="12414" spans="12:13" x14ac:dyDescent="0.2">
      <c r="L12414" s="12"/>
      <c r="M12414" s="13"/>
    </row>
    <row r="12415" spans="12:13" x14ac:dyDescent="0.2">
      <c r="L12415" s="12"/>
      <c r="M12415" s="13"/>
    </row>
    <row r="12416" spans="12:13" x14ac:dyDescent="0.2">
      <c r="L12416" s="12"/>
      <c r="M12416" s="13"/>
    </row>
    <row r="12417" spans="12:13" x14ac:dyDescent="0.2">
      <c r="L12417" s="12"/>
      <c r="M12417" s="13"/>
    </row>
    <row r="12418" spans="12:13" x14ac:dyDescent="0.2">
      <c r="L12418" s="12"/>
      <c r="M12418" s="13"/>
    </row>
    <row r="12419" spans="12:13" x14ac:dyDescent="0.2">
      <c r="L12419" s="12"/>
      <c r="M12419" s="13"/>
    </row>
    <row r="12420" spans="12:13" x14ac:dyDescent="0.2">
      <c r="L12420" s="12"/>
      <c r="M12420" s="13"/>
    </row>
    <row r="12421" spans="12:13" x14ac:dyDescent="0.2">
      <c r="L12421" s="12"/>
      <c r="M12421" s="13"/>
    </row>
    <row r="12422" spans="12:13" x14ac:dyDescent="0.2">
      <c r="L12422" s="12"/>
      <c r="M12422" s="13"/>
    </row>
    <row r="12423" spans="12:13" x14ac:dyDescent="0.2">
      <c r="L12423" s="12"/>
      <c r="M12423" s="13"/>
    </row>
    <row r="12424" spans="12:13" x14ac:dyDescent="0.2">
      <c r="L12424" s="12"/>
      <c r="M12424" s="13"/>
    </row>
    <row r="12425" spans="12:13" x14ac:dyDescent="0.2">
      <c r="L12425" s="12"/>
      <c r="M12425" s="13"/>
    </row>
    <row r="12426" spans="12:13" x14ac:dyDescent="0.2">
      <c r="L12426" s="12"/>
      <c r="M12426" s="13"/>
    </row>
    <row r="12427" spans="12:13" x14ac:dyDescent="0.2">
      <c r="L12427" s="12"/>
      <c r="M12427" s="13"/>
    </row>
    <row r="12428" spans="12:13" x14ac:dyDescent="0.2">
      <c r="L12428" s="12"/>
      <c r="M12428" s="13"/>
    </row>
    <row r="12429" spans="12:13" x14ac:dyDescent="0.2">
      <c r="L12429" s="12"/>
      <c r="M12429" s="13"/>
    </row>
    <row r="12430" spans="12:13" x14ac:dyDescent="0.2">
      <c r="L12430" s="12"/>
      <c r="M12430" s="13"/>
    </row>
    <row r="12431" spans="12:13" x14ac:dyDescent="0.2">
      <c r="L12431" s="12"/>
      <c r="M12431" s="13"/>
    </row>
    <row r="12432" spans="12:13" x14ac:dyDescent="0.2">
      <c r="L12432" s="12"/>
      <c r="M12432" s="13"/>
    </row>
    <row r="12433" spans="12:13" x14ac:dyDescent="0.2">
      <c r="L12433" s="12"/>
      <c r="M12433" s="13"/>
    </row>
    <row r="12434" spans="12:13" x14ac:dyDescent="0.2">
      <c r="L12434" s="12"/>
      <c r="M12434" s="13"/>
    </row>
    <row r="12435" spans="12:13" x14ac:dyDescent="0.2">
      <c r="L12435" s="12"/>
      <c r="M12435" s="13"/>
    </row>
    <row r="12436" spans="12:13" x14ac:dyDescent="0.2">
      <c r="L12436" s="12"/>
      <c r="M12436" s="13"/>
    </row>
    <row r="12437" spans="12:13" x14ac:dyDescent="0.2">
      <c r="L12437" s="12"/>
      <c r="M12437" s="13"/>
    </row>
    <row r="12438" spans="12:13" x14ac:dyDescent="0.2">
      <c r="L12438" s="12"/>
      <c r="M12438" s="13"/>
    </row>
    <row r="12439" spans="12:13" x14ac:dyDescent="0.2">
      <c r="L12439" s="12"/>
      <c r="M12439" s="13"/>
    </row>
    <row r="12440" spans="12:13" x14ac:dyDescent="0.2">
      <c r="L12440" s="12"/>
      <c r="M12440" s="13"/>
    </row>
    <row r="12441" spans="12:13" x14ac:dyDescent="0.2">
      <c r="L12441" s="12"/>
      <c r="M12441" s="13"/>
    </row>
    <row r="12442" spans="12:13" x14ac:dyDescent="0.2">
      <c r="L12442" s="12"/>
      <c r="M12442" s="13"/>
    </row>
    <row r="12443" spans="12:13" x14ac:dyDescent="0.2">
      <c r="L12443" s="12"/>
      <c r="M12443" s="13"/>
    </row>
    <row r="12444" spans="12:13" x14ac:dyDescent="0.2">
      <c r="L12444" s="12"/>
      <c r="M12444" s="13"/>
    </row>
    <row r="12445" spans="12:13" x14ac:dyDescent="0.2">
      <c r="L12445" s="12"/>
      <c r="M12445" s="13"/>
    </row>
    <row r="12446" spans="12:13" x14ac:dyDescent="0.2">
      <c r="L12446" s="12"/>
      <c r="M12446" s="13"/>
    </row>
    <row r="12447" spans="12:13" x14ac:dyDescent="0.2">
      <c r="L12447" s="12"/>
      <c r="M12447" s="13"/>
    </row>
    <row r="12448" spans="12:13" x14ac:dyDescent="0.2">
      <c r="L12448" s="12"/>
      <c r="M12448" s="13"/>
    </row>
    <row r="12449" spans="12:13" x14ac:dyDescent="0.2">
      <c r="L12449" s="12"/>
      <c r="M12449" s="13"/>
    </row>
    <row r="12450" spans="12:13" x14ac:dyDescent="0.2">
      <c r="L12450" s="12"/>
      <c r="M12450" s="13"/>
    </row>
    <row r="12451" spans="12:13" x14ac:dyDescent="0.2">
      <c r="L12451" s="12"/>
      <c r="M12451" s="13"/>
    </row>
    <row r="12452" spans="12:13" x14ac:dyDescent="0.2">
      <c r="L12452" s="12"/>
      <c r="M12452" s="13"/>
    </row>
    <row r="12453" spans="12:13" x14ac:dyDescent="0.2">
      <c r="L12453" s="12"/>
      <c r="M12453" s="13"/>
    </row>
    <row r="12454" spans="12:13" x14ac:dyDescent="0.2">
      <c r="L12454" s="12"/>
      <c r="M12454" s="13"/>
    </row>
    <row r="12455" spans="12:13" x14ac:dyDescent="0.2">
      <c r="L12455" s="12"/>
      <c r="M12455" s="13"/>
    </row>
    <row r="12456" spans="12:13" x14ac:dyDescent="0.2">
      <c r="L12456" s="12"/>
      <c r="M12456" s="13"/>
    </row>
    <row r="12457" spans="12:13" x14ac:dyDescent="0.2">
      <c r="L12457" s="12"/>
      <c r="M12457" s="13"/>
    </row>
    <row r="12458" spans="12:13" x14ac:dyDescent="0.2">
      <c r="L12458" s="12"/>
      <c r="M12458" s="13"/>
    </row>
    <row r="12459" spans="12:13" x14ac:dyDescent="0.2">
      <c r="L12459" s="12"/>
      <c r="M12459" s="13"/>
    </row>
    <row r="12460" spans="12:13" x14ac:dyDescent="0.2">
      <c r="L12460" s="12"/>
      <c r="M12460" s="13"/>
    </row>
    <row r="12461" spans="12:13" x14ac:dyDescent="0.2">
      <c r="L12461" s="12"/>
      <c r="M12461" s="13"/>
    </row>
    <row r="12462" spans="12:13" x14ac:dyDescent="0.2">
      <c r="L12462" s="12"/>
      <c r="M12462" s="13"/>
    </row>
    <row r="12463" spans="12:13" x14ac:dyDescent="0.2">
      <c r="L12463" s="12"/>
      <c r="M12463" s="13"/>
    </row>
    <row r="12464" spans="12:13" x14ac:dyDescent="0.2">
      <c r="L12464" s="12"/>
      <c r="M12464" s="13"/>
    </row>
    <row r="12465" spans="12:13" x14ac:dyDescent="0.2">
      <c r="L12465" s="12"/>
      <c r="M12465" s="13"/>
    </row>
    <row r="12466" spans="12:13" x14ac:dyDescent="0.2">
      <c r="L12466" s="12"/>
      <c r="M12466" s="13"/>
    </row>
    <row r="12467" spans="12:13" x14ac:dyDescent="0.2">
      <c r="L12467" s="12"/>
      <c r="M12467" s="13"/>
    </row>
    <row r="12468" spans="12:13" x14ac:dyDescent="0.2">
      <c r="L12468" s="12"/>
      <c r="M12468" s="13"/>
    </row>
    <row r="12469" spans="12:13" x14ac:dyDescent="0.2">
      <c r="L12469" s="12"/>
      <c r="M12469" s="13"/>
    </row>
    <row r="12470" spans="12:13" x14ac:dyDescent="0.2">
      <c r="L12470" s="12"/>
      <c r="M12470" s="13"/>
    </row>
    <row r="12471" spans="12:13" x14ac:dyDescent="0.2">
      <c r="L12471" s="12"/>
      <c r="M12471" s="13"/>
    </row>
    <row r="12472" spans="12:13" x14ac:dyDescent="0.2">
      <c r="L12472" s="12"/>
      <c r="M12472" s="13"/>
    </row>
    <row r="12473" spans="12:13" x14ac:dyDescent="0.2">
      <c r="L12473" s="12"/>
      <c r="M12473" s="13"/>
    </row>
    <row r="12474" spans="12:13" x14ac:dyDescent="0.2">
      <c r="L12474" s="12"/>
      <c r="M12474" s="13"/>
    </row>
    <row r="12475" spans="12:13" x14ac:dyDescent="0.2">
      <c r="L12475" s="12"/>
      <c r="M12475" s="13"/>
    </row>
    <row r="12476" spans="12:13" x14ac:dyDescent="0.2">
      <c r="L12476" s="12"/>
      <c r="M12476" s="13"/>
    </row>
    <row r="12477" spans="12:13" x14ac:dyDescent="0.2">
      <c r="L12477" s="12"/>
      <c r="M12477" s="13"/>
    </row>
    <row r="12478" spans="12:13" x14ac:dyDescent="0.2">
      <c r="L12478" s="12"/>
      <c r="M12478" s="13"/>
    </row>
    <row r="12479" spans="12:13" x14ac:dyDescent="0.2">
      <c r="L12479" s="12"/>
      <c r="M12479" s="13"/>
    </row>
    <row r="12480" spans="12:13" x14ac:dyDescent="0.2">
      <c r="L12480" s="12"/>
      <c r="M12480" s="13"/>
    </row>
    <row r="12481" spans="12:13" x14ac:dyDescent="0.2">
      <c r="L12481" s="12"/>
      <c r="M12481" s="13"/>
    </row>
    <row r="12482" spans="12:13" x14ac:dyDescent="0.2">
      <c r="L12482" s="12"/>
      <c r="M12482" s="13"/>
    </row>
    <row r="12483" spans="12:13" x14ac:dyDescent="0.2">
      <c r="L12483" s="12"/>
      <c r="M12483" s="13"/>
    </row>
    <row r="12484" spans="12:13" x14ac:dyDescent="0.2">
      <c r="L12484" s="12"/>
      <c r="M12484" s="13"/>
    </row>
    <row r="12485" spans="12:13" x14ac:dyDescent="0.2">
      <c r="L12485" s="12"/>
      <c r="M12485" s="13"/>
    </row>
    <row r="12486" spans="12:13" x14ac:dyDescent="0.2">
      <c r="L12486" s="12"/>
      <c r="M12486" s="13"/>
    </row>
    <row r="12487" spans="12:13" x14ac:dyDescent="0.2">
      <c r="L12487" s="12"/>
      <c r="M12487" s="13"/>
    </row>
    <row r="12488" spans="12:13" x14ac:dyDescent="0.2">
      <c r="L12488" s="12"/>
      <c r="M12488" s="13"/>
    </row>
    <row r="12489" spans="12:13" x14ac:dyDescent="0.2">
      <c r="L12489" s="12"/>
      <c r="M12489" s="13"/>
    </row>
    <row r="12490" spans="12:13" x14ac:dyDescent="0.2">
      <c r="L12490" s="12"/>
      <c r="M12490" s="13"/>
    </row>
    <row r="12491" spans="12:13" x14ac:dyDescent="0.2">
      <c r="L12491" s="12"/>
      <c r="M12491" s="13"/>
    </row>
    <row r="12492" spans="12:13" x14ac:dyDescent="0.2">
      <c r="L12492" s="12"/>
      <c r="M12492" s="13"/>
    </row>
    <row r="12493" spans="12:13" x14ac:dyDescent="0.2">
      <c r="L12493" s="12"/>
      <c r="M12493" s="13"/>
    </row>
    <row r="12494" spans="12:13" x14ac:dyDescent="0.2">
      <c r="L12494" s="12"/>
      <c r="M12494" s="13"/>
    </row>
    <row r="12495" spans="12:13" x14ac:dyDescent="0.2">
      <c r="L12495" s="12"/>
      <c r="M12495" s="13"/>
    </row>
    <row r="12496" spans="12:13" x14ac:dyDescent="0.2">
      <c r="L12496" s="12"/>
      <c r="M12496" s="13"/>
    </row>
    <row r="12497" spans="12:13" x14ac:dyDescent="0.2">
      <c r="L12497" s="12"/>
      <c r="M12497" s="13"/>
    </row>
    <row r="12498" spans="12:13" x14ac:dyDescent="0.2">
      <c r="L12498" s="12"/>
      <c r="M12498" s="13"/>
    </row>
    <row r="12499" spans="12:13" x14ac:dyDescent="0.2">
      <c r="L12499" s="12"/>
      <c r="M12499" s="13"/>
    </row>
    <row r="12500" spans="12:13" x14ac:dyDescent="0.2">
      <c r="L12500" s="12"/>
      <c r="M12500" s="13"/>
    </row>
    <row r="12501" spans="12:13" x14ac:dyDescent="0.2">
      <c r="L12501" s="12"/>
      <c r="M12501" s="13"/>
    </row>
    <row r="12502" spans="12:13" x14ac:dyDescent="0.2">
      <c r="L12502" s="12"/>
      <c r="M12502" s="13"/>
    </row>
    <row r="12503" spans="12:13" x14ac:dyDescent="0.2">
      <c r="L12503" s="12"/>
      <c r="M12503" s="13"/>
    </row>
    <row r="12504" spans="12:13" x14ac:dyDescent="0.2">
      <c r="L12504" s="12"/>
      <c r="M12504" s="13"/>
    </row>
    <row r="12505" spans="12:13" x14ac:dyDescent="0.2">
      <c r="L12505" s="12"/>
      <c r="M12505" s="13"/>
    </row>
    <row r="12506" spans="12:13" x14ac:dyDescent="0.2">
      <c r="L12506" s="12"/>
      <c r="M12506" s="13"/>
    </row>
    <row r="12507" spans="12:13" x14ac:dyDescent="0.2">
      <c r="L12507" s="12"/>
      <c r="M12507" s="13"/>
    </row>
    <row r="12508" spans="12:13" x14ac:dyDescent="0.2">
      <c r="L12508" s="12"/>
      <c r="M12508" s="13"/>
    </row>
    <row r="12509" spans="12:13" x14ac:dyDescent="0.2">
      <c r="L12509" s="12"/>
      <c r="M12509" s="13"/>
    </row>
    <row r="12510" spans="12:13" x14ac:dyDescent="0.2">
      <c r="L12510" s="12"/>
      <c r="M12510" s="13"/>
    </row>
    <row r="12511" spans="12:13" x14ac:dyDescent="0.2">
      <c r="L12511" s="12"/>
      <c r="M12511" s="13"/>
    </row>
    <row r="12512" spans="12:13" x14ac:dyDescent="0.2">
      <c r="L12512" s="12"/>
      <c r="M12512" s="13"/>
    </row>
    <row r="12513" spans="12:13" x14ac:dyDescent="0.2">
      <c r="L12513" s="12"/>
      <c r="M12513" s="13"/>
    </row>
    <row r="12514" spans="12:13" x14ac:dyDescent="0.2">
      <c r="L12514" s="12"/>
      <c r="M12514" s="13"/>
    </row>
    <row r="12515" spans="12:13" x14ac:dyDescent="0.2">
      <c r="L12515" s="12"/>
      <c r="M12515" s="13"/>
    </row>
    <row r="12516" spans="12:13" x14ac:dyDescent="0.2">
      <c r="L12516" s="12"/>
      <c r="M12516" s="13"/>
    </row>
    <row r="12517" spans="12:13" x14ac:dyDescent="0.2">
      <c r="L12517" s="12"/>
      <c r="M12517" s="13"/>
    </row>
    <row r="12518" spans="12:13" x14ac:dyDescent="0.2">
      <c r="L12518" s="12"/>
      <c r="M12518" s="13"/>
    </row>
    <row r="12519" spans="12:13" x14ac:dyDescent="0.2">
      <c r="L12519" s="12"/>
      <c r="M12519" s="13"/>
    </row>
    <row r="12520" spans="12:13" x14ac:dyDescent="0.2">
      <c r="L12520" s="12"/>
      <c r="M12520" s="13"/>
    </row>
    <row r="12521" spans="12:13" x14ac:dyDescent="0.2">
      <c r="L12521" s="12"/>
      <c r="M12521" s="13"/>
    </row>
    <row r="12522" spans="12:13" x14ac:dyDescent="0.2">
      <c r="L12522" s="12"/>
      <c r="M12522" s="13"/>
    </row>
    <row r="12523" spans="12:13" x14ac:dyDescent="0.2">
      <c r="L12523" s="12"/>
      <c r="M12523" s="13"/>
    </row>
    <row r="12524" spans="12:13" x14ac:dyDescent="0.2">
      <c r="L12524" s="12"/>
      <c r="M12524" s="13"/>
    </row>
    <row r="12525" spans="12:13" x14ac:dyDescent="0.2">
      <c r="L12525" s="12"/>
      <c r="M12525" s="13"/>
    </row>
    <row r="12526" spans="12:13" x14ac:dyDescent="0.2">
      <c r="L12526" s="12"/>
      <c r="M12526" s="13"/>
    </row>
    <row r="12527" spans="12:13" x14ac:dyDescent="0.2">
      <c r="L12527" s="12"/>
      <c r="M12527" s="13"/>
    </row>
    <row r="12528" spans="12:13" x14ac:dyDescent="0.2">
      <c r="L12528" s="12"/>
      <c r="M12528" s="13"/>
    </row>
    <row r="12529" spans="12:13" x14ac:dyDescent="0.2">
      <c r="L12529" s="12"/>
      <c r="M12529" s="13"/>
    </row>
    <row r="12530" spans="12:13" x14ac:dyDescent="0.2">
      <c r="L12530" s="12"/>
      <c r="M12530" s="13"/>
    </row>
    <row r="12531" spans="12:13" x14ac:dyDescent="0.2">
      <c r="L12531" s="12"/>
      <c r="M12531" s="13"/>
    </row>
    <row r="12532" spans="12:13" x14ac:dyDescent="0.2">
      <c r="L12532" s="12"/>
      <c r="M12532" s="13"/>
    </row>
    <row r="12533" spans="12:13" x14ac:dyDescent="0.2">
      <c r="L12533" s="12"/>
      <c r="M12533" s="13"/>
    </row>
    <row r="12534" spans="12:13" x14ac:dyDescent="0.2">
      <c r="L12534" s="12"/>
      <c r="M12534" s="13"/>
    </row>
    <row r="12535" spans="12:13" x14ac:dyDescent="0.2">
      <c r="L12535" s="12"/>
      <c r="M12535" s="13"/>
    </row>
    <row r="12536" spans="12:13" x14ac:dyDescent="0.2">
      <c r="L12536" s="12"/>
      <c r="M12536" s="13"/>
    </row>
    <row r="12537" spans="12:13" x14ac:dyDescent="0.2">
      <c r="L12537" s="12"/>
      <c r="M12537" s="13"/>
    </row>
    <row r="12538" spans="12:13" x14ac:dyDescent="0.2">
      <c r="L12538" s="12"/>
      <c r="M12538" s="13"/>
    </row>
    <row r="12539" spans="12:13" x14ac:dyDescent="0.2">
      <c r="L12539" s="12"/>
      <c r="M12539" s="13"/>
    </row>
    <row r="12540" spans="12:13" x14ac:dyDescent="0.2">
      <c r="L12540" s="12"/>
      <c r="M12540" s="13"/>
    </row>
    <row r="12541" spans="12:13" x14ac:dyDescent="0.2">
      <c r="L12541" s="12"/>
      <c r="M12541" s="13"/>
    </row>
    <row r="12542" spans="12:13" x14ac:dyDescent="0.2">
      <c r="L12542" s="12"/>
      <c r="M12542" s="13"/>
    </row>
    <row r="12543" spans="12:13" x14ac:dyDescent="0.2">
      <c r="L12543" s="12"/>
      <c r="M12543" s="13"/>
    </row>
    <row r="12544" spans="12:13" x14ac:dyDescent="0.2">
      <c r="L12544" s="12"/>
      <c r="M12544" s="13"/>
    </row>
    <row r="12545" spans="12:13" x14ac:dyDescent="0.2">
      <c r="L12545" s="12"/>
      <c r="M12545" s="13"/>
    </row>
    <row r="12546" spans="12:13" x14ac:dyDescent="0.2">
      <c r="L12546" s="17"/>
      <c r="M12546" s="18"/>
    </row>
    <row r="12547" spans="12:13" x14ac:dyDescent="0.2">
      <c r="L12547" s="12"/>
      <c r="M12547" s="13"/>
    </row>
    <row r="12548" spans="12:13" x14ac:dyDescent="0.2">
      <c r="L12548" s="12"/>
      <c r="M12548" s="13"/>
    </row>
    <row r="12549" spans="12:13" x14ac:dyDescent="0.2">
      <c r="L12549" s="12"/>
      <c r="M12549" s="13"/>
    </row>
    <row r="12550" spans="12:13" x14ac:dyDescent="0.2">
      <c r="L12550" s="12"/>
      <c r="M12550" s="13"/>
    </row>
    <row r="12551" spans="12:13" x14ac:dyDescent="0.2">
      <c r="L12551" s="12"/>
      <c r="M12551" s="13"/>
    </row>
    <row r="12552" spans="12:13" x14ac:dyDescent="0.2">
      <c r="L12552" s="12"/>
      <c r="M12552" s="13"/>
    </row>
    <row r="12553" spans="12:13" x14ac:dyDescent="0.2">
      <c r="L12553" s="12"/>
      <c r="M12553" s="13"/>
    </row>
    <row r="12554" spans="12:13" x14ac:dyDescent="0.2">
      <c r="L12554" s="12"/>
      <c r="M12554" s="13"/>
    </row>
    <row r="12555" spans="12:13" x14ac:dyDescent="0.2">
      <c r="L12555" s="12"/>
      <c r="M12555" s="13"/>
    </row>
    <row r="12556" spans="12:13" x14ac:dyDescent="0.2">
      <c r="L12556" s="12"/>
      <c r="M12556" s="13"/>
    </row>
    <row r="12557" spans="12:13" x14ac:dyDescent="0.2">
      <c r="L12557" s="12"/>
      <c r="M12557" s="13"/>
    </row>
    <row r="12558" spans="12:13" x14ac:dyDescent="0.2">
      <c r="L12558" s="12"/>
      <c r="M12558" s="13"/>
    </row>
    <row r="12559" spans="12:13" x14ac:dyDescent="0.2">
      <c r="L12559" s="12"/>
      <c r="M12559" s="13"/>
    </row>
    <row r="12560" spans="12:13" x14ac:dyDescent="0.2">
      <c r="L12560" s="12"/>
      <c r="M12560" s="13"/>
    </row>
    <row r="12561" spans="12:13" x14ac:dyDescent="0.2">
      <c r="L12561" s="12"/>
      <c r="M12561" s="13"/>
    </row>
    <row r="12562" spans="12:13" x14ac:dyDescent="0.2">
      <c r="L12562" s="12"/>
      <c r="M12562" s="13"/>
    </row>
    <row r="12563" spans="12:13" x14ac:dyDescent="0.2">
      <c r="L12563" s="12"/>
      <c r="M12563" s="13"/>
    </row>
    <row r="12564" spans="12:13" x14ac:dyDescent="0.2">
      <c r="L12564" s="12"/>
      <c r="M12564" s="13"/>
    </row>
    <row r="12565" spans="12:13" x14ac:dyDescent="0.2">
      <c r="L12565" s="12"/>
      <c r="M12565" s="13"/>
    </row>
    <row r="12566" spans="12:13" x14ac:dyDescent="0.2">
      <c r="L12566" s="12"/>
      <c r="M12566" s="13"/>
    </row>
    <row r="12567" spans="12:13" x14ac:dyDescent="0.2">
      <c r="L12567" s="12"/>
      <c r="M12567" s="13"/>
    </row>
    <row r="12568" spans="12:13" x14ac:dyDescent="0.2">
      <c r="L12568" s="12"/>
      <c r="M12568" s="13"/>
    </row>
    <row r="12569" spans="12:13" x14ac:dyDescent="0.2">
      <c r="L12569" s="12"/>
      <c r="M12569" s="13"/>
    </row>
    <row r="12570" spans="12:13" x14ac:dyDescent="0.2">
      <c r="L12570" s="12"/>
      <c r="M12570" s="13"/>
    </row>
    <row r="12571" spans="12:13" x14ac:dyDescent="0.2">
      <c r="L12571" s="12"/>
      <c r="M12571" s="13"/>
    </row>
    <row r="12572" spans="12:13" x14ac:dyDescent="0.2">
      <c r="L12572" s="12"/>
      <c r="M12572" s="13"/>
    </row>
    <row r="12573" spans="12:13" x14ac:dyDescent="0.2">
      <c r="L12573" s="12"/>
      <c r="M12573" s="13"/>
    </row>
    <row r="12574" spans="12:13" x14ac:dyDescent="0.2">
      <c r="L12574" s="12"/>
      <c r="M12574" s="13"/>
    </row>
    <row r="12575" spans="12:13" x14ac:dyDescent="0.2">
      <c r="L12575" s="12"/>
      <c r="M12575" s="13"/>
    </row>
    <row r="12576" spans="12:13" x14ac:dyDescent="0.2">
      <c r="L12576" s="12"/>
      <c r="M12576" s="13"/>
    </row>
    <row r="12577" spans="12:13" x14ac:dyDescent="0.2">
      <c r="L12577" s="12"/>
      <c r="M12577" s="13"/>
    </row>
    <row r="12578" spans="12:13" x14ac:dyDescent="0.2">
      <c r="L12578" s="12"/>
      <c r="M12578" s="13"/>
    </row>
    <row r="12579" spans="12:13" x14ac:dyDescent="0.2">
      <c r="L12579" s="12"/>
      <c r="M12579" s="13"/>
    </row>
    <row r="12580" spans="12:13" x14ac:dyDescent="0.2">
      <c r="L12580" s="12"/>
      <c r="M12580" s="13"/>
    </row>
    <row r="12581" spans="12:13" x14ac:dyDescent="0.2">
      <c r="L12581" s="12"/>
      <c r="M12581" s="13"/>
    </row>
    <row r="12582" spans="12:13" x14ac:dyDescent="0.2">
      <c r="L12582" s="12"/>
      <c r="M12582" s="13"/>
    </row>
    <row r="12583" spans="12:13" x14ac:dyDescent="0.2">
      <c r="L12583" s="12"/>
      <c r="M12583" s="13"/>
    </row>
    <row r="12584" spans="12:13" x14ac:dyDescent="0.2">
      <c r="L12584" s="12"/>
      <c r="M12584" s="13"/>
    </row>
    <row r="12585" spans="12:13" x14ac:dyDescent="0.2">
      <c r="L12585" s="12"/>
      <c r="M12585" s="13"/>
    </row>
    <row r="12586" spans="12:13" x14ac:dyDescent="0.2">
      <c r="L12586" s="12"/>
      <c r="M12586" s="13"/>
    </row>
    <row r="12587" spans="12:13" x14ac:dyDescent="0.2">
      <c r="L12587" s="12"/>
      <c r="M12587" s="13"/>
    </row>
    <row r="12588" spans="12:13" x14ac:dyDescent="0.2">
      <c r="L12588" s="12"/>
      <c r="M12588" s="13"/>
    </row>
    <row r="12589" spans="12:13" x14ac:dyDescent="0.2">
      <c r="L12589" s="12"/>
      <c r="M12589" s="13"/>
    </row>
    <row r="12590" spans="12:13" x14ac:dyDescent="0.2">
      <c r="L12590" s="12"/>
      <c r="M12590" s="13"/>
    </row>
    <row r="12591" spans="12:13" x14ac:dyDescent="0.2">
      <c r="L12591" s="12"/>
      <c r="M12591" s="13"/>
    </row>
    <row r="12592" spans="12:13" x14ac:dyDescent="0.2">
      <c r="L12592" s="12"/>
      <c r="M12592" s="13"/>
    </row>
    <row r="12593" spans="12:13" x14ac:dyDescent="0.2">
      <c r="L12593" s="12"/>
      <c r="M12593" s="13"/>
    </row>
    <row r="12594" spans="12:13" x14ac:dyDescent="0.2">
      <c r="L12594" s="12"/>
      <c r="M12594" s="13"/>
    </row>
    <row r="12595" spans="12:13" x14ac:dyDescent="0.2">
      <c r="L12595" s="12"/>
      <c r="M12595" s="13"/>
    </row>
    <row r="12596" spans="12:13" x14ac:dyDescent="0.2">
      <c r="L12596" s="12"/>
      <c r="M12596" s="13"/>
    </row>
    <row r="12597" spans="12:13" x14ac:dyDescent="0.2">
      <c r="L12597" s="12"/>
      <c r="M12597" s="13"/>
    </row>
    <row r="12598" spans="12:13" x14ac:dyDescent="0.2">
      <c r="L12598" s="12"/>
      <c r="M12598" s="13"/>
    </row>
    <row r="12599" spans="12:13" x14ac:dyDescent="0.2">
      <c r="L12599" s="12"/>
      <c r="M12599" s="13"/>
    </row>
    <row r="12600" spans="12:13" x14ac:dyDescent="0.2">
      <c r="L12600" s="12"/>
      <c r="M12600" s="13"/>
    </row>
    <row r="12601" spans="12:13" x14ac:dyDescent="0.2">
      <c r="L12601" s="12"/>
      <c r="M12601" s="13"/>
    </row>
    <row r="12602" spans="12:13" x14ac:dyDescent="0.2">
      <c r="L12602" s="12"/>
      <c r="M12602" s="13"/>
    </row>
    <row r="12603" spans="12:13" x14ac:dyDescent="0.2">
      <c r="L12603" s="12"/>
      <c r="M12603" s="13"/>
    </row>
    <row r="12604" spans="12:13" x14ac:dyDescent="0.2">
      <c r="L12604" s="12"/>
      <c r="M12604" s="13"/>
    </row>
    <row r="12605" spans="12:13" x14ac:dyDescent="0.2">
      <c r="L12605" s="12"/>
      <c r="M12605" s="13"/>
    </row>
    <row r="12606" spans="12:13" x14ac:dyDescent="0.2">
      <c r="L12606" s="12"/>
      <c r="M12606" s="13"/>
    </row>
    <row r="12607" spans="12:13" x14ac:dyDescent="0.2">
      <c r="L12607" s="12"/>
      <c r="M12607" s="13"/>
    </row>
    <row r="12608" spans="12:13" x14ac:dyDescent="0.2">
      <c r="L12608" s="12"/>
      <c r="M12608" s="13"/>
    </row>
    <row r="12609" spans="12:13" x14ac:dyDescent="0.2">
      <c r="L12609" s="12"/>
      <c r="M12609" s="13"/>
    </row>
    <row r="12610" spans="12:13" x14ac:dyDescent="0.2">
      <c r="L12610" s="12"/>
      <c r="M12610" s="13"/>
    </row>
    <row r="12611" spans="12:13" x14ac:dyDescent="0.2">
      <c r="L12611" s="12"/>
      <c r="M12611" s="13"/>
    </row>
    <row r="12612" spans="12:13" x14ac:dyDescent="0.2">
      <c r="L12612" s="12"/>
      <c r="M12612" s="13"/>
    </row>
    <row r="12613" spans="12:13" x14ac:dyDescent="0.2">
      <c r="L12613" s="12"/>
      <c r="M12613" s="13"/>
    </row>
    <row r="12614" spans="12:13" x14ac:dyDescent="0.2">
      <c r="L12614" s="12"/>
      <c r="M12614" s="13"/>
    </row>
    <row r="12615" spans="12:13" x14ac:dyDescent="0.2">
      <c r="L12615" s="12"/>
      <c r="M12615" s="13"/>
    </row>
    <row r="12616" spans="12:13" x14ac:dyDescent="0.2">
      <c r="L12616" s="12"/>
      <c r="M12616" s="13"/>
    </row>
    <row r="12617" spans="12:13" x14ac:dyDescent="0.2">
      <c r="L12617" s="12"/>
      <c r="M12617" s="13"/>
    </row>
    <row r="12618" spans="12:13" x14ac:dyDescent="0.2">
      <c r="L12618" s="12"/>
      <c r="M12618" s="13"/>
    </row>
    <row r="12619" spans="12:13" x14ac:dyDescent="0.2">
      <c r="L12619" s="12"/>
      <c r="M12619" s="13"/>
    </row>
    <row r="12620" spans="12:13" x14ac:dyDescent="0.2">
      <c r="L12620" s="12"/>
      <c r="M12620" s="13"/>
    </row>
    <row r="12621" spans="12:13" x14ac:dyDescent="0.2">
      <c r="L12621" s="12"/>
      <c r="M12621" s="13"/>
    </row>
    <row r="12622" spans="12:13" x14ac:dyDescent="0.2">
      <c r="L12622" s="12"/>
      <c r="M12622" s="13"/>
    </row>
    <row r="12623" spans="12:13" x14ac:dyDescent="0.2">
      <c r="L12623" s="12"/>
      <c r="M12623" s="13"/>
    </row>
    <row r="12624" spans="12:13" x14ac:dyDescent="0.2">
      <c r="L12624" s="12"/>
      <c r="M12624" s="13"/>
    </row>
    <row r="12625" spans="12:13" x14ac:dyDescent="0.2">
      <c r="L12625" s="12"/>
      <c r="M12625" s="13"/>
    </row>
    <row r="12626" spans="12:13" x14ac:dyDescent="0.2">
      <c r="L12626" s="12"/>
      <c r="M12626" s="13"/>
    </row>
    <row r="12627" spans="12:13" x14ac:dyDescent="0.2">
      <c r="L12627" s="12"/>
      <c r="M12627" s="13"/>
    </row>
    <row r="12628" spans="12:13" x14ac:dyDescent="0.2">
      <c r="L12628" s="12"/>
      <c r="M12628" s="13"/>
    </row>
    <row r="12629" spans="12:13" x14ac:dyDescent="0.2">
      <c r="L12629" s="12"/>
      <c r="M12629" s="13"/>
    </row>
    <row r="12630" spans="12:13" x14ac:dyDescent="0.2">
      <c r="L12630" s="12"/>
      <c r="M12630" s="13"/>
    </row>
    <row r="12631" spans="12:13" x14ac:dyDescent="0.2">
      <c r="L12631" s="12"/>
      <c r="M12631" s="13"/>
    </row>
    <row r="12632" spans="12:13" x14ac:dyDescent="0.2">
      <c r="L12632" s="12"/>
      <c r="M12632" s="13"/>
    </row>
    <row r="12633" spans="12:13" x14ac:dyDescent="0.2">
      <c r="L12633" s="12"/>
      <c r="M12633" s="13"/>
    </row>
    <row r="12634" spans="12:13" x14ac:dyDescent="0.2">
      <c r="L12634" s="12"/>
      <c r="M12634" s="13"/>
    </row>
    <row r="12635" spans="12:13" x14ac:dyDescent="0.2">
      <c r="L12635" s="12"/>
      <c r="M12635" s="13"/>
    </row>
    <row r="12636" spans="12:13" x14ac:dyDescent="0.2">
      <c r="L12636" s="12"/>
      <c r="M12636" s="13"/>
    </row>
    <row r="12637" spans="12:13" x14ac:dyDescent="0.2">
      <c r="L12637" s="12"/>
      <c r="M12637" s="13"/>
    </row>
    <row r="12638" spans="12:13" x14ac:dyDescent="0.2">
      <c r="L12638" s="12"/>
      <c r="M12638" s="13"/>
    </row>
    <row r="12639" spans="12:13" x14ac:dyDescent="0.2">
      <c r="L12639" s="12"/>
      <c r="M12639" s="13"/>
    </row>
    <row r="12640" spans="12:13" x14ac:dyDescent="0.2">
      <c r="L12640" s="12"/>
      <c r="M12640" s="13"/>
    </row>
    <row r="12641" spans="12:13" x14ac:dyDescent="0.2">
      <c r="L12641" s="12"/>
      <c r="M12641" s="13"/>
    </row>
    <row r="12642" spans="12:13" x14ac:dyDescent="0.2">
      <c r="L12642" s="12"/>
      <c r="M12642" s="13"/>
    </row>
    <row r="12643" spans="12:13" x14ac:dyDescent="0.2">
      <c r="L12643" s="12"/>
      <c r="M12643" s="13"/>
    </row>
    <row r="12644" spans="12:13" x14ac:dyDescent="0.2">
      <c r="L12644" s="12"/>
      <c r="M12644" s="13"/>
    </row>
    <row r="12645" spans="12:13" x14ac:dyDescent="0.2">
      <c r="L12645" s="12"/>
      <c r="M12645" s="13"/>
    </row>
    <row r="12646" spans="12:13" x14ac:dyDescent="0.2">
      <c r="L12646" s="12"/>
      <c r="M12646" s="13"/>
    </row>
    <row r="12647" spans="12:13" x14ac:dyDescent="0.2">
      <c r="L12647" s="12"/>
      <c r="M12647" s="13"/>
    </row>
    <row r="12648" spans="12:13" x14ac:dyDescent="0.2">
      <c r="L12648" s="12"/>
      <c r="M12648" s="13"/>
    </row>
    <row r="12649" spans="12:13" x14ac:dyDescent="0.2">
      <c r="L12649" s="12"/>
      <c r="M12649" s="13"/>
    </row>
    <row r="12650" spans="12:13" x14ac:dyDescent="0.2">
      <c r="L12650" s="12"/>
      <c r="M12650" s="13"/>
    </row>
    <row r="12651" spans="12:13" x14ac:dyDescent="0.2">
      <c r="L12651" s="12"/>
      <c r="M12651" s="13"/>
    </row>
    <row r="12652" spans="12:13" x14ac:dyDescent="0.2">
      <c r="L12652" s="12"/>
      <c r="M12652" s="13"/>
    </row>
    <row r="12653" spans="12:13" x14ac:dyDescent="0.2">
      <c r="L12653" s="12"/>
      <c r="M12653" s="13"/>
    </row>
    <row r="12654" spans="12:13" x14ac:dyDescent="0.2">
      <c r="L12654" s="12"/>
      <c r="M12654" s="13"/>
    </row>
    <row r="12655" spans="12:13" x14ac:dyDescent="0.2">
      <c r="L12655" s="12"/>
      <c r="M12655" s="13"/>
    </row>
    <row r="12656" spans="12:13" x14ac:dyDescent="0.2">
      <c r="L12656" s="12"/>
      <c r="M12656" s="13"/>
    </row>
    <row r="12657" spans="12:13" x14ac:dyDescent="0.2">
      <c r="L12657" s="12"/>
      <c r="M12657" s="13"/>
    </row>
    <row r="12658" spans="12:13" x14ac:dyDescent="0.2">
      <c r="L12658" s="12"/>
      <c r="M12658" s="13"/>
    </row>
    <row r="12659" spans="12:13" x14ac:dyDescent="0.2">
      <c r="L12659" s="12"/>
      <c r="M12659" s="13"/>
    </row>
    <row r="12660" spans="12:13" x14ac:dyDescent="0.2">
      <c r="L12660" s="12"/>
      <c r="M12660" s="13"/>
    </row>
    <row r="12661" spans="12:13" x14ac:dyDescent="0.2">
      <c r="L12661" s="12"/>
      <c r="M12661" s="13"/>
    </row>
    <row r="12662" spans="12:13" x14ac:dyDescent="0.2">
      <c r="L12662" s="12"/>
      <c r="M12662" s="13"/>
    </row>
    <row r="12663" spans="12:13" x14ac:dyDescent="0.2">
      <c r="L12663" s="12"/>
      <c r="M12663" s="13"/>
    </row>
    <row r="12664" spans="12:13" x14ac:dyDescent="0.2">
      <c r="L12664" s="12"/>
      <c r="M12664" s="13"/>
    </row>
    <row r="12665" spans="12:13" x14ac:dyDescent="0.2">
      <c r="L12665" s="12"/>
      <c r="M12665" s="13"/>
    </row>
    <row r="12666" spans="12:13" x14ac:dyDescent="0.2">
      <c r="L12666" s="12"/>
      <c r="M12666" s="13"/>
    </row>
    <row r="12667" spans="12:13" x14ac:dyDescent="0.2">
      <c r="L12667" s="12"/>
      <c r="M12667" s="13"/>
    </row>
    <row r="12668" spans="12:13" x14ac:dyDescent="0.2">
      <c r="L12668" s="12"/>
      <c r="M12668" s="13"/>
    </row>
    <row r="12669" spans="12:13" x14ac:dyDescent="0.2">
      <c r="L12669" s="12"/>
      <c r="M12669" s="13"/>
    </row>
    <row r="12670" spans="12:13" x14ac:dyDescent="0.2">
      <c r="L12670" s="12"/>
      <c r="M12670" s="13"/>
    </row>
    <row r="12671" spans="12:13" x14ac:dyDescent="0.2">
      <c r="L12671" s="12"/>
      <c r="M12671" s="13"/>
    </row>
    <row r="12672" spans="12:13" x14ac:dyDescent="0.2">
      <c r="L12672" s="12"/>
      <c r="M12672" s="13"/>
    </row>
    <row r="12673" spans="12:13" x14ac:dyDescent="0.2">
      <c r="L12673" s="12"/>
      <c r="M12673" s="13"/>
    </row>
    <row r="12674" spans="12:13" x14ac:dyDescent="0.2">
      <c r="L12674" s="12"/>
      <c r="M12674" s="13"/>
    </row>
    <row r="12675" spans="12:13" x14ac:dyDescent="0.2">
      <c r="L12675" s="12"/>
      <c r="M12675" s="13"/>
    </row>
    <row r="12676" spans="12:13" x14ac:dyDescent="0.2">
      <c r="L12676" s="12"/>
      <c r="M12676" s="13"/>
    </row>
    <row r="12677" spans="12:13" x14ac:dyDescent="0.2">
      <c r="L12677" s="12"/>
      <c r="M12677" s="13"/>
    </row>
    <row r="12678" spans="12:13" x14ac:dyDescent="0.2">
      <c r="L12678" s="12"/>
      <c r="M12678" s="13"/>
    </row>
    <row r="12679" spans="12:13" x14ac:dyDescent="0.2">
      <c r="L12679" s="12"/>
      <c r="M12679" s="13"/>
    </row>
    <row r="12680" spans="12:13" x14ac:dyDescent="0.2">
      <c r="L12680" s="12"/>
      <c r="M12680" s="13"/>
    </row>
    <row r="12681" spans="12:13" x14ac:dyDescent="0.2">
      <c r="L12681" s="12"/>
      <c r="M12681" s="13"/>
    </row>
    <row r="12682" spans="12:13" x14ac:dyDescent="0.2">
      <c r="L12682" s="12"/>
      <c r="M12682" s="13"/>
    </row>
    <row r="12683" spans="12:13" x14ac:dyDescent="0.2">
      <c r="L12683" s="12"/>
      <c r="M12683" s="13"/>
    </row>
    <row r="12684" spans="12:13" x14ac:dyDescent="0.2">
      <c r="L12684" s="12"/>
      <c r="M12684" s="13"/>
    </row>
    <row r="12685" spans="12:13" x14ac:dyDescent="0.2">
      <c r="L12685" s="12"/>
      <c r="M12685" s="13"/>
    </row>
    <row r="12686" spans="12:13" x14ac:dyDescent="0.2">
      <c r="L12686" s="12"/>
      <c r="M12686" s="13"/>
    </row>
    <row r="12687" spans="12:13" x14ac:dyDescent="0.2">
      <c r="L12687" s="12"/>
      <c r="M12687" s="13"/>
    </row>
    <row r="12688" spans="12:13" x14ac:dyDescent="0.2">
      <c r="L12688" s="12"/>
      <c r="M12688" s="13"/>
    </row>
    <row r="12689" spans="12:13" x14ac:dyDescent="0.2">
      <c r="L12689" s="12"/>
      <c r="M12689" s="13"/>
    </row>
    <row r="12690" spans="12:13" x14ac:dyDescent="0.2">
      <c r="L12690" s="12"/>
      <c r="M12690" s="13"/>
    </row>
    <row r="12691" spans="12:13" x14ac:dyDescent="0.2">
      <c r="L12691" s="12"/>
      <c r="M12691" s="13"/>
    </row>
    <row r="12692" spans="12:13" x14ac:dyDescent="0.2">
      <c r="L12692" s="12"/>
      <c r="M12692" s="13"/>
    </row>
    <row r="12693" spans="12:13" x14ac:dyDescent="0.2">
      <c r="L12693" s="12"/>
      <c r="M12693" s="13"/>
    </row>
    <row r="12694" spans="12:13" x14ac:dyDescent="0.2">
      <c r="L12694" s="12"/>
      <c r="M12694" s="13"/>
    </row>
    <row r="12695" spans="12:13" x14ac:dyDescent="0.2">
      <c r="L12695" s="12"/>
      <c r="M12695" s="13"/>
    </row>
    <row r="12696" spans="12:13" x14ac:dyDescent="0.2">
      <c r="L12696" s="12"/>
      <c r="M12696" s="13"/>
    </row>
    <row r="12697" spans="12:13" x14ac:dyDescent="0.2">
      <c r="L12697" s="12"/>
      <c r="M12697" s="13"/>
    </row>
    <row r="12698" spans="12:13" x14ac:dyDescent="0.2">
      <c r="L12698" s="12"/>
      <c r="M12698" s="13"/>
    </row>
    <row r="12699" spans="12:13" x14ac:dyDescent="0.2">
      <c r="L12699" s="12"/>
      <c r="M12699" s="13"/>
    </row>
    <row r="12700" spans="12:13" x14ac:dyDescent="0.2">
      <c r="L12700" s="12"/>
      <c r="M12700" s="13"/>
    </row>
    <row r="12701" spans="12:13" x14ac:dyDescent="0.2">
      <c r="L12701" s="12"/>
      <c r="M12701" s="13"/>
    </row>
    <row r="12702" spans="12:13" x14ac:dyDescent="0.2">
      <c r="L12702" s="12"/>
      <c r="M12702" s="13"/>
    </row>
    <row r="12703" spans="12:13" x14ac:dyDescent="0.2">
      <c r="L12703" s="12"/>
      <c r="M12703" s="13"/>
    </row>
    <row r="12704" spans="12:13" x14ac:dyDescent="0.2">
      <c r="L12704" s="12"/>
      <c r="M12704" s="13"/>
    </row>
    <row r="12705" spans="12:13" x14ac:dyDescent="0.2">
      <c r="L12705" s="12"/>
      <c r="M12705" s="13"/>
    </row>
    <row r="12706" spans="12:13" x14ac:dyDescent="0.2">
      <c r="L12706" s="12"/>
      <c r="M12706" s="13"/>
    </row>
    <row r="12707" spans="12:13" x14ac:dyDescent="0.2">
      <c r="L12707" s="12"/>
      <c r="M12707" s="13"/>
    </row>
    <row r="12708" spans="12:13" x14ac:dyDescent="0.2">
      <c r="L12708" s="12"/>
      <c r="M12708" s="13"/>
    </row>
    <row r="12709" spans="12:13" x14ac:dyDescent="0.2">
      <c r="L12709" s="12"/>
      <c r="M12709" s="13"/>
    </row>
    <row r="12710" spans="12:13" x14ac:dyDescent="0.2">
      <c r="L12710" s="12"/>
      <c r="M12710" s="13"/>
    </row>
    <row r="12711" spans="12:13" x14ac:dyDescent="0.2">
      <c r="L12711" s="12"/>
      <c r="M12711" s="13"/>
    </row>
    <row r="12712" spans="12:13" x14ac:dyDescent="0.2">
      <c r="L12712" s="12"/>
      <c r="M12712" s="13"/>
    </row>
    <row r="12713" spans="12:13" x14ac:dyDescent="0.2">
      <c r="L12713" s="12"/>
      <c r="M12713" s="13"/>
    </row>
    <row r="12714" spans="12:13" x14ac:dyDescent="0.2">
      <c r="L12714" s="12"/>
      <c r="M12714" s="13"/>
    </row>
    <row r="12715" spans="12:13" x14ac:dyDescent="0.2">
      <c r="L12715" s="12"/>
      <c r="M12715" s="13"/>
    </row>
    <row r="12716" spans="12:13" x14ac:dyDescent="0.2">
      <c r="L12716" s="12"/>
      <c r="M12716" s="13"/>
    </row>
    <row r="12717" spans="12:13" x14ac:dyDescent="0.2">
      <c r="L12717" s="12"/>
      <c r="M12717" s="13"/>
    </row>
    <row r="12718" spans="12:13" x14ac:dyDescent="0.2">
      <c r="L12718" s="12"/>
      <c r="M12718" s="13"/>
    </row>
    <row r="12719" spans="12:13" x14ac:dyDescent="0.2">
      <c r="L12719" s="12"/>
      <c r="M12719" s="13"/>
    </row>
    <row r="12720" spans="12:13" x14ac:dyDescent="0.2">
      <c r="L12720" s="12"/>
      <c r="M12720" s="13"/>
    </row>
    <row r="12721" spans="12:13" x14ac:dyDescent="0.2">
      <c r="L12721" s="12"/>
      <c r="M12721" s="13"/>
    </row>
    <row r="12722" spans="12:13" x14ac:dyDescent="0.2">
      <c r="L12722" s="12"/>
      <c r="M12722" s="13"/>
    </row>
    <row r="12723" spans="12:13" x14ac:dyDescent="0.2">
      <c r="L12723" s="12"/>
      <c r="M12723" s="13"/>
    </row>
    <row r="12724" spans="12:13" x14ac:dyDescent="0.2">
      <c r="L12724" s="12"/>
      <c r="M12724" s="13"/>
    </row>
    <row r="12725" spans="12:13" x14ac:dyDescent="0.2">
      <c r="L12725" s="12"/>
      <c r="M12725" s="13"/>
    </row>
    <row r="12726" spans="12:13" x14ac:dyDescent="0.2">
      <c r="L12726" s="12"/>
      <c r="M12726" s="13"/>
    </row>
    <row r="12727" spans="12:13" x14ac:dyDescent="0.2">
      <c r="L12727" s="12"/>
      <c r="M12727" s="13"/>
    </row>
    <row r="12728" spans="12:13" x14ac:dyDescent="0.2">
      <c r="L12728" s="12"/>
      <c r="M12728" s="13"/>
    </row>
    <row r="12729" spans="12:13" x14ac:dyDescent="0.2">
      <c r="L12729" s="12"/>
      <c r="M12729" s="13"/>
    </row>
    <row r="12730" spans="12:13" x14ac:dyDescent="0.2">
      <c r="L12730" s="12"/>
      <c r="M12730" s="13"/>
    </row>
    <row r="12731" spans="12:13" x14ac:dyDescent="0.2">
      <c r="L12731" s="12"/>
      <c r="M12731" s="13"/>
    </row>
    <row r="12732" spans="12:13" x14ac:dyDescent="0.2">
      <c r="L12732" s="12"/>
      <c r="M12732" s="13"/>
    </row>
    <row r="12733" spans="12:13" x14ac:dyDescent="0.2">
      <c r="L12733" s="12"/>
      <c r="M12733" s="13"/>
    </row>
    <row r="12734" spans="12:13" x14ac:dyDescent="0.2">
      <c r="L12734" s="12"/>
      <c r="M12734" s="13"/>
    </row>
    <row r="12735" spans="12:13" x14ac:dyDescent="0.2">
      <c r="L12735" s="12"/>
      <c r="M12735" s="13"/>
    </row>
    <row r="12736" spans="12:13" x14ac:dyDescent="0.2">
      <c r="L12736" s="12"/>
      <c r="M12736" s="13"/>
    </row>
    <row r="12737" spans="12:13" x14ac:dyDescent="0.2">
      <c r="L12737" s="12"/>
      <c r="M12737" s="13"/>
    </row>
    <row r="12738" spans="12:13" x14ac:dyDescent="0.2">
      <c r="L12738" s="12"/>
      <c r="M12738" s="13"/>
    </row>
    <row r="12739" spans="12:13" x14ac:dyDescent="0.2">
      <c r="L12739" s="12"/>
      <c r="M12739" s="13"/>
    </row>
    <row r="12740" spans="12:13" x14ac:dyDescent="0.2">
      <c r="L12740" s="12"/>
      <c r="M12740" s="13"/>
    </row>
    <row r="12741" spans="12:13" x14ac:dyDescent="0.2">
      <c r="L12741" s="12"/>
      <c r="M12741" s="13"/>
    </row>
    <row r="12742" spans="12:13" x14ac:dyDescent="0.2">
      <c r="L12742" s="12"/>
      <c r="M12742" s="13"/>
    </row>
    <row r="12743" spans="12:13" x14ac:dyDescent="0.2">
      <c r="L12743" s="12"/>
      <c r="M12743" s="13"/>
    </row>
    <row r="12744" spans="12:13" x14ac:dyDescent="0.2">
      <c r="L12744" s="12"/>
      <c r="M12744" s="13"/>
    </row>
    <row r="12745" spans="12:13" x14ac:dyDescent="0.2">
      <c r="L12745" s="12"/>
      <c r="M12745" s="13"/>
    </row>
    <row r="12746" spans="12:13" x14ac:dyDescent="0.2">
      <c r="L12746" s="12"/>
      <c r="M12746" s="13"/>
    </row>
    <row r="12747" spans="12:13" x14ac:dyDescent="0.2">
      <c r="L12747" s="12"/>
      <c r="M12747" s="13"/>
    </row>
    <row r="12748" spans="12:13" x14ac:dyDescent="0.2">
      <c r="L12748" s="12"/>
      <c r="M12748" s="13"/>
    </row>
    <row r="12749" spans="12:13" x14ac:dyDescent="0.2">
      <c r="L12749" s="12"/>
      <c r="M12749" s="13"/>
    </row>
    <row r="12750" spans="12:13" x14ac:dyDescent="0.2">
      <c r="L12750" s="12"/>
      <c r="M12750" s="13"/>
    </row>
    <row r="12751" spans="12:13" x14ac:dyDescent="0.2">
      <c r="L12751" s="12"/>
      <c r="M12751" s="13"/>
    </row>
    <row r="12752" spans="12:13" x14ac:dyDescent="0.2">
      <c r="L12752" s="12"/>
      <c r="M12752" s="13"/>
    </row>
    <row r="12753" spans="12:13" x14ac:dyDescent="0.2">
      <c r="L12753" s="12"/>
      <c r="M12753" s="13"/>
    </row>
    <row r="12754" spans="12:13" x14ac:dyDescent="0.2">
      <c r="L12754" s="12"/>
      <c r="M12754" s="13"/>
    </row>
    <row r="12755" spans="12:13" x14ac:dyDescent="0.2">
      <c r="L12755" s="12"/>
      <c r="M12755" s="13"/>
    </row>
    <row r="12756" spans="12:13" x14ac:dyDescent="0.2">
      <c r="L12756" s="12"/>
      <c r="M12756" s="13"/>
    </row>
    <row r="12757" spans="12:13" x14ac:dyDescent="0.2">
      <c r="L12757" s="12"/>
      <c r="M12757" s="13"/>
    </row>
    <row r="12758" spans="12:13" x14ac:dyDescent="0.2">
      <c r="L12758" s="12"/>
      <c r="M12758" s="13"/>
    </row>
    <row r="12759" spans="12:13" x14ac:dyDescent="0.2">
      <c r="L12759" s="12"/>
      <c r="M12759" s="13"/>
    </row>
    <row r="12760" spans="12:13" x14ac:dyDescent="0.2">
      <c r="L12760" s="12"/>
      <c r="M12760" s="13"/>
    </row>
    <row r="12761" spans="12:13" x14ac:dyDescent="0.2">
      <c r="L12761" s="12"/>
      <c r="M12761" s="13"/>
    </row>
    <row r="12762" spans="12:13" x14ac:dyDescent="0.2">
      <c r="L12762" s="12"/>
      <c r="M12762" s="13"/>
    </row>
    <row r="12763" spans="12:13" x14ac:dyDescent="0.2">
      <c r="L12763" s="12"/>
      <c r="M12763" s="13"/>
    </row>
    <row r="12764" spans="12:13" x14ac:dyDescent="0.2">
      <c r="L12764" s="12"/>
      <c r="M12764" s="13"/>
    </row>
    <row r="12765" spans="12:13" x14ac:dyDescent="0.2">
      <c r="L12765" s="12"/>
      <c r="M12765" s="13"/>
    </row>
    <row r="12766" spans="12:13" x14ac:dyDescent="0.2">
      <c r="L12766" s="12"/>
      <c r="M12766" s="13"/>
    </row>
    <row r="12767" spans="12:13" x14ac:dyDescent="0.2">
      <c r="L12767" s="12"/>
      <c r="M12767" s="13"/>
    </row>
    <row r="12768" spans="12:13" x14ac:dyDescent="0.2">
      <c r="L12768" s="12"/>
      <c r="M12768" s="13"/>
    </row>
    <row r="12769" spans="12:13" x14ac:dyDescent="0.2">
      <c r="L12769" s="12"/>
      <c r="M12769" s="13"/>
    </row>
    <row r="12770" spans="12:13" x14ac:dyDescent="0.2">
      <c r="L12770" s="12"/>
      <c r="M12770" s="13"/>
    </row>
    <row r="12771" spans="12:13" x14ac:dyDescent="0.2">
      <c r="L12771" s="12"/>
      <c r="M12771" s="13"/>
    </row>
    <row r="12772" spans="12:13" x14ac:dyDescent="0.2">
      <c r="L12772" s="12"/>
      <c r="M12772" s="13"/>
    </row>
    <row r="12773" spans="12:13" x14ac:dyDescent="0.2">
      <c r="L12773" s="12"/>
      <c r="M12773" s="13"/>
    </row>
    <row r="12774" spans="12:13" x14ac:dyDescent="0.2">
      <c r="L12774" s="12"/>
      <c r="M12774" s="13"/>
    </row>
    <row r="12775" spans="12:13" x14ac:dyDescent="0.2">
      <c r="L12775" s="12"/>
      <c r="M12775" s="13"/>
    </row>
    <row r="12776" spans="12:13" x14ac:dyDescent="0.2">
      <c r="L12776" s="12"/>
      <c r="M12776" s="13"/>
    </row>
    <row r="12777" spans="12:13" x14ac:dyDescent="0.2">
      <c r="L12777" s="12"/>
      <c r="M12777" s="13"/>
    </row>
    <row r="12778" spans="12:13" x14ac:dyDescent="0.2">
      <c r="L12778" s="12"/>
      <c r="M12778" s="13"/>
    </row>
    <row r="12779" spans="12:13" x14ac:dyDescent="0.2">
      <c r="L12779" s="12"/>
      <c r="M12779" s="13"/>
    </row>
    <row r="12780" spans="12:13" x14ac:dyDescent="0.2">
      <c r="L12780" s="12"/>
      <c r="M12780" s="13"/>
    </row>
    <row r="12781" spans="12:13" x14ac:dyDescent="0.2">
      <c r="L12781" s="12"/>
      <c r="M12781" s="13"/>
    </row>
    <row r="12782" spans="12:13" x14ac:dyDescent="0.2">
      <c r="L12782" s="12"/>
      <c r="M12782" s="13"/>
    </row>
    <row r="12783" spans="12:13" x14ac:dyDescent="0.2">
      <c r="L12783" s="12"/>
      <c r="M12783" s="13"/>
    </row>
    <row r="12784" spans="12:13" x14ac:dyDescent="0.2">
      <c r="L12784" s="12"/>
      <c r="M12784" s="13"/>
    </row>
    <row r="12785" spans="12:13" x14ac:dyDescent="0.2">
      <c r="L12785" s="12"/>
      <c r="M12785" s="13"/>
    </row>
    <row r="12786" spans="12:13" x14ac:dyDescent="0.2">
      <c r="L12786" s="12"/>
      <c r="M12786" s="13"/>
    </row>
    <row r="12787" spans="12:13" x14ac:dyDescent="0.2">
      <c r="L12787" s="12"/>
      <c r="M12787" s="13"/>
    </row>
    <row r="12788" spans="12:13" x14ac:dyDescent="0.2">
      <c r="L12788" s="12"/>
      <c r="M12788" s="13"/>
    </row>
    <row r="12789" spans="12:13" x14ac:dyDescent="0.2">
      <c r="L12789" s="12"/>
      <c r="M12789" s="13"/>
    </row>
    <row r="12790" spans="12:13" x14ac:dyDescent="0.2">
      <c r="L12790" s="12"/>
      <c r="M12790" s="13"/>
    </row>
    <row r="12791" spans="12:13" x14ac:dyDescent="0.2">
      <c r="L12791" s="12"/>
      <c r="M12791" s="13"/>
    </row>
    <row r="12792" spans="12:13" x14ac:dyDescent="0.2">
      <c r="L12792" s="12"/>
      <c r="M12792" s="13"/>
    </row>
    <row r="12793" spans="12:13" x14ac:dyDescent="0.2">
      <c r="L12793" s="12"/>
      <c r="M12793" s="13"/>
    </row>
    <row r="12794" spans="12:13" x14ac:dyDescent="0.2">
      <c r="L12794" s="12"/>
      <c r="M12794" s="13"/>
    </row>
    <row r="12795" spans="12:13" x14ac:dyDescent="0.2">
      <c r="L12795" s="12"/>
      <c r="M12795" s="13"/>
    </row>
    <row r="12796" spans="12:13" x14ac:dyDescent="0.2">
      <c r="L12796" s="12"/>
      <c r="M12796" s="13"/>
    </row>
    <row r="12797" spans="12:13" x14ac:dyDescent="0.2">
      <c r="L12797" s="12"/>
      <c r="M12797" s="13"/>
    </row>
    <row r="12798" spans="12:13" x14ac:dyDescent="0.2">
      <c r="L12798" s="12"/>
      <c r="M12798" s="13"/>
    </row>
    <row r="12799" spans="12:13" x14ac:dyDescent="0.2">
      <c r="L12799" s="12"/>
      <c r="M12799" s="13"/>
    </row>
    <row r="12800" spans="12:13" x14ac:dyDescent="0.2">
      <c r="L12800" s="12"/>
      <c r="M12800" s="13"/>
    </row>
    <row r="12801" spans="12:13" x14ac:dyDescent="0.2">
      <c r="L12801" s="12"/>
      <c r="M12801" s="13"/>
    </row>
    <row r="12802" spans="12:13" x14ac:dyDescent="0.2">
      <c r="L12802" s="17"/>
      <c r="M12802" s="18"/>
    </row>
    <row r="12803" spans="12:13" x14ac:dyDescent="0.2">
      <c r="L12803" s="12"/>
      <c r="M12803" s="13"/>
    </row>
    <row r="12804" spans="12:13" x14ac:dyDescent="0.2">
      <c r="L12804" s="12"/>
      <c r="M12804" s="13"/>
    </row>
    <row r="12805" spans="12:13" x14ac:dyDescent="0.2">
      <c r="L12805" s="12"/>
      <c r="M12805" s="13"/>
    </row>
    <row r="12806" spans="12:13" x14ac:dyDescent="0.2">
      <c r="L12806" s="12"/>
      <c r="M12806" s="13"/>
    </row>
    <row r="12807" spans="12:13" x14ac:dyDescent="0.2">
      <c r="L12807" s="12"/>
      <c r="M12807" s="13"/>
    </row>
    <row r="12808" spans="12:13" x14ac:dyDescent="0.2">
      <c r="L12808" s="12"/>
      <c r="M12808" s="13"/>
    </row>
    <row r="12809" spans="12:13" x14ac:dyDescent="0.2">
      <c r="L12809" s="12"/>
      <c r="M12809" s="13"/>
    </row>
    <row r="12810" spans="12:13" x14ac:dyDescent="0.2">
      <c r="L12810" s="12"/>
      <c r="M12810" s="13"/>
    </row>
    <row r="12811" spans="12:13" x14ac:dyDescent="0.2">
      <c r="L12811" s="12"/>
      <c r="M12811" s="13"/>
    </row>
    <row r="12812" spans="12:13" x14ac:dyDescent="0.2">
      <c r="L12812" s="12"/>
      <c r="M12812" s="13"/>
    </row>
    <row r="12813" spans="12:13" x14ac:dyDescent="0.2">
      <c r="L12813" s="12"/>
      <c r="M12813" s="13"/>
    </row>
    <row r="12814" spans="12:13" x14ac:dyDescent="0.2">
      <c r="L12814" s="12"/>
      <c r="M12814" s="13"/>
    </row>
    <row r="12815" spans="12:13" x14ac:dyDescent="0.2">
      <c r="L12815" s="12"/>
      <c r="M12815" s="13"/>
    </row>
    <row r="12816" spans="12:13" x14ac:dyDescent="0.2">
      <c r="L12816" s="12"/>
      <c r="M12816" s="13"/>
    </row>
    <row r="12817" spans="12:13" x14ac:dyDescent="0.2">
      <c r="L12817" s="12"/>
      <c r="M12817" s="13"/>
    </row>
    <row r="12818" spans="12:13" x14ac:dyDescent="0.2">
      <c r="L12818" s="12"/>
      <c r="M12818" s="13"/>
    </row>
    <row r="12819" spans="12:13" x14ac:dyDescent="0.2">
      <c r="L12819" s="12"/>
      <c r="M12819" s="13"/>
    </row>
    <row r="12820" spans="12:13" x14ac:dyDescent="0.2">
      <c r="L12820" s="12"/>
      <c r="M12820" s="13"/>
    </row>
    <row r="12821" spans="12:13" x14ac:dyDescent="0.2">
      <c r="L12821" s="12"/>
      <c r="M12821" s="13"/>
    </row>
    <row r="12822" spans="12:13" x14ac:dyDescent="0.2">
      <c r="L12822" s="12"/>
      <c r="M12822" s="13"/>
    </row>
    <row r="12823" spans="12:13" x14ac:dyDescent="0.2">
      <c r="L12823" s="12"/>
      <c r="M12823" s="13"/>
    </row>
    <row r="12824" spans="12:13" x14ac:dyDescent="0.2">
      <c r="L12824" s="12"/>
      <c r="M12824" s="13"/>
    </row>
    <row r="12825" spans="12:13" x14ac:dyDescent="0.2">
      <c r="L12825" s="12"/>
      <c r="M12825" s="13"/>
    </row>
    <row r="12826" spans="12:13" x14ac:dyDescent="0.2">
      <c r="L12826" s="12"/>
      <c r="M12826" s="13"/>
    </row>
    <row r="12827" spans="12:13" x14ac:dyDescent="0.2">
      <c r="L12827" s="12"/>
      <c r="M12827" s="13"/>
    </row>
    <row r="12828" spans="12:13" x14ac:dyDescent="0.2">
      <c r="L12828" s="12"/>
      <c r="M12828" s="13"/>
    </row>
    <row r="12829" spans="12:13" x14ac:dyDescent="0.2">
      <c r="L12829" s="12"/>
      <c r="M12829" s="13"/>
    </row>
    <row r="12830" spans="12:13" x14ac:dyDescent="0.2">
      <c r="L12830" s="12"/>
      <c r="M12830" s="13"/>
    </row>
    <row r="12831" spans="12:13" x14ac:dyDescent="0.2">
      <c r="L12831" s="12"/>
      <c r="M12831" s="13"/>
    </row>
    <row r="12832" spans="12:13" x14ac:dyDescent="0.2">
      <c r="L12832" s="12"/>
      <c r="M12832" s="13"/>
    </row>
    <row r="12833" spans="12:13" x14ac:dyDescent="0.2">
      <c r="L12833" s="12"/>
      <c r="M12833" s="13"/>
    </row>
    <row r="12834" spans="12:13" x14ac:dyDescent="0.2">
      <c r="L12834" s="12"/>
      <c r="M12834" s="13"/>
    </row>
    <row r="12835" spans="12:13" x14ac:dyDescent="0.2">
      <c r="L12835" s="12"/>
      <c r="M12835" s="13"/>
    </row>
    <row r="12836" spans="12:13" x14ac:dyDescent="0.2">
      <c r="L12836" s="12"/>
      <c r="M12836" s="13"/>
    </row>
    <row r="12837" spans="12:13" x14ac:dyDescent="0.2">
      <c r="L12837" s="12"/>
      <c r="M12837" s="13"/>
    </row>
    <row r="12838" spans="12:13" x14ac:dyDescent="0.2">
      <c r="L12838" s="12"/>
      <c r="M12838" s="13"/>
    </row>
    <row r="12839" spans="12:13" x14ac:dyDescent="0.2">
      <c r="L12839" s="12"/>
      <c r="M12839" s="13"/>
    </row>
    <row r="12840" spans="12:13" x14ac:dyDescent="0.2">
      <c r="L12840" s="12"/>
      <c r="M12840" s="13"/>
    </row>
    <row r="12841" spans="12:13" x14ac:dyDescent="0.2">
      <c r="L12841" s="12"/>
      <c r="M12841" s="13"/>
    </row>
    <row r="12842" spans="12:13" x14ac:dyDescent="0.2">
      <c r="L12842" s="12"/>
      <c r="M12842" s="13"/>
    </row>
    <row r="12843" spans="12:13" x14ac:dyDescent="0.2">
      <c r="L12843" s="12"/>
      <c r="M12843" s="13"/>
    </row>
    <row r="12844" spans="12:13" x14ac:dyDescent="0.2">
      <c r="L12844" s="12"/>
      <c r="M12844" s="13"/>
    </row>
    <row r="12845" spans="12:13" x14ac:dyDescent="0.2">
      <c r="L12845" s="12"/>
      <c r="M12845" s="13"/>
    </row>
    <row r="12846" spans="12:13" x14ac:dyDescent="0.2">
      <c r="L12846" s="12"/>
      <c r="M12846" s="13"/>
    </row>
    <row r="12847" spans="12:13" x14ac:dyDescent="0.2">
      <c r="L12847" s="12"/>
      <c r="M12847" s="13"/>
    </row>
    <row r="12848" spans="12:13" x14ac:dyDescent="0.2">
      <c r="L12848" s="12"/>
      <c r="M12848" s="13"/>
    </row>
    <row r="12849" spans="12:13" x14ac:dyDescent="0.2">
      <c r="L12849" s="12"/>
      <c r="M12849" s="13"/>
    </row>
    <row r="12850" spans="12:13" x14ac:dyDescent="0.2">
      <c r="L12850" s="12"/>
      <c r="M12850" s="13"/>
    </row>
    <row r="12851" spans="12:13" x14ac:dyDescent="0.2">
      <c r="L12851" s="12"/>
      <c r="M12851" s="13"/>
    </row>
    <row r="12852" spans="12:13" x14ac:dyDescent="0.2">
      <c r="L12852" s="12"/>
      <c r="M12852" s="13"/>
    </row>
    <row r="12853" spans="12:13" x14ac:dyDescent="0.2">
      <c r="L12853" s="12"/>
      <c r="M12853" s="13"/>
    </row>
    <row r="12854" spans="12:13" x14ac:dyDescent="0.2">
      <c r="L12854" s="12"/>
      <c r="M12854" s="13"/>
    </row>
    <row r="12855" spans="12:13" x14ac:dyDescent="0.2">
      <c r="L12855" s="12"/>
      <c r="M12855" s="13"/>
    </row>
    <row r="12856" spans="12:13" x14ac:dyDescent="0.2">
      <c r="L12856" s="12"/>
      <c r="M12856" s="13"/>
    </row>
    <row r="12857" spans="12:13" x14ac:dyDescent="0.2">
      <c r="L12857" s="12"/>
      <c r="M12857" s="13"/>
    </row>
    <row r="12858" spans="12:13" x14ac:dyDescent="0.2">
      <c r="L12858" s="12"/>
      <c r="M12858" s="13"/>
    </row>
    <row r="12859" spans="12:13" x14ac:dyDescent="0.2">
      <c r="L12859" s="12"/>
      <c r="M12859" s="13"/>
    </row>
    <row r="12860" spans="12:13" x14ac:dyDescent="0.2">
      <c r="L12860" s="12"/>
      <c r="M12860" s="13"/>
    </row>
    <row r="12861" spans="12:13" x14ac:dyDescent="0.2">
      <c r="L12861" s="12"/>
      <c r="M12861" s="13"/>
    </row>
    <row r="12862" spans="12:13" x14ac:dyDescent="0.2">
      <c r="L12862" s="12"/>
      <c r="M12862" s="13"/>
    </row>
    <row r="12863" spans="12:13" x14ac:dyDescent="0.2">
      <c r="L12863" s="12"/>
      <c r="M12863" s="13"/>
    </row>
    <row r="12864" spans="12:13" x14ac:dyDescent="0.2">
      <c r="L12864" s="12"/>
      <c r="M12864" s="13"/>
    </row>
    <row r="12865" spans="12:13" x14ac:dyDescent="0.2">
      <c r="L12865" s="12"/>
      <c r="M12865" s="13"/>
    </row>
    <row r="12866" spans="12:13" x14ac:dyDescent="0.2">
      <c r="L12866" s="12"/>
      <c r="M12866" s="13"/>
    </row>
    <row r="12867" spans="12:13" x14ac:dyDescent="0.2">
      <c r="L12867" s="12"/>
      <c r="M12867" s="13"/>
    </row>
    <row r="12868" spans="12:13" x14ac:dyDescent="0.2">
      <c r="L12868" s="12"/>
      <c r="M12868" s="13"/>
    </row>
    <row r="12869" spans="12:13" x14ac:dyDescent="0.2">
      <c r="L12869" s="12"/>
      <c r="M12869" s="13"/>
    </row>
    <row r="12870" spans="12:13" x14ac:dyDescent="0.2">
      <c r="L12870" s="12"/>
      <c r="M12870" s="13"/>
    </row>
    <row r="12871" spans="12:13" x14ac:dyDescent="0.2">
      <c r="L12871" s="12"/>
      <c r="M12871" s="13"/>
    </row>
    <row r="12872" spans="12:13" x14ac:dyDescent="0.2">
      <c r="L12872" s="12"/>
      <c r="M12872" s="13"/>
    </row>
    <row r="12873" spans="12:13" x14ac:dyDescent="0.2">
      <c r="L12873" s="12"/>
      <c r="M12873" s="13"/>
    </row>
    <row r="12874" spans="12:13" x14ac:dyDescent="0.2">
      <c r="L12874" s="12"/>
      <c r="M12874" s="13"/>
    </row>
    <row r="12875" spans="12:13" x14ac:dyDescent="0.2">
      <c r="L12875" s="12"/>
      <c r="M12875" s="13"/>
    </row>
    <row r="12876" spans="12:13" x14ac:dyDescent="0.2">
      <c r="L12876" s="12"/>
      <c r="M12876" s="13"/>
    </row>
    <row r="12877" spans="12:13" x14ac:dyDescent="0.2">
      <c r="L12877" s="12"/>
      <c r="M12877" s="13"/>
    </row>
    <row r="12878" spans="12:13" x14ac:dyDescent="0.2">
      <c r="L12878" s="12"/>
      <c r="M12878" s="13"/>
    </row>
    <row r="12879" spans="12:13" x14ac:dyDescent="0.2">
      <c r="L12879" s="12"/>
      <c r="M12879" s="13"/>
    </row>
    <row r="12880" spans="12:13" x14ac:dyDescent="0.2">
      <c r="L12880" s="12"/>
      <c r="M12880" s="13"/>
    </row>
    <row r="12881" spans="12:13" x14ac:dyDescent="0.2">
      <c r="L12881" s="12"/>
      <c r="M12881" s="13"/>
    </row>
    <row r="12882" spans="12:13" x14ac:dyDescent="0.2">
      <c r="L12882" s="12"/>
      <c r="M12882" s="13"/>
    </row>
    <row r="12883" spans="12:13" x14ac:dyDescent="0.2">
      <c r="L12883" s="12"/>
      <c r="M12883" s="13"/>
    </row>
    <row r="12884" spans="12:13" x14ac:dyDescent="0.2">
      <c r="L12884" s="12"/>
      <c r="M12884" s="13"/>
    </row>
    <row r="12885" spans="12:13" x14ac:dyDescent="0.2">
      <c r="L12885" s="12"/>
      <c r="M12885" s="13"/>
    </row>
    <row r="12886" spans="12:13" x14ac:dyDescent="0.2">
      <c r="L12886" s="12"/>
      <c r="M12886" s="13"/>
    </row>
    <row r="12887" spans="12:13" x14ac:dyDescent="0.2">
      <c r="L12887" s="12"/>
      <c r="M12887" s="13"/>
    </row>
    <row r="12888" spans="12:13" x14ac:dyDescent="0.2">
      <c r="L12888" s="12"/>
      <c r="M12888" s="13"/>
    </row>
    <row r="12889" spans="12:13" x14ac:dyDescent="0.2">
      <c r="L12889" s="12"/>
      <c r="M12889" s="13"/>
    </row>
    <row r="12890" spans="12:13" x14ac:dyDescent="0.2">
      <c r="L12890" s="12"/>
      <c r="M12890" s="13"/>
    </row>
    <row r="12891" spans="12:13" x14ac:dyDescent="0.2">
      <c r="L12891" s="12"/>
      <c r="M12891" s="13"/>
    </row>
    <row r="12892" spans="12:13" x14ac:dyDescent="0.2">
      <c r="L12892" s="12"/>
      <c r="M12892" s="13"/>
    </row>
    <row r="12893" spans="12:13" x14ac:dyDescent="0.2">
      <c r="L12893" s="12"/>
      <c r="M12893" s="13"/>
    </row>
    <row r="12894" spans="12:13" x14ac:dyDescent="0.2">
      <c r="L12894" s="12"/>
      <c r="M12894" s="13"/>
    </row>
    <row r="12895" spans="12:13" x14ac:dyDescent="0.2">
      <c r="L12895" s="12"/>
      <c r="M12895" s="13"/>
    </row>
    <row r="12896" spans="12:13" x14ac:dyDescent="0.2">
      <c r="L12896" s="12"/>
      <c r="M12896" s="13"/>
    </row>
    <row r="12897" spans="12:13" x14ac:dyDescent="0.2">
      <c r="L12897" s="12"/>
      <c r="M12897" s="13"/>
    </row>
    <row r="12898" spans="12:13" x14ac:dyDescent="0.2">
      <c r="L12898" s="12"/>
      <c r="M12898" s="13"/>
    </row>
    <row r="12899" spans="12:13" x14ac:dyDescent="0.2">
      <c r="L12899" s="12"/>
      <c r="M12899" s="13"/>
    </row>
    <row r="12900" spans="12:13" x14ac:dyDescent="0.2">
      <c r="L12900" s="12"/>
      <c r="M12900" s="13"/>
    </row>
    <row r="12901" spans="12:13" x14ac:dyDescent="0.2">
      <c r="L12901" s="12"/>
      <c r="M12901" s="13"/>
    </row>
    <row r="12902" spans="12:13" x14ac:dyDescent="0.2">
      <c r="L12902" s="12"/>
      <c r="M12902" s="13"/>
    </row>
    <row r="12903" spans="12:13" x14ac:dyDescent="0.2">
      <c r="L12903" s="12"/>
      <c r="M12903" s="13"/>
    </row>
    <row r="12904" spans="12:13" x14ac:dyDescent="0.2">
      <c r="L12904" s="12"/>
      <c r="M12904" s="13"/>
    </row>
    <row r="12905" spans="12:13" x14ac:dyDescent="0.2">
      <c r="L12905" s="12"/>
      <c r="M12905" s="13"/>
    </row>
    <row r="12906" spans="12:13" x14ac:dyDescent="0.2">
      <c r="L12906" s="12"/>
      <c r="M12906" s="13"/>
    </row>
    <row r="12907" spans="12:13" x14ac:dyDescent="0.2">
      <c r="L12907" s="12"/>
      <c r="M12907" s="13"/>
    </row>
    <row r="12908" spans="12:13" x14ac:dyDescent="0.2">
      <c r="L12908" s="12"/>
      <c r="M12908" s="13"/>
    </row>
    <row r="12909" spans="12:13" x14ac:dyDescent="0.2">
      <c r="L12909" s="12"/>
      <c r="M12909" s="13"/>
    </row>
    <row r="12910" spans="12:13" x14ac:dyDescent="0.2">
      <c r="L12910" s="12"/>
      <c r="M12910" s="13"/>
    </row>
    <row r="12911" spans="12:13" x14ac:dyDescent="0.2">
      <c r="L12911" s="12"/>
      <c r="M12911" s="13"/>
    </row>
    <row r="12912" spans="12:13" x14ac:dyDescent="0.2">
      <c r="L12912" s="12"/>
      <c r="M12912" s="13"/>
    </row>
    <row r="12913" spans="12:13" x14ac:dyDescent="0.2">
      <c r="L12913" s="12"/>
      <c r="M12913" s="13"/>
    </row>
    <row r="12914" spans="12:13" x14ac:dyDescent="0.2">
      <c r="L12914" s="12"/>
      <c r="M12914" s="13"/>
    </row>
    <row r="12915" spans="12:13" x14ac:dyDescent="0.2">
      <c r="L12915" s="12"/>
      <c r="M12915" s="13"/>
    </row>
    <row r="12916" spans="12:13" x14ac:dyDescent="0.2">
      <c r="L12916" s="12"/>
      <c r="M12916" s="13"/>
    </row>
    <row r="12917" spans="12:13" x14ac:dyDescent="0.2">
      <c r="L12917" s="12"/>
      <c r="M12917" s="13"/>
    </row>
    <row r="12918" spans="12:13" x14ac:dyDescent="0.2">
      <c r="L12918" s="12"/>
      <c r="M12918" s="13"/>
    </row>
    <row r="12919" spans="12:13" x14ac:dyDescent="0.2">
      <c r="L12919" s="12"/>
      <c r="M12919" s="13"/>
    </row>
    <row r="12920" spans="12:13" x14ac:dyDescent="0.2">
      <c r="L12920" s="12"/>
      <c r="M12920" s="13"/>
    </row>
    <row r="12921" spans="12:13" x14ac:dyDescent="0.2">
      <c r="L12921" s="12"/>
      <c r="M12921" s="13"/>
    </row>
    <row r="12922" spans="12:13" x14ac:dyDescent="0.2">
      <c r="L12922" s="12"/>
      <c r="M12922" s="13"/>
    </row>
    <row r="12923" spans="12:13" x14ac:dyDescent="0.2">
      <c r="L12923" s="12"/>
      <c r="M12923" s="13"/>
    </row>
    <row r="12924" spans="12:13" x14ac:dyDescent="0.2">
      <c r="L12924" s="12"/>
      <c r="M12924" s="13"/>
    </row>
    <row r="12925" spans="12:13" x14ac:dyDescent="0.2">
      <c r="L12925" s="12"/>
      <c r="M12925" s="13"/>
    </row>
    <row r="12926" spans="12:13" x14ac:dyDescent="0.2">
      <c r="L12926" s="12"/>
      <c r="M12926" s="13"/>
    </row>
    <row r="12927" spans="12:13" x14ac:dyDescent="0.2">
      <c r="L12927" s="12"/>
      <c r="M12927" s="13"/>
    </row>
    <row r="12928" spans="12:13" x14ac:dyDescent="0.2">
      <c r="L12928" s="12"/>
      <c r="M12928" s="13"/>
    </row>
    <row r="12929" spans="12:13" x14ac:dyDescent="0.2">
      <c r="L12929" s="12"/>
      <c r="M12929" s="13"/>
    </row>
    <row r="12930" spans="12:13" x14ac:dyDescent="0.2">
      <c r="L12930" s="12"/>
      <c r="M12930" s="13"/>
    </row>
    <row r="12931" spans="12:13" x14ac:dyDescent="0.2">
      <c r="L12931" s="12"/>
      <c r="M12931" s="13"/>
    </row>
    <row r="12932" spans="12:13" x14ac:dyDescent="0.2">
      <c r="L12932" s="12"/>
      <c r="M12932" s="13"/>
    </row>
    <row r="12933" spans="12:13" x14ac:dyDescent="0.2">
      <c r="L12933" s="12"/>
      <c r="M12933" s="13"/>
    </row>
    <row r="12934" spans="12:13" x14ac:dyDescent="0.2">
      <c r="L12934" s="12"/>
      <c r="M12934" s="13"/>
    </row>
    <row r="12935" spans="12:13" x14ac:dyDescent="0.2">
      <c r="L12935" s="12"/>
      <c r="M12935" s="13"/>
    </row>
    <row r="12936" spans="12:13" x14ac:dyDescent="0.2">
      <c r="L12936" s="12"/>
      <c r="M12936" s="13"/>
    </row>
    <row r="12937" spans="12:13" x14ac:dyDescent="0.2">
      <c r="L12937" s="12"/>
      <c r="M12937" s="13"/>
    </row>
    <row r="12938" spans="12:13" x14ac:dyDescent="0.2">
      <c r="L12938" s="12"/>
      <c r="M12938" s="13"/>
    </row>
    <row r="12939" spans="12:13" x14ac:dyDescent="0.2">
      <c r="L12939" s="12"/>
      <c r="M12939" s="13"/>
    </row>
    <row r="12940" spans="12:13" x14ac:dyDescent="0.2">
      <c r="L12940" s="12"/>
      <c r="M12940" s="13"/>
    </row>
    <row r="12941" spans="12:13" x14ac:dyDescent="0.2">
      <c r="L12941" s="12"/>
      <c r="M12941" s="13"/>
    </row>
    <row r="12942" spans="12:13" x14ac:dyDescent="0.2">
      <c r="L12942" s="12"/>
      <c r="M12942" s="13"/>
    </row>
    <row r="12943" spans="12:13" x14ac:dyDescent="0.2">
      <c r="L12943" s="12"/>
      <c r="M12943" s="13"/>
    </row>
    <row r="12944" spans="12:13" x14ac:dyDescent="0.2">
      <c r="L12944" s="12"/>
      <c r="M12944" s="13"/>
    </row>
    <row r="12945" spans="12:13" x14ac:dyDescent="0.2">
      <c r="L12945" s="12"/>
      <c r="M12945" s="13"/>
    </row>
    <row r="12946" spans="12:13" x14ac:dyDescent="0.2">
      <c r="L12946" s="12"/>
      <c r="M12946" s="13"/>
    </row>
    <row r="12947" spans="12:13" x14ac:dyDescent="0.2">
      <c r="L12947" s="12"/>
      <c r="M12947" s="13"/>
    </row>
    <row r="12948" spans="12:13" x14ac:dyDescent="0.2">
      <c r="L12948" s="12"/>
      <c r="M12948" s="13"/>
    </row>
    <row r="12949" spans="12:13" x14ac:dyDescent="0.2">
      <c r="L12949" s="12"/>
      <c r="M12949" s="13"/>
    </row>
    <row r="12950" spans="12:13" x14ac:dyDescent="0.2">
      <c r="L12950" s="12"/>
      <c r="M12950" s="13"/>
    </row>
    <row r="12951" spans="12:13" x14ac:dyDescent="0.2">
      <c r="L12951" s="12"/>
      <c r="M12951" s="13"/>
    </row>
    <row r="12952" spans="12:13" x14ac:dyDescent="0.2">
      <c r="L12952" s="12"/>
      <c r="M12952" s="13"/>
    </row>
    <row r="12953" spans="12:13" x14ac:dyDescent="0.2">
      <c r="L12953" s="12"/>
      <c r="M12953" s="13"/>
    </row>
    <row r="12954" spans="12:13" x14ac:dyDescent="0.2">
      <c r="L12954" s="12"/>
      <c r="M12954" s="13"/>
    </row>
    <row r="12955" spans="12:13" x14ac:dyDescent="0.2">
      <c r="L12955" s="12"/>
      <c r="M12955" s="13"/>
    </row>
    <row r="12956" spans="12:13" x14ac:dyDescent="0.2">
      <c r="L12956" s="12"/>
      <c r="M12956" s="13"/>
    </row>
    <row r="12957" spans="12:13" x14ac:dyDescent="0.2">
      <c r="L12957" s="12"/>
      <c r="M12957" s="13"/>
    </row>
    <row r="12958" spans="12:13" x14ac:dyDescent="0.2">
      <c r="L12958" s="12"/>
      <c r="M12958" s="13"/>
    </row>
    <row r="12959" spans="12:13" x14ac:dyDescent="0.2">
      <c r="L12959" s="12"/>
      <c r="M12959" s="13"/>
    </row>
    <row r="12960" spans="12:13" x14ac:dyDescent="0.2">
      <c r="L12960" s="12"/>
      <c r="M12960" s="13"/>
    </row>
    <row r="12961" spans="12:13" x14ac:dyDescent="0.2">
      <c r="L12961" s="12"/>
      <c r="M12961" s="13"/>
    </row>
    <row r="12962" spans="12:13" x14ac:dyDescent="0.2">
      <c r="L12962" s="12"/>
      <c r="M12962" s="13"/>
    </row>
    <row r="12963" spans="12:13" x14ac:dyDescent="0.2">
      <c r="L12963" s="12"/>
      <c r="M12963" s="13"/>
    </row>
    <row r="12964" spans="12:13" x14ac:dyDescent="0.2">
      <c r="L12964" s="12"/>
      <c r="M12964" s="13"/>
    </row>
    <row r="12965" spans="12:13" x14ac:dyDescent="0.2">
      <c r="L12965" s="12"/>
      <c r="M12965" s="13"/>
    </row>
    <row r="12966" spans="12:13" x14ac:dyDescent="0.2">
      <c r="L12966" s="12"/>
      <c r="M12966" s="13"/>
    </row>
    <row r="12967" spans="12:13" x14ac:dyDescent="0.2">
      <c r="L12967" s="12"/>
      <c r="M12967" s="13"/>
    </row>
    <row r="12968" spans="12:13" x14ac:dyDescent="0.2">
      <c r="L12968" s="12"/>
      <c r="M12968" s="13"/>
    </row>
    <row r="12969" spans="12:13" x14ac:dyDescent="0.2">
      <c r="L12969" s="12"/>
      <c r="M12969" s="13"/>
    </row>
    <row r="12970" spans="12:13" x14ac:dyDescent="0.2">
      <c r="L12970" s="12"/>
      <c r="M12970" s="13"/>
    </row>
    <row r="12971" spans="12:13" x14ac:dyDescent="0.2">
      <c r="L12971" s="12"/>
      <c r="M12971" s="13"/>
    </row>
    <row r="12972" spans="12:13" x14ac:dyDescent="0.2">
      <c r="L12972" s="12"/>
      <c r="M12972" s="13"/>
    </row>
    <row r="12973" spans="12:13" x14ac:dyDescent="0.2">
      <c r="L12973" s="12"/>
      <c r="M12973" s="13"/>
    </row>
    <row r="12974" spans="12:13" x14ac:dyDescent="0.2">
      <c r="L12974" s="12"/>
      <c r="M12974" s="13"/>
    </row>
    <row r="12975" spans="12:13" x14ac:dyDescent="0.2">
      <c r="L12975" s="12"/>
      <c r="M12975" s="13"/>
    </row>
    <row r="12976" spans="12:13" x14ac:dyDescent="0.2">
      <c r="L12976" s="12"/>
      <c r="M12976" s="13"/>
    </row>
    <row r="12977" spans="12:13" x14ac:dyDescent="0.2">
      <c r="L12977" s="12"/>
      <c r="M12977" s="13"/>
    </row>
    <row r="12978" spans="12:13" x14ac:dyDescent="0.2">
      <c r="L12978" s="12"/>
      <c r="M12978" s="13"/>
    </row>
    <row r="12979" spans="12:13" x14ac:dyDescent="0.2">
      <c r="L12979" s="12"/>
      <c r="M12979" s="13"/>
    </row>
    <row r="12980" spans="12:13" x14ac:dyDescent="0.2">
      <c r="L12980" s="12"/>
      <c r="M12980" s="13"/>
    </row>
    <row r="12981" spans="12:13" x14ac:dyDescent="0.2">
      <c r="L12981" s="12"/>
      <c r="M12981" s="13"/>
    </row>
    <row r="12982" spans="12:13" x14ac:dyDescent="0.2">
      <c r="L12982" s="12"/>
      <c r="M12982" s="13"/>
    </row>
    <row r="12983" spans="12:13" x14ac:dyDescent="0.2">
      <c r="L12983" s="12"/>
      <c r="M12983" s="13"/>
    </row>
    <row r="12984" spans="12:13" x14ac:dyDescent="0.2">
      <c r="L12984" s="12"/>
      <c r="M12984" s="13"/>
    </row>
    <row r="12985" spans="12:13" x14ac:dyDescent="0.2">
      <c r="L12985" s="12"/>
      <c r="M12985" s="13"/>
    </row>
    <row r="12986" spans="12:13" x14ac:dyDescent="0.2">
      <c r="L12986" s="12"/>
      <c r="M12986" s="13"/>
    </row>
    <row r="12987" spans="12:13" x14ac:dyDescent="0.2">
      <c r="L12987" s="12"/>
      <c r="M12987" s="13"/>
    </row>
    <row r="12988" spans="12:13" x14ac:dyDescent="0.2">
      <c r="L12988" s="12"/>
      <c r="M12988" s="13"/>
    </row>
    <row r="12989" spans="12:13" x14ac:dyDescent="0.2">
      <c r="L12989" s="12"/>
      <c r="M12989" s="13"/>
    </row>
    <row r="12990" spans="12:13" x14ac:dyDescent="0.2">
      <c r="L12990" s="12"/>
      <c r="M12990" s="13"/>
    </row>
    <row r="12991" spans="12:13" x14ac:dyDescent="0.2">
      <c r="L12991" s="12"/>
      <c r="M12991" s="13"/>
    </row>
    <row r="12992" spans="12:13" x14ac:dyDescent="0.2">
      <c r="L12992" s="12"/>
      <c r="M12992" s="13"/>
    </row>
    <row r="12993" spans="12:13" x14ac:dyDescent="0.2">
      <c r="L12993" s="12"/>
      <c r="M12993" s="13"/>
    </row>
    <row r="12994" spans="12:13" x14ac:dyDescent="0.2">
      <c r="L12994" s="12"/>
      <c r="M12994" s="13"/>
    </row>
    <row r="12995" spans="12:13" x14ac:dyDescent="0.2">
      <c r="L12995" s="12"/>
      <c r="M12995" s="13"/>
    </row>
    <row r="12996" spans="12:13" x14ac:dyDescent="0.2">
      <c r="L12996" s="12"/>
      <c r="M12996" s="13"/>
    </row>
    <row r="12997" spans="12:13" x14ac:dyDescent="0.2">
      <c r="L12997" s="12"/>
      <c r="M12997" s="13"/>
    </row>
    <row r="12998" spans="12:13" x14ac:dyDescent="0.2">
      <c r="L12998" s="12"/>
      <c r="M12998" s="13"/>
    </row>
    <row r="12999" spans="12:13" x14ac:dyDescent="0.2">
      <c r="L12999" s="12"/>
      <c r="M12999" s="13"/>
    </row>
    <row r="13000" spans="12:13" x14ac:dyDescent="0.2">
      <c r="L13000" s="12"/>
      <c r="M13000" s="13"/>
    </row>
    <row r="13001" spans="12:13" x14ac:dyDescent="0.2">
      <c r="L13001" s="12"/>
      <c r="M13001" s="13"/>
    </row>
    <row r="13002" spans="12:13" x14ac:dyDescent="0.2">
      <c r="L13002" s="12"/>
      <c r="M13002" s="13"/>
    </row>
    <row r="13003" spans="12:13" x14ac:dyDescent="0.2">
      <c r="L13003" s="12"/>
      <c r="M13003" s="13"/>
    </row>
    <row r="13004" spans="12:13" x14ac:dyDescent="0.2">
      <c r="L13004" s="12"/>
      <c r="M13004" s="13"/>
    </row>
    <row r="13005" spans="12:13" x14ac:dyDescent="0.2">
      <c r="L13005" s="12"/>
      <c r="M13005" s="13"/>
    </row>
    <row r="13006" spans="12:13" x14ac:dyDescent="0.2">
      <c r="L13006" s="12"/>
      <c r="M13006" s="13"/>
    </row>
    <row r="13007" spans="12:13" x14ac:dyDescent="0.2">
      <c r="L13007" s="12"/>
      <c r="M13007" s="13"/>
    </row>
    <row r="13008" spans="12:13" x14ac:dyDescent="0.2">
      <c r="L13008" s="12"/>
      <c r="M13008" s="13"/>
    </row>
    <row r="13009" spans="12:13" x14ac:dyDescent="0.2">
      <c r="L13009" s="12"/>
      <c r="M13009" s="13"/>
    </row>
    <row r="13010" spans="12:13" x14ac:dyDescent="0.2">
      <c r="L13010" s="12"/>
      <c r="M13010" s="13"/>
    </row>
    <row r="13011" spans="12:13" x14ac:dyDescent="0.2">
      <c r="L13011" s="12"/>
      <c r="M13011" s="13"/>
    </row>
    <row r="13012" spans="12:13" x14ac:dyDescent="0.2">
      <c r="L13012" s="12"/>
      <c r="M13012" s="13"/>
    </row>
    <row r="13013" spans="12:13" x14ac:dyDescent="0.2">
      <c r="L13013" s="12"/>
      <c r="M13013" s="13"/>
    </row>
    <row r="13014" spans="12:13" x14ac:dyDescent="0.2">
      <c r="L13014" s="12"/>
      <c r="M13014" s="13"/>
    </row>
    <row r="13015" spans="12:13" x14ac:dyDescent="0.2">
      <c r="L13015" s="12"/>
      <c r="M13015" s="13"/>
    </row>
    <row r="13016" spans="12:13" x14ac:dyDescent="0.2">
      <c r="L13016" s="12"/>
      <c r="M13016" s="13"/>
    </row>
    <row r="13017" spans="12:13" x14ac:dyDescent="0.2">
      <c r="L13017" s="12"/>
      <c r="M13017" s="13"/>
    </row>
    <row r="13018" spans="12:13" x14ac:dyDescent="0.2">
      <c r="L13018" s="12"/>
      <c r="M13018" s="13"/>
    </row>
    <row r="13019" spans="12:13" x14ac:dyDescent="0.2">
      <c r="L13019" s="12"/>
      <c r="M13019" s="13"/>
    </row>
    <row r="13020" spans="12:13" x14ac:dyDescent="0.2">
      <c r="L13020" s="12"/>
      <c r="M13020" s="13"/>
    </row>
    <row r="13021" spans="12:13" x14ac:dyDescent="0.2">
      <c r="L13021" s="12"/>
      <c r="M13021" s="13"/>
    </row>
    <row r="13022" spans="12:13" x14ac:dyDescent="0.2">
      <c r="L13022" s="12"/>
      <c r="M13022" s="13"/>
    </row>
    <row r="13023" spans="12:13" x14ac:dyDescent="0.2">
      <c r="L13023" s="12"/>
      <c r="M13023" s="13"/>
    </row>
    <row r="13024" spans="12:13" x14ac:dyDescent="0.2">
      <c r="L13024" s="12"/>
      <c r="M13024" s="13"/>
    </row>
    <row r="13025" spans="12:13" x14ac:dyDescent="0.2">
      <c r="L13025" s="12"/>
      <c r="M13025" s="13"/>
    </row>
    <row r="13026" spans="12:13" x14ac:dyDescent="0.2">
      <c r="L13026" s="12"/>
      <c r="M13026" s="13"/>
    </row>
    <row r="13027" spans="12:13" x14ac:dyDescent="0.2">
      <c r="L13027" s="12"/>
      <c r="M13027" s="13"/>
    </row>
    <row r="13028" spans="12:13" x14ac:dyDescent="0.2">
      <c r="L13028" s="12"/>
      <c r="M13028" s="13"/>
    </row>
    <row r="13029" spans="12:13" x14ac:dyDescent="0.2">
      <c r="L13029" s="12"/>
      <c r="M13029" s="13"/>
    </row>
    <row r="13030" spans="12:13" x14ac:dyDescent="0.2">
      <c r="L13030" s="12"/>
      <c r="M13030" s="13"/>
    </row>
    <row r="13031" spans="12:13" x14ac:dyDescent="0.2">
      <c r="L13031" s="12"/>
      <c r="M13031" s="13"/>
    </row>
    <row r="13032" spans="12:13" x14ac:dyDescent="0.2">
      <c r="L13032" s="12"/>
      <c r="M13032" s="13"/>
    </row>
    <row r="13033" spans="12:13" x14ac:dyDescent="0.2">
      <c r="L13033" s="12"/>
      <c r="M13033" s="13"/>
    </row>
    <row r="13034" spans="12:13" x14ac:dyDescent="0.2">
      <c r="L13034" s="12"/>
      <c r="M13034" s="13"/>
    </row>
    <row r="13035" spans="12:13" x14ac:dyDescent="0.2">
      <c r="L13035" s="12"/>
      <c r="M13035" s="13"/>
    </row>
    <row r="13036" spans="12:13" x14ac:dyDescent="0.2">
      <c r="L13036" s="12"/>
      <c r="M13036" s="13"/>
    </row>
    <row r="13037" spans="12:13" x14ac:dyDescent="0.2">
      <c r="L13037" s="12"/>
      <c r="M13037" s="13"/>
    </row>
    <row r="13038" spans="12:13" x14ac:dyDescent="0.2">
      <c r="L13038" s="12"/>
      <c r="M13038" s="13"/>
    </row>
    <row r="13039" spans="12:13" x14ac:dyDescent="0.2">
      <c r="L13039" s="12"/>
      <c r="M13039" s="13"/>
    </row>
    <row r="13040" spans="12:13" x14ac:dyDescent="0.2">
      <c r="L13040" s="12"/>
      <c r="M13040" s="13"/>
    </row>
    <row r="13041" spans="12:13" x14ac:dyDescent="0.2">
      <c r="L13041" s="12"/>
      <c r="M13041" s="13"/>
    </row>
    <row r="13042" spans="12:13" x14ac:dyDescent="0.2">
      <c r="L13042" s="12"/>
      <c r="M13042" s="13"/>
    </row>
    <row r="13043" spans="12:13" x14ac:dyDescent="0.2">
      <c r="L13043" s="12"/>
      <c r="M13043" s="13"/>
    </row>
    <row r="13044" spans="12:13" x14ac:dyDescent="0.2">
      <c r="L13044" s="12"/>
      <c r="M13044" s="13"/>
    </row>
    <row r="13045" spans="12:13" x14ac:dyDescent="0.2">
      <c r="L13045" s="12"/>
      <c r="M13045" s="13"/>
    </row>
    <row r="13046" spans="12:13" x14ac:dyDescent="0.2">
      <c r="L13046" s="12"/>
      <c r="M13046" s="13"/>
    </row>
    <row r="13047" spans="12:13" x14ac:dyDescent="0.2">
      <c r="L13047" s="12"/>
      <c r="M13047" s="13"/>
    </row>
    <row r="13048" spans="12:13" x14ac:dyDescent="0.2">
      <c r="L13048" s="12"/>
      <c r="M13048" s="13"/>
    </row>
    <row r="13049" spans="12:13" x14ac:dyDescent="0.2">
      <c r="L13049" s="12"/>
      <c r="M13049" s="13"/>
    </row>
    <row r="13050" spans="12:13" x14ac:dyDescent="0.2">
      <c r="L13050" s="12"/>
      <c r="M13050" s="13"/>
    </row>
    <row r="13051" spans="12:13" x14ac:dyDescent="0.2">
      <c r="L13051" s="12"/>
      <c r="M13051" s="13"/>
    </row>
    <row r="13052" spans="12:13" x14ac:dyDescent="0.2">
      <c r="L13052" s="12"/>
      <c r="M13052" s="13"/>
    </row>
    <row r="13053" spans="12:13" x14ac:dyDescent="0.2">
      <c r="L13053" s="12"/>
      <c r="M13053" s="13"/>
    </row>
    <row r="13054" spans="12:13" x14ac:dyDescent="0.2">
      <c r="L13054" s="12"/>
      <c r="M13054" s="13"/>
    </row>
    <row r="13055" spans="12:13" x14ac:dyDescent="0.2">
      <c r="L13055" s="12"/>
      <c r="M13055" s="13"/>
    </row>
    <row r="13056" spans="12:13" x14ac:dyDescent="0.2">
      <c r="L13056" s="12"/>
      <c r="M13056" s="13"/>
    </row>
    <row r="13057" spans="12:13" x14ac:dyDescent="0.2">
      <c r="L13057" s="12"/>
      <c r="M13057" s="13"/>
    </row>
    <row r="13058" spans="12:13" x14ac:dyDescent="0.2">
      <c r="L13058" s="17"/>
      <c r="M13058" s="18"/>
    </row>
    <row r="13059" spans="12:13" x14ac:dyDescent="0.2">
      <c r="L13059" s="12"/>
      <c r="M13059" s="13"/>
    </row>
    <row r="13060" spans="12:13" x14ac:dyDescent="0.2">
      <c r="L13060" s="12"/>
      <c r="M13060" s="13"/>
    </row>
    <row r="13061" spans="12:13" x14ac:dyDescent="0.2">
      <c r="L13061" s="12"/>
      <c r="M13061" s="13"/>
    </row>
    <row r="13062" spans="12:13" x14ac:dyDescent="0.2">
      <c r="L13062" s="12"/>
      <c r="M13062" s="13"/>
    </row>
    <row r="13063" spans="12:13" x14ac:dyDescent="0.2">
      <c r="L13063" s="12"/>
      <c r="M13063" s="13"/>
    </row>
    <row r="13064" spans="12:13" x14ac:dyDescent="0.2">
      <c r="L13064" s="12"/>
      <c r="M13064" s="13"/>
    </row>
    <row r="13065" spans="12:13" x14ac:dyDescent="0.2">
      <c r="L13065" s="12"/>
      <c r="M13065" s="13"/>
    </row>
    <row r="13066" spans="12:13" x14ac:dyDescent="0.2">
      <c r="L13066" s="12"/>
      <c r="M13066" s="13"/>
    </row>
    <row r="13067" spans="12:13" x14ac:dyDescent="0.2">
      <c r="L13067" s="12"/>
      <c r="M13067" s="13"/>
    </row>
    <row r="13068" spans="12:13" x14ac:dyDescent="0.2">
      <c r="L13068" s="12"/>
      <c r="M13068" s="13"/>
    </row>
    <row r="13069" spans="12:13" x14ac:dyDescent="0.2">
      <c r="L13069" s="12"/>
      <c r="M13069" s="13"/>
    </row>
    <row r="13070" spans="12:13" x14ac:dyDescent="0.2">
      <c r="L13070" s="12"/>
      <c r="M13070" s="13"/>
    </row>
    <row r="13071" spans="12:13" x14ac:dyDescent="0.2">
      <c r="L13071" s="12"/>
      <c r="M13071" s="13"/>
    </row>
    <row r="13072" spans="12:13" x14ac:dyDescent="0.2">
      <c r="L13072" s="12"/>
      <c r="M13072" s="13"/>
    </row>
    <row r="13073" spans="12:13" x14ac:dyDescent="0.2">
      <c r="L13073" s="12"/>
      <c r="M13073" s="13"/>
    </row>
    <row r="13074" spans="12:13" x14ac:dyDescent="0.2">
      <c r="L13074" s="12"/>
      <c r="M13074" s="13"/>
    </row>
    <row r="13075" spans="12:13" x14ac:dyDescent="0.2">
      <c r="L13075" s="12"/>
      <c r="M13075" s="13"/>
    </row>
    <row r="13076" spans="12:13" x14ac:dyDescent="0.2">
      <c r="L13076" s="12"/>
      <c r="M13076" s="13"/>
    </row>
    <row r="13077" spans="12:13" x14ac:dyDescent="0.2">
      <c r="L13077" s="12"/>
      <c r="M13077" s="13"/>
    </row>
    <row r="13078" spans="12:13" x14ac:dyDescent="0.2">
      <c r="L13078" s="12"/>
      <c r="M13078" s="13"/>
    </row>
    <row r="13079" spans="12:13" x14ac:dyDescent="0.2">
      <c r="L13079" s="12"/>
      <c r="M13079" s="13"/>
    </row>
    <row r="13080" spans="12:13" x14ac:dyDescent="0.2">
      <c r="L13080" s="12"/>
      <c r="M13080" s="13"/>
    </row>
    <row r="13081" spans="12:13" x14ac:dyDescent="0.2">
      <c r="L13081" s="12"/>
      <c r="M13081" s="13"/>
    </row>
    <row r="13082" spans="12:13" x14ac:dyDescent="0.2">
      <c r="L13082" s="12"/>
      <c r="M13082" s="13"/>
    </row>
    <row r="13083" spans="12:13" x14ac:dyDescent="0.2">
      <c r="L13083" s="12"/>
      <c r="M13083" s="13"/>
    </row>
    <row r="13084" spans="12:13" x14ac:dyDescent="0.2">
      <c r="L13084" s="12"/>
      <c r="M13084" s="13"/>
    </row>
    <row r="13085" spans="12:13" x14ac:dyDescent="0.2">
      <c r="L13085" s="12"/>
      <c r="M13085" s="13"/>
    </row>
    <row r="13086" spans="12:13" x14ac:dyDescent="0.2">
      <c r="L13086" s="12"/>
      <c r="M13086" s="13"/>
    </row>
    <row r="13087" spans="12:13" x14ac:dyDescent="0.2">
      <c r="L13087" s="12"/>
      <c r="M13087" s="13"/>
    </row>
    <row r="13088" spans="12:13" x14ac:dyDescent="0.2">
      <c r="L13088" s="12"/>
      <c r="M13088" s="13"/>
    </row>
    <row r="13089" spans="12:13" x14ac:dyDescent="0.2">
      <c r="L13089" s="12"/>
      <c r="M13089" s="13"/>
    </row>
    <row r="13090" spans="12:13" x14ac:dyDescent="0.2">
      <c r="L13090" s="12"/>
      <c r="M13090" s="13"/>
    </row>
    <row r="13091" spans="12:13" x14ac:dyDescent="0.2">
      <c r="L13091" s="12"/>
      <c r="M13091" s="13"/>
    </row>
    <row r="13092" spans="12:13" x14ac:dyDescent="0.2">
      <c r="L13092" s="12"/>
      <c r="M13092" s="13"/>
    </row>
    <row r="13093" spans="12:13" x14ac:dyDescent="0.2">
      <c r="L13093" s="12"/>
      <c r="M13093" s="13"/>
    </row>
    <row r="13094" spans="12:13" x14ac:dyDescent="0.2">
      <c r="L13094" s="12"/>
      <c r="M13094" s="13"/>
    </row>
    <row r="13095" spans="12:13" x14ac:dyDescent="0.2">
      <c r="L13095" s="12"/>
      <c r="M13095" s="13"/>
    </row>
    <row r="13096" spans="12:13" x14ac:dyDescent="0.2">
      <c r="L13096" s="12"/>
      <c r="M13096" s="13"/>
    </row>
    <row r="13097" spans="12:13" x14ac:dyDescent="0.2">
      <c r="L13097" s="12"/>
      <c r="M13097" s="13"/>
    </row>
    <row r="13098" spans="12:13" x14ac:dyDescent="0.2">
      <c r="L13098" s="12"/>
      <c r="M13098" s="13"/>
    </row>
    <row r="13099" spans="12:13" x14ac:dyDescent="0.2">
      <c r="L13099" s="12"/>
      <c r="M13099" s="13"/>
    </row>
    <row r="13100" spans="12:13" x14ac:dyDescent="0.2">
      <c r="L13100" s="12"/>
      <c r="M13100" s="13"/>
    </row>
    <row r="13101" spans="12:13" x14ac:dyDescent="0.2">
      <c r="L13101" s="12"/>
      <c r="M13101" s="13"/>
    </row>
    <row r="13102" spans="12:13" x14ac:dyDescent="0.2">
      <c r="L13102" s="12"/>
      <c r="M13102" s="13"/>
    </row>
    <row r="13103" spans="12:13" x14ac:dyDescent="0.2">
      <c r="L13103" s="12"/>
      <c r="M13103" s="13"/>
    </row>
    <row r="13104" spans="12:13" x14ac:dyDescent="0.2">
      <c r="L13104" s="12"/>
      <c r="M13104" s="13"/>
    </row>
    <row r="13105" spans="12:13" x14ac:dyDescent="0.2">
      <c r="L13105" s="12"/>
      <c r="M13105" s="13"/>
    </row>
    <row r="13106" spans="12:13" x14ac:dyDescent="0.2">
      <c r="L13106" s="12"/>
      <c r="M13106" s="13"/>
    </row>
    <row r="13107" spans="12:13" x14ac:dyDescent="0.2">
      <c r="L13107" s="12"/>
      <c r="M13107" s="13"/>
    </row>
    <row r="13108" spans="12:13" x14ac:dyDescent="0.2">
      <c r="L13108" s="12"/>
      <c r="M13108" s="13"/>
    </row>
    <row r="13109" spans="12:13" x14ac:dyDescent="0.2">
      <c r="L13109" s="12"/>
      <c r="M13109" s="13"/>
    </row>
    <row r="13110" spans="12:13" x14ac:dyDescent="0.2">
      <c r="L13110" s="12"/>
      <c r="M13110" s="13"/>
    </row>
    <row r="13111" spans="12:13" x14ac:dyDescent="0.2">
      <c r="L13111" s="12"/>
      <c r="M13111" s="13"/>
    </row>
    <row r="13112" spans="12:13" x14ac:dyDescent="0.2">
      <c r="L13112" s="12"/>
      <c r="M13112" s="13"/>
    </row>
    <row r="13113" spans="12:13" x14ac:dyDescent="0.2">
      <c r="L13113" s="12"/>
      <c r="M13113" s="13"/>
    </row>
    <row r="13114" spans="12:13" x14ac:dyDescent="0.2">
      <c r="L13114" s="12"/>
      <c r="M13114" s="13"/>
    </row>
    <row r="13115" spans="12:13" x14ac:dyDescent="0.2">
      <c r="L13115" s="12"/>
      <c r="M13115" s="13"/>
    </row>
    <row r="13116" spans="12:13" x14ac:dyDescent="0.2">
      <c r="L13116" s="12"/>
      <c r="M13116" s="13"/>
    </row>
    <row r="13117" spans="12:13" x14ac:dyDescent="0.2">
      <c r="L13117" s="12"/>
      <c r="M13117" s="13"/>
    </row>
    <row r="13118" spans="12:13" x14ac:dyDescent="0.2">
      <c r="L13118" s="12"/>
      <c r="M13118" s="13"/>
    </row>
    <row r="13119" spans="12:13" x14ac:dyDescent="0.2">
      <c r="L13119" s="12"/>
      <c r="M13119" s="13"/>
    </row>
    <row r="13120" spans="12:13" x14ac:dyDescent="0.2">
      <c r="L13120" s="12"/>
      <c r="M13120" s="13"/>
    </row>
    <row r="13121" spans="12:13" x14ac:dyDescent="0.2">
      <c r="L13121" s="12"/>
      <c r="M13121" s="13"/>
    </row>
    <row r="13122" spans="12:13" x14ac:dyDescent="0.2">
      <c r="L13122" s="12"/>
      <c r="M13122" s="13"/>
    </row>
    <row r="13123" spans="12:13" x14ac:dyDescent="0.2">
      <c r="L13123" s="12"/>
      <c r="M13123" s="13"/>
    </row>
    <row r="13124" spans="12:13" x14ac:dyDescent="0.2">
      <c r="L13124" s="12"/>
      <c r="M13124" s="13"/>
    </row>
    <row r="13125" spans="12:13" x14ac:dyDescent="0.2">
      <c r="L13125" s="12"/>
      <c r="M13125" s="13"/>
    </row>
    <row r="13126" spans="12:13" x14ac:dyDescent="0.2">
      <c r="L13126" s="12"/>
      <c r="M13126" s="13"/>
    </row>
    <row r="13127" spans="12:13" x14ac:dyDescent="0.2">
      <c r="L13127" s="12"/>
      <c r="M13127" s="13"/>
    </row>
    <row r="13128" spans="12:13" x14ac:dyDescent="0.2">
      <c r="L13128" s="12"/>
      <c r="M13128" s="13"/>
    </row>
    <row r="13129" spans="12:13" x14ac:dyDescent="0.2">
      <c r="L13129" s="12"/>
      <c r="M13129" s="13"/>
    </row>
    <row r="13130" spans="12:13" x14ac:dyDescent="0.2">
      <c r="L13130" s="12"/>
      <c r="M13130" s="13"/>
    </row>
    <row r="13131" spans="12:13" x14ac:dyDescent="0.2">
      <c r="L13131" s="12"/>
      <c r="M13131" s="13"/>
    </row>
    <row r="13132" spans="12:13" x14ac:dyDescent="0.2">
      <c r="L13132" s="12"/>
      <c r="M13132" s="13"/>
    </row>
    <row r="13133" spans="12:13" x14ac:dyDescent="0.2">
      <c r="L13133" s="12"/>
      <c r="M13133" s="13"/>
    </row>
    <row r="13134" spans="12:13" x14ac:dyDescent="0.2">
      <c r="L13134" s="12"/>
      <c r="M13134" s="13"/>
    </row>
    <row r="13135" spans="12:13" x14ac:dyDescent="0.2">
      <c r="L13135" s="12"/>
      <c r="M13135" s="13"/>
    </row>
    <row r="13136" spans="12:13" x14ac:dyDescent="0.2">
      <c r="L13136" s="12"/>
      <c r="M13136" s="13"/>
    </row>
    <row r="13137" spans="12:13" x14ac:dyDescent="0.2">
      <c r="L13137" s="12"/>
      <c r="M13137" s="13"/>
    </row>
    <row r="13138" spans="12:13" x14ac:dyDescent="0.2">
      <c r="L13138" s="12"/>
      <c r="M13138" s="13"/>
    </row>
    <row r="13139" spans="12:13" x14ac:dyDescent="0.2">
      <c r="L13139" s="12"/>
      <c r="M13139" s="13"/>
    </row>
    <row r="13140" spans="12:13" x14ac:dyDescent="0.2">
      <c r="L13140" s="12"/>
      <c r="M13140" s="13"/>
    </row>
    <row r="13141" spans="12:13" x14ac:dyDescent="0.2">
      <c r="L13141" s="12"/>
      <c r="M13141" s="13"/>
    </row>
    <row r="13142" spans="12:13" x14ac:dyDescent="0.2">
      <c r="L13142" s="12"/>
      <c r="M13142" s="13"/>
    </row>
    <row r="13143" spans="12:13" x14ac:dyDescent="0.2">
      <c r="L13143" s="12"/>
      <c r="M13143" s="13"/>
    </row>
    <row r="13144" spans="12:13" x14ac:dyDescent="0.2">
      <c r="L13144" s="12"/>
      <c r="M13144" s="13"/>
    </row>
    <row r="13145" spans="12:13" x14ac:dyDescent="0.2">
      <c r="L13145" s="12"/>
      <c r="M13145" s="13"/>
    </row>
    <row r="13146" spans="12:13" x14ac:dyDescent="0.2">
      <c r="L13146" s="12"/>
      <c r="M13146" s="13"/>
    </row>
    <row r="13147" spans="12:13" x14ac:dyDescent="0.2">
      <c r="L13147" s="12"/>
      <c r="M13147" s="13"/>
    </row>
    <row r="13148" spans="12:13" x14ac:dyDescent="0.2">
      <c r="L13148" s="12"/>
      <c r="M13148" s="13"/>
    </row>
    <row r="13149" spans="12:13" x14ac:dyDescent="0.2">
      <c r="L13149" s="12"/>
      <c r="M13149" s="13"/>
    </row>
    <row r="13150" spans="12:13" x14ac:dyDescent="0.2">
      <c r="L13150" s="12"/>
      <c r="M13150" s="13"/>
    </row>
    <row r="13151" spans="12:13" x14ac:dyDescent="0.2">
      <c r="L13151" s="12"/>
      <c r="M13151" s="13"/>
    </row>
    <row r="13152" spans="12:13" x14ac:dyDescent="0.2">
      <c r="L13152" s="12"/>
      <c r="M13152" s="13"/>
    </row>
    <row r="13153" spans="12:13" x14ac:dyDescent="0.2">
      <c r="L13153" s="12"/>
      <c r="M13153" s="13"/>
    </row>
    <row r="13154" spans="12:13" x14ac:dyDescent="0.2">
      <c r="L13154" s="12"/>
      <c r="M13154" s="13"/>
    </row>
    <row r="13155" spans="12:13" x14ac:dyDescent="0.2">
      <c r="L13155" s="12"/>
      <c r="M13155" s="13"/>
    </row>
    <row r="13156" spans="12:13" x14ac:dyDescent="0.2">
      <c r="L13156" s="12"/>
      <c r="M13156" s="13"/>
    </row>
    <row r="13157" spans="12:13" x14ac:dyDescent="0.2">
      <c r="L13157" s="12"/>
      <c r="M13157" s="13"/>
    </row>
    <row r="13158" spans="12:13" x14ac:dyDescent="0.2">
      <c r="L13158" s="12"/>
      <c r="M13158" s="13"/>
    </row>
    <row r="13159" spans="12:13" x14ac:dyDescent="0.2">
      <c r="L13159" s="12"/>
      <c r="M13159" s="13"/>
    </row>
    <row r="13160" spans="12:13" x14ac:dyDescent="0.2">
      <c r="L13160" s="12"/>
      <c r="M13160" s="13"/>
    </row>
    <row r="13161" spans="12:13" x14ac:dyDescent="0.2">
      <c r="L13161" s="12"/>
      <c r="M13161" s="13"/>
    </row>
    <row r="13162" spans="12:13" x14ac:dyDescent="0.2">
      <c r="L13162" s="12"/>
      <c r="M13162" s="13"/>
    </row>
    <row r="13163" spans="12:13" x14ac:dyDescent="0.2">
      <c r="L13163" s="12"/>
      <c r="M13163" s="13"/>
    </row>
    <row r="13164" spans="12:13" x14ac:dyDescent="0.2">
      <c r="L13164" s="12"/>
      <c r="M13164" s="13"/>
    </row>
    <row r="13165" spans="12:13" x14ac:dyDescent="0.2">
      <c r="L13165" s="12"/>
      <c r="M13165" s="13"/>
    </row>
    <row r="13166" spans="12:13" x14ac:dyDescent="0.2">
      <c r="L13166" s="12"/>
      <c r="M13166" s="13"/>
    </row>
    <row r="13167" spans="12:13" x14ac:dyDescent="0.2">
      <c r="L13167" s="12"/>
      <c r="M13167" s="13"/>
    </row>
    <row r="13168" spans="12:13" x14ac:dyDescent="0.2">
      <c r="L13168" s="12"/>
      <c r="M13168" s="13"/>
    </row>
    <row r="13169" spans="12:13" x14ac:dyDescent="0.2">
      <c r="L13169" s="12"/>
      <c r="M13169" s="13"/>
    </row>
    <row r="13170" spans="12:13" x14ac:dyDescent="0.2">
      <c r="L13170" s="12"/>
      <c r="M13170" s="13"/>
    </row>
    <row r="13171" spans="12:13" x14ac:dyDescent="0.2">
      <c r="L13171" s="12"/>
      <c r="M13171" s="13"/>
    </row>
    <row r="13172" spans="12:13" x14ac:dyDescent="0.2">
      <c r="L13172" s="12"/>
      <c r="M13172" s="13"/>
    </row>
    <row r="13173" spans="12:13" x14ac:dyDescent="0.2">
      <c r="L13173" s="12"/>
      <c r="M13173" s="13"/>
    </row>
    <row r="13174" spans="12:13" x14ac:dyDescent="0.2">
      <c r="L13174" s="12"/>
      <c r="M13174" s="13"/>
    </row>
    <row r="13175" spans="12:13" x14ac:dyDescent="0.2">
      <c r="L13175" s="12"/>
      <c r="M13175" s="13"/>
    </row>
    <row r="13176" spans="12:13" x14ac:dyDescent="0.2">
      <c r="L13176" s="12"/>
      <c r="M13176" s="13"/>
    </row>
    <row r="13177" spans="12:13" x14ac:dyDescent="0.2">
      <c r="L13177" s="12"/>
      <c r="M13177" s="13"/>
    </row>
    <row r="13178" spans="12:13" x14ac:dyDescent="0.2">
      <c r="L13178" s="12"/>
      <c r="M13178" s="13"/>
    </row>
    <row r="13179" spans="12:13" x14ac:dyDescent="0.2">
      <c r="L13179" s="12"/>
      <c r="M13179" s="13"/>
    </row>
    <row r="13180" spans="12:13" x14ac:dyDescent="0.2">
      <c r="L13180" s="12"/>
      <c r="M13180" s="13"/>
    </row>
    <row r="13181" spans="12:13" x14ac:dyDescent="0.2">
      <c r="L13181" s="12"/>
      <c r="M13181" s="13"/>
    </row>
    <row r="13182" spans="12:13" x14ac:dyDescent="0.2">
      <c r="L13182" s="12"/>
      <c r="M13182" s="13"/>
    </row>
    <row r="13183" spans="12:13" x14ac:dyDescent="0.2">
      <c r="L13183" s="12"/>
      <c r="M13183" s="13"/>
    </row>
    <row r="13184" spans="12:13" x14ac:dyDescent="0.2">
      <c r="L13184" s="12"/>
      <c r="M13184" s="13"/>
    </row>
    <row r="13185" spans="12:13" x14ac:dyDescent="0.2">
      <c r="L13185" s="12"/>
      <c r="M13185" s="13"/>
    </row>
    <row r="13186" spans="12:13" x14ac:dyDescent="0.2">
      <c r="L13186" s="12"/>
      <c r="M13186" s="13"/>
    </row>
    <row r="13187" spans="12:13" x14ac:dyDescent="0.2">
      <c r="L13187" s="12"/>
      <c r="M13187" s="13"/>
    </row>
    <row r="13188" spans="12:13" x14ac:dyDescent="0.2">
      <c r="L13188" s="12"/>
      <c r="M13188" s="13"/>
    </row>
    <row r="13189" spans="12:13" x14ac:dyDescent="0.2">
      <c r="L13189" s="12"/>
      <c r="M13189" s="13"/>
    </row>
    <row r="13190" spans="12:13" x14ac:dyDescent="0.2">
      <c r="L13190" s="12"/>
      <c r="M13190" s="13"/>
    </row>
    <row r="13191" spans="12:13" x14ac:dyDescent="0.2">
      <c r="L13191" s="12"/>
      <c r="M13191" s="13"/>
    </row>
    <row r="13192" spans="12:13" x14ac:dyDescent="0.2">
      <c r="L13192" s="12"/>
      <c r="M13192" s="13"/>
    </row>
    <row r="13193" spans="12:13" x14ac:dyDescent="0.2">
      <c r="L13193" s="12"/>
      <c r="M13193" s="13"/>
    </row>
    <row r="13194" spans="12:13" x14ac:dyDescent="0.2">
      <c r="L13194" s="12"/>
      <c r="M13194" s="13"/>
    </row>
    <row r="13195" spans="12:13" x14ac:dyDescent="0.2">
      <c r="L13195" s="12"/>
      <c r="M13195" s="13"/>
    </row>
    <row r="13196" spans="12:13" x14ac:dyDescent="0.2">
      <c r="L13196" s="12"/>
      <c r="M13196" s="13"/>
    </row>
    <row r="13197" spans="12:13" x14ac:dyDescent="0.2">
      <c r="L13197" s="12"/>
      <c r="M13197" s="13"/>
    </row>
    <row r="13198" spans="12:13" x14ac:dyDescent="0.2">
      <c r="L13198" s="12"/>
      <c r="M13198" s="13"/>
    </row>
    <row r="13199" spans="12:13" x14ac:dyDescent="0.2">
      <c r="L13199" s="12"/>
      <c r="M13199" s="13"/>
    </row>
    <row r="13200" spans="12:13" x14ac:dyDescent="0.2">
      <c r="L13200" s="12"/>
      <c r="M13200" s="13"/>
    </row>
    <row r="13201" spans="12:13" x14ac:dyDescent="0.2">
      <c r="L13201" s="12"/>
      <c r="M13201" s="13"/>
    </row>
    <row r="13202" spans="12:13" x14ac:dyDescent="0.2">
      <c r="L13202" s="12"/>
      <c r="M13202" s="13"/>
    </row>
    <row r="13203" spans="12:13" x14ac:dyDescent="0.2">
      <c r="L13203" s="12"/>
      <c r="M13203" s="13"/>
    </row>
    <row r="13204" spans="12:13" x14ac:dyDescent="0.2">
      <c r="L13204" s="12"/>
      <c r="M13204" s="13"/>
    </row>
    <row r="13205" spans="12:13" x14ac:dyDescent="0.2">
      <c r="L13205" s="12"/>
      <c r="M13205" s="13"/>
    </row>
    <row r="13206" spans="12:13" x14ac:dyDescent="0.2">
      <c r="L13206" s="12"/>
      <c r="M13206" s="13"/>
    </row>
    <row r="13207" spans="12:13" x14ac:dyDescent="0.2">
      <c r="L13207" s="12"/>
      <c r="M13207" s="13"/>
    </row>
    <row r="13208" spans="12:13" x14ac:dyDescent="0.2">
      <c r="L13208" s="12"/>
      <c r="M13208" s="13"/>
    </row>
    <row r="13209" spans="12:13" x14ac:dyDescent="0.2">
      <c r="L13209" s="12"/>
      <c r="M13209" s="13"/>
    </row>
    <row r="13210" spans="12:13" x14ac:dyDescent="0.2">
      <c r="L13210" s="12"/>
      <c r="M13210" s="13"/>
    </row>
    <row r="13211" spans="12:13" x14ac:dyDescent="0.2">
      <c r="L13211" s="12"/>
      <c r="M13211" s="13"/>
    </row>
    <row r="13212" spans="12:13" x14ac:dyDescent="0.2">
      <c r="L13212" s="12"/>
      <c r="M13212" s="13"/>
    </row>
    <row r="13213" spans="12:13" x14ac:dyDescent="0.2">
      <c r="L13213" s="12"/>
      <c r="M13213" s="13"/>
    </row>
    <row r="13214" spans="12:13" x14ac:dyDescent="0.2">
      <c r="L13214" s="12"/>
      <c r="M13214" s="13"/>
    </row>
    <row r="13215" spans="12:13" x14ac:dyDescent="0.2">
      <c r="L13215" s="12"/>
      <c r="M13215" s="13"/>
    </row>
    <row r="13216" spans="12:13" x14ac:dyDescent="0.2">
      <c r="L13216" s="12"/>
      <c r="M13216" s="13"/>
    </row>
    <row r="13217" spans="12:13" x14ac:dyDescent="0.2">
      <c r="L13217" s="12"/>
      <c r="M13217" s="13"/>
    </row>
    <row r="13218" spans="12:13" x14ac:dyDescent="0.2">
      <c r="L13218" s="12"/>
      <c r="M13218" s="13"/>
    </row>
    <row r="13219" spans="12:13" x14ac:dyDescent="0.2">
      <c r="L13219" s="12"/>
      <c r="M13219" s="13"/>
    </row>
    <row r="13220" spans="12:13" x14ac:dyDescent="0.2">
      <c r="L13220" s="12"/>
      <c r="M13220" s="13"/>
    </row>
    <row r="13221" spans="12:13" x14ac:dyDescent="0.2">
      <c r="L13221" s="12"/>
      <c r="M13221" s="13"/>
    </row>
    <row r="13222" spans="12:13" x14ac:dyDescent="0.2">
      <c r="L13222" s="12"/>
      <c r="M13222" s="13"/>
    </row>
    <row r="13223" spans="12:13" x14ac:dyDescent="0.2">
      <c r="L13223" s="12"/>
      <c r="M13223" s="13"/>
    </row>
    <row r="13224" spans="12:13" x14ac:dyDescent="0.2">
      <c r="L13224" s="12"/>
      <c r="M13224" s="13"/>
    </row>
    <row r="13225" spans="12:13" x14ac:dyDescent="0.2">
      <c r="L13225" s="12"/>
      <c r="M13225" s="13"/>
    </row>
    <row r="13226" spans="12:13" x14ac:dyDescent="0.2">
      <c r="L13226" s="12"/>
      <c r="M13226" s="13"/>
    </row>
    <row r="13227" spans="12:13" x14ac:dyDescent="0.2">
      <c r="L13227" s="12"/>
      <c r="M13227" s="13"/>
    </row>
    <row r="13228" spans="12:13" x14ac:dyDescent="0.2">
      <c r="L13228" s="12"/>
      <c r="M13228" s="13"/>
    </row>
    <row r="13229" spans="12:13" x14ac:dyDescent="0.2">
      <c r="L13229" s="12"/>
      <c r="M13229" s="13"/>
    </row>
    <row r="13230" spans="12:13" x14ac:dyDescent="0.2">
      <c r="L13230" s="12"/>
      <c r="M13230" s="13"/>
    </row>
    <row r="13231" spans="12:13" x14ac:dyDescent="0.2">
      <c r="L13231" s="12"/>
      <c r="M13231" s="13"/>
    </row>
    <row r="13232" spans="12:13" x14ac:dyDescent="0.2">
      <c r="L13232" s="12"/>
      <c r="M13232" s="13"/>
    </row>
    <row r="13233" spans="12:13" x14ac:dyDescent="0.2">
      <c r="L13233" s="12"/>
      <c r="M13233" s="13"/>
    </row>
    <row r="13234" spans="12:13" x14ac:dyDescent="0.2">
      <c r="L13234" s="12"/>
      <c r="M13234" s="13"/>
    </row>
    <row r="13235" spans="12:13" x14ac:dyDescent="0.2">
      <c r="L13235" s="12"/>
      <c r="M13235" s="13"/>
    </row>
    <row r="13236" spans="12:13" x14ac:dyDescent="0.2">
      <c r="L13236" s="12"/>
      <c r="M13236" s="13"/>
    </row>
    <row r="13237" spans="12:13" x14ac:dyDescent="0.2">
      <c r="L13237" s="12"/>
      <c r="M13237" s="13"/>
    </row>
    <row r="13238" spans="12:13" x14ac:dyDescent="0.2">
      <c r="L13238" s="12"/>
      <c r="M13238" s="13"/>
    </row>
    <row r="13239" spans="12:13" x14ac:dyDescent="0.2">
      <c r="L13239" s="12"/>
      <c r="M13239" s="13"/>
    </row>
    <row r="13240" spans="12:13" x14ac:dyDescent="0.2">
      <c r="L13240" s="12"/>
      <c r="M13240" s="13"/>
    </row>
    <row r="13241" spans="12:13" x14ac:dyDescent="0.2">
      <c r="L13241" s="12"/>
      <c r="M13241" s="13"/>
    </row>
    <row r="13242" spans="12:13" x14ac:dyDescent="0.2">
      <c r="L13242" s="12"/>
      <c r="M13242" s="13"/>
    </row>
    <row r="13243" spans="12:13" x14ac:dyDescent="0.2">
      <c r="L13243" s="12"/>
      <c r="M13243" s="13"/>
    </row>
    <row r="13244" spans="12:13" x14ac:dyDescent="0.2">
      <c r="L13244" s="12"/>
      <c r="M13244" s="13"/>
    </row>
    <row r="13245" spans="12:13" x14ac:dyDescent="0.2">
      <c r="L13245" s="12"/>
      <c r="M13245" s="13"/>
    </row>
    <row r="13246" spans="12:13" x14ac:dyDescent="0.2">
      <c r="L13246" s="12"/>
      <c r="M13246" s="13"/>
    </row>
    <row r="13247" spans="12:13" x14ac:dyDescent="0.2">
      <c r="L13247" s="12"/>
      <c r="M13247" s="13"/>
    </row>
    <row r="13248" spans="12:13" x14ac:dyDescent="0.2">
      <c r="L13248" s="12"/>
      <c r="M13248" s="13"/>
    </row>
    <row r="13249" spans="12:13" x14ac:dyDescent="0.2">
      <c r="L13249" s="12"/>
      <c r="M13249" s="13"/>
    </row>
    <row r="13250" spans="12:13" x14ac:dyDescent="0.2">
      <c r="L13250" s="12"/>
      <c r="M13250" s="13"/>
    </row>
    <row r="13251" spans="12:13" x14ac:dyDescent="0.2">
      <c r="L13251" s="12"/>
      <c r="M13251" s="13"/>
    </row>
    <row r="13252" spans="12:13" x14ac:dyDescent="0.2">
      <c r="L13252" s="12"/>
      <c r="M13252" s="13"/>
    </row>
    <row r="13253" spans="12:13" x14ac:dyDescent="0.2">
      <c r="L13253" s="12"/>
      <c r="M13253" s="13"/>
    </row>
    <row r="13254" spans="12:13" x14ac:dyDescent="0.2">
      <c r="L13254" s="12"/>
      <c r="M13254" s="13"/>
    </row>
    <row r="13255" spans="12:13" x14ac:dyDescent="0.2">
      <c r="L13255" s="12"/>
      <c r="M13255" s="13"/>
    </row>
    <row r="13256" spans="12:13" x14ac:dyDescent="0.2">
      <c r="L13256" s="12"/>
      <c r="M13256" s="13"/>
    </row>
    <row r="13257" spans="12:13" x14ac:dyDescent="0.2">
      <c r="L13257" s="12"/>
      <c r="M13257" s="13"/>
    </row>
    <row r="13258" spans="12:13" x14ac:dyDescent="0.2">
      <c r="L13258" s="12"/>
      <c r="M13258" s="13"/>
    </row>
    <row r="13259" spans="12:13" x14ac:dyDescent="0.2">
      <c r="L13259" s="12"/>
      <c r="M13259" s="13"/>
    </row>
    <row r="13260" spans="12:13" x14ac:dyDescent="0.2">
      <c r="L13260" s="12"/>
      <c r="M13260" s="13"/>
    </row>
    <row r="13261" spans="12:13" x14ac:dyDescent="0.2">
      <c r="L13261" s="12"/>
      <c r="M13261" s="13"/>
    </row>
    <row r="13262" spans="12:13" x14ac:dyDescent="0.2">
      <c r="L13262" s="12"/>
      <c r="M13262" s="13"/>
    </row>
    <row r="13263" spans="12:13" x14ac:dyDescent="0.2">
      <c r="L13263" s="12"/>
      <c r="M13263" s="13"/>
    </row>
    <row r="13264" spans="12:13" x14ac:dyDescent="0.2">
      <c r="L13264" s="12"/>
      <c r="M13264" s="13"/>
    </row>
    <row r="13265" spans="12:13" x14ac:dyDescent="0.2">
      <c r="L13265" s="12"/>
      <c r="M13265" s="13"/>
    </row>
    <row r="13266" spans="12:13" x14ac:dyDescent="0.2">
      <c r="L13266" s="12"/>
      <c r="M13266" s="13"/>
    </row>
    <row r="13267" spans="12:13" x14ac:dyDescent="0.2">
      <c r="L13267" s="12"/>
      <c r="M13267" s="13"/>
    </row>
    <row r="13268" spans="12:13" x14ac:dyDescent="0.2">
      <c r="L13268" s="12"/>
      <c r="M13268" s="13"/>
    </row>
    <row r="13269" spans="12:13" x14ac:dyDescent="0.2">
      <c r="L13269" s="12"/>
      <c r="M13269" s="13"/>
    </row>
    <row r="13270" spans="12:13" x14ac:dyDescent="0.2">
      <c r="L13270" s="12"/>
      <c r="M13270" s="13"/>
    </row>
    <row r="13271" spans="12:13" x14ac:dyDescent="0.2">
      <c r="L13271" s="12"/>
      <c r="M13271" s="13"/>
    </row>
    <row r="13272" spans="12:13" x14ac:dyDescent="0.2">
      <c r="L13272" s="12"/>
      <c r="M13272" s="13"/>
    </row>
    <row r="13273" spans="12:13" x14ac:dyDescent="0.2">
      <c r="L13273" s="12"/>
      <c r="M13273" s="13"/>
    </row>
    <row r="13274" spans="12:13" x14ac:dyDescent="0.2">
      <c r="L13274" s="12"/>
      <c r="M13274" s="13"/>
    </row>
    <row r="13275" spans="12:13" x14ac:dyDescent="0.2">
      <c r="L13275" s="12"/>
      <c r="M13275" s="13"/>
    </row>
    <row r="13276" spans="12:13" x14ac:dyDescent="0.2">
      <c r="L13276" s="12"/>
      <c r="M13276" s="13"/>
    </row>
    <row r="13277" spans="12:13" x14ac:dyDescent="0.2">
      <c r="L13277" s="12"/>
      <c r="M13277" s="13"/>
    </row>
    <row r="13278" spans="12:13" x14ac:dyDescent="0.2">
      <c r="L13278" s="12"/>
      <c r="M13278" s="13"/>
    </row>
    <row r="13279" spans="12:13" x14ac:dyDescent="0.2">
      <c r="L13279" s="12"/>
      <c r="M13279" s="13"/>
    </row>
    <row r="13280" spans="12:13" x14ac:dyDescent="0.2">
      <c r="L13280" s="12"/>
      <c r="M13280" s="13"/>
    </row>
    <row r="13281" spans="12:13" x14ac:dyDescent="0.2">
      <c r="L13281" s="12"/>
      <c r="M13281" s="13"/>
    </row>
    <row r="13282" spans="12:13" x14ac:dyDescent="0.2">
      <c r="L13282" s="12"/>
      <c r="M13282" s="13"/>
    </row>
    <row r="13283" spans="12:13" x14ac:dyDescent="0.2">
      <c r="L13283" s="12"/>
      <c r="M13283" s="13"/>
    </row>
    <row r="13284" spans="12:13" x14ac:dyDescent="0.2">
      <c r="L13284" s="12"/>
      <c r="M13284" s="13"/>
    </row>
    <row r="13285" spans="12:13" x14ac:dyDescent="0.2">
      <c r="L13285" s="12"/>
      <c r="M13285" s="13"/>
    </row>
    <row r="13286" spans="12:13" x14ac:dyDescent="0.2">
      <c r="L13286" s="12"/>
      <c r="M13286" s="13"/>
    </row>
    <row r="13287" spans="12:13" x14ac:dyDescent="0.2">
      <c r="L13287" s="12"/>
      <c r="M13287" s="13"/>
    </row>
    <row r="13288" spans="12:13" x14ac:dyDescent="0.2">
      <c r="L13288" s="12"/>
      <c r="M13288" s="13"/>
    </row>
    <row r="13289" spans="12:13" x14ac:dyDescent="0.2">
      <c r="L13289" s="12"/>
      <c r="M13289" s="13"/>
    </row>
    <row r="13290" spans="12:13" x14ac:dyDescent="0.2">
      <c r="L13290" s="12"/>
      <c r="M13290" s="13"/>
    </row>
    <row r="13291" spans="12:13" x14ac:dyDescent="0.2">
      <c r="L13291" s="12"/>
      <c r="M13291" s="13"/>
    </row>
    <row r="13292" spans="12:13" x14ac:dyDescent="0.2">
      <c r="L13292" s="12"/>
      <c r="M13292" s="13"/>
    </row>
    <row r="13293" spans="12:13" x14ac:dyDescent="0.2">
      <c r="L13293" s="12"/>
      <c r="M13293" s="13"/>
    </row>
    <row r="13294" spans="12:13" x14ac:dyDescent="0.2">
      <c r="L13294" s="12"/>
      <c r="M13294" s="13"/>
    </row>
    <row r="13295" spans="12:13" x14ac:dyDescent="0.2">
      <c r="L13295" s="12"/>
      <c r="M13295" s="13"/>
    </row>
    <row r="13296" spans="12:13" x14ac:dyDescent="0.2">
      <c r="L13296" s="12"/>
      <c r="M13296" s="13"/>
    </row>
    <row r="13297" spans="12:13" x14ac:dyDescent="0.2">
      <c r="L13297" s="12"/>
      <c r="M13297" s="13"/>
    </row>
    <row r="13298" spans="12:13" x14ac:dyDescent="0.2">
      <c r="L13298" s="12"/>
      <c r="M13298" s="13"/>
    </row>
    <row r="13299" spans="12:13" x14ac:dyDescent="0.2">
      <c r="L13299" s="12"/>
      <c r="M13299" s="13"/>
    </row>
    <row r="13300" spans="12:13" x14ac:dyDescent="0.2">
      <c r="L13300" s="12"/>
      <c r="M13300" s="13"/>
    </row>
    <row r="13301" spans="12:13" x14ac:dyDescent="0.2">
      <c r="L13301" s="12"/>
      <c r="M13301" s="13"/>
    </row>
    <row r="13302" spans="12:13" x14ac:dyDescent="0.2">
      <c r="L13302" s="12"/>
      <c r="M13302" s="13"/>
    </row>
    <row r="13303" spans="12:13" x14ac:dyDescent="0.2">
      <c r="L13303" s="12"/>
      <c r="M13303" s="13"/>
    </row>
    <row r="13304" spans="12:13" x14ac:dyDescent="0.2">
      <c r="L13304" s="12"/>
      <c r="M13304" s="13"/>
    </row>
    <row r="13305" spans="12:13" x14ac:dyDescent="0.2">
      <c r="L13305" s="12"/>
      <c r="M13305" s="13"/>
    </row>
    <row r="13306" spans="12:13" x14ac:dyDescent="0.2">
      <c r="L13306" s="12"/>
      <c r="M13306" s="13"/>
    </row>
    <row r="13307" spans="12:13" x14ac:dyDescent="0.2">
      <c r="L13307" s="12"/>
      <c r="M13307" s="13"/>
    </row>
    <row r="13308" spans="12:13" x14ac:dyDescent="0.2">
      <c r="L13308" s="12"/>
      <c r="M13308" s="13"/>
    </row>
    <row r="13309" spans="12:13" x14ac:dyDescent="0.2">
      <c r="L13309" s="12"/>
      <c r="M13309" s="13"/>
    </row>
    <row r="13310" spans="12:13" x14ac:dyDescent="0.2">
      <c r="L13310" s="12"/>
      <c r="M13310" s="13"/>
    </row>
    <row r="13311" spans="12:13" x14ac:dyDescent="0.2">
      <c r="L13311" s="12"/>
      <c r="M13311" s="13"/>
    </row>
    <row r="13312" spans="12:13" x14ac:dyDescent="0.2">
      <c r="L13312" s="12"/>
      <c r="M13312" s="13"/>
    </row>
    <row r="13313" spans="12:13" x14ac:dyDescent="0.2">
      <c r="L13313" s="12"/>
      <c r="M13313" s="13"/>
    </row>
    <row r="13314" spans="12:13" x14ac:dyDescent="0.2">
      <c r="L13314" s="17"/>
      <c r="M13314" s="18"/>
    </row>
    <row r="13315" spans="12:13" x14ac:dyDescent="0.2">
      <c r="L13315" s="12"/>
      <c r="M13315" s="13"/>
    </row>
    <row r="13316" spans="12:13" x14ac:dyDescent="0.2">
      <c r="L13316" s="12"/>
      <c r="M13316" s="13"/>
    </row>
    <row r="13317" spans="12:13" x14ac:dyDescent="0.2">
      <c r="L13317" s="12"/>
      <c r="M13317" s="13"/>
    </row>
    <row r="13318" spans="12:13" x14ac:dyDescent="0.2">
      <c r="L13318" s="12"/>
      <c r="M13318" s="13"/>
    </row>
    <row r="13319" spans="12:13" x14ac:dyDescent="0.2">
      <c r="L13319" s="12"/>
      <c r="M13319" s="13"/>
    </row>
    <row r="13320" spans="12:13" x14ac:dyDescent="0.2">
      <c r="L13320" s="12"/>
      <c r="M13320" s="13"/>
    </row>
    <row r="13321" spans="12:13" x14ac:dyDescent="0.2">
      <c r="L13321" s="12"/>
      <c r="M13321" s="13"/>
    </row>
    <row r="13322" spans="12:13" x14ac:dyDescent="0.2">
      <c r="L13322" s="12"/>
      <c r="M13322" s="13"/>
    </row>
    <row r="13323" spans="12:13" x14ac:dyDescent="0.2">
      <c r="L13323" s="12"/>
      <c r="M13323" s="13"/>
    </row>
    <row r="13324" spans="12:13" x14ac:dyDescent="0.2">
      <c r="L13324" s="12"/>
      <c r="M13324" s="13"/>
    </row>
    <row r="13325" spans="12:13" x14ac:dyDescent="0.2">
      <c r="L13325" s="12"/>
      <c r="M13325" s="13"/>
    </row>
    <row r="13326" spans="12:13" x14ac:dyDescent="0.2">
      <c r="L13326" s="12"/>
      <c r="M13326" s="13"/>
    </row>
    <row r="13327" spans="12:13" x14ac:dyDescent="0.2">
      <c r="L13327" s="12"/>
      <c r="M13327" s="13"/>
    </row>
    <row r="13328" spans="12:13" x14ac:dyDescent="0.2">
      <c r="L13328" s="12"/>
      <c r="M13328" s="13"/>
    </row>
    <row r="13329" spans="12:13" x14ac:dyDescent="0.2">
      <c r="L13329" s="12"/>
      <c r="M13329" s="13"/>
    </row>
    <row r="13330" spans="12:13" x14ac:dyDescent="0.2">
      <c r="L13330" s="12"/>
      <c r="M13330" s="13"/>
    </row>
    <row r="13331" spans="12:13" x14ac:dyDescent="0.2">
      <c r="L13331" s="12"/>
      <c r="M13331" s="13"/>
    </row>
    <row r="13332" spans="12:13" x14ac:dyDescent="0.2">
      <c r="L13332" s="12"/>
      <c r="M13332" s="13"/>
    </row>
    <row r="13333" spans="12:13" x14ac:dyDescent="0.2">
      <c r="L13333" s="12"/>
      <c r="M13333" s="13"/>
    </row>
    <row r="13334" spans="12:13" x14ac:dyDescent="0.2">
      <c r="L13334" s="12"/>
      <c r="M13334" s="13"/>
    </row>
    <row r="13335" spans="12:13" x14ac:dyDescent="0.2">
      <c r="L13335" s="12"/>
      <c r="M13335" s="13"/>
    </row>
    <row r="13336" spans="12:13" x14ac:dyDescent="0.2">
      <c r="L13336" s="12"/>
      <c r="M13336" s="13"/>
    </row>
    <row r="13337" spans="12:13" x14ac:dyDescent="0.2">
      <c r="L13337" s="12"/>
      <c r="M13337" s="13"/>
    </row>
    <row r="13338" spans="12:13" x14ac:dyDescent="0.2">
      <c r="L13338" s="12"/>
      <c r="M13338" s="13"/>
    </row>
    <row r="13339" spans="12:13" x14ac:dyDescent="0.2">
      <c r="L13339" s="12"/>
      <c r="M13339" s="13"/>
    </row>
    <row r="13340" spans="12:13" x14ac:dyDescent="0.2">
      <c r="L13340" s="12"/>
      <c r="M13340" s="13"/>
    </row>
    <row r="13341" spans="12:13" x14ac:dyDescent="0.2">
      <c r="L13341" s="12"/>
      <c r="M13341" s="13"/>
    </row>
    <row r="13342" spans="12:13" x14ac:dyDescent="0.2">
      <c r="L13342" s="12"/>
      <c r="M13342" s="13"/>
    </row>
    <row r="13343" spans="12:13" x14ac:dyDescent="0.2">
      <c r="L13343" s="12"/>
      <c r="M13343" s="13"/>
    </row>
    <row r="13344" spans="12:13" x14ac:dyDescent="0.2">
      <c r="L13344" s="12"/>
      <c r="M13344" s="13"/>
    </row>
    <row r="13345" spans="12:13" x14ac:dyDescent="0.2">
      <c r="L13345" s="12"/>
      <c r="M13345" s="13"/>
    </row>
    <row r="13346" spans="12:13" x14ac:dyDescent="0.2">
      <c r="L13346" s="12"/>
      <c r="M13346" s="13"/>
    </row>
    <row r="13347" spans="12:13" x14ac:dyDescent="0.2">
      <c r="L13347" s="12"/>
      <c r="M13347" s="13"/>
    </row>
    <row r="13348" spans="12:13" x14ac:dyDescent="0.2">
      <c r="L13348" s="12"/>
      <c r="M13348" s="13"/>
    </row>
    <row r="13349" spans="12:13" x14ac:dyDescent="0.2">
      <c r="L13349" s="12"/>
      <c r="M13349" s="13"/>
    </row>
    <row r="13350" spans="12:13" x14ac:dyDescent="0.2">
      <c r="L13350" s="12"/>
      <c r="M13350" s="13"/>
    </row>
    <row r="13351" spans="12:13" x14ac:dyDescent="0.2">
      <c r="L13351" s="12"/>
      <c r="M13351" s="13"/>
    </row>
    <row r="13352" spans="12:13" x14ac:dyDescent="0.2">
      <c r="L13352" s="12"/>
      <c r="M13352" s="13"/>
    </row>
    <row r="13353" spans="12:13" x14ac:dyDescent="0.2">
      <c r="L13353" s="12"/>
      <c r="M13353" s="13"/>
    </row>
    <row r="13354" spans="12:13" x14ac:dyDescent="0.2">
      <c r="L13354" s="12"/>
      <c r="M13354" s="13"/>
    </row>
    <row r="13355" spans="12:13" x14ac:dyDescent="0.2">
      <c r="L13355" s="12"/>
      <c r="M13355" s="13"/>
    </row>
    <row r="13356" spans="12:13" x14ac:dyDescent="0.2">
      <c r="L13356" s="12"/>
      <c r="M13356" s="13"/>
    </row>
    <row r="13357" spans="12:13" x14ac:dyDescent="0.2">
      <c r="L13357" s="12"/>
      <c r="M13357" s="13"/>
    </row>
    <row r="13358" spans="12:13" x14ac:dyDescent="0.2">
      <c r="L13358" s="12"/>
      <c r="M13358" s="13"/>
    </row>
    <row r="13359" spans="12:13" x14ac:dyDescent="0.2">
      <c r="L13359" s="12"/>
      <c r="M13359" s="13"/>
    </row>
    <row r="13360" spans="12:13" x14ac:dyDescent="0.2">
      <c r="L13360" s="12"/>
      <c r="M13360" s="13"/>
    </row>
    <row r="13361" spans="12:13" x14ac:dyDescent="0.2">
      <c r="L13361" s="12"/>
      <c r="M13361" s="13"/>
    </row>
    <row r="13362" spans="12:13" x14ac:dyDescent="0.2">
      <c r="L13362" s="12"/>
      <c r="M13362" s="13"/>
    </row>
    <row r="13363" spans="12:13" x14ac:dyDescent="0.2">
      <c r="L13363" s="12"/>
      <c r="M13363" s="13"/>
    </row>
    <row r="13364" spans="12:13" x14ac:dyDescent="0.2">
      <c r="L13364" s="12"/>
      <c r="M13364" s="13"/>
    </row>
    <row r="13365" spans="12:13" x14ac:dyDescent="0.2">
      <c r="L13365" s="12"/>
      <c r="M13365" s="13"/>
    </row>
    <row r="13366" spans="12:13" x14ac:dyDescent="0.2">
      <c r="L13366" s="12"/>
      <c r="M13366" s="13"/>
    </row>
    <row r="13367" spans="12:13" x14ac:dyDescent="0.2">
      <c r="L13367" s="12"/>
      <c r="M13367" s="13"/>
    </row>
    <row r="13368" spans="12:13" x14ac:dyDescent="0.2">
      <c r="L13368" s="12"/>
      <c r="M13368" s="13"/>
    </row>
    <row r="13369" spans="12:13" x14ac:dyDescent="0.2">
      <c r="L13369" s="12"/>
      <c r="M13369" s="13"/>
    </row>
    <row r="13370" spans="12:13" x14ac:dyDescent="0.2">
      <c r="L13370" s="12"/>
      <c r="M13370" s="13"/>
    </row>
    <row r="13371" spans="12:13" x14ac:dyDescent="0.2">
      <c r="L13371" s="12"/>
      <c r="M13371" s="13"/>
    </row>
    <row r="13372" spans="12:13" x14ac:dyDescent="0.2">
      <c r="L13372" s="12"/>
      <c r="M13372" s="13"/>
    </row>
    <row r="13373" spans="12:13" x14ac:dyDescent="0.2">
      <c r="L13373" s="12"/>
      <c r="M13373" s="13"/>
    </row>
    <row r="13374" spans="12:13" x14ac:dyDescent="0.2">
      <c r="L13374" s="12"/>
      <c r="M13374" s="13"/>
    </row>
    <row r="13375" spans="12:13" x14ac:dyDescent="0.2">
      <c r="L13375" s="12"/>
      <c r="M13375" s="13"/>
    </row>
    <row r="13376" spans="12:13" x14ac:dyDescent="0.2">
      <c r="L13376" s="12"/>
      <c r="M13376" s="13"/>
    </row>
    <row r="13377" spans="12:13" x14ac:dyDescent="0.2">
      <c r="L13377" s="12"/>
      <c r="M13377" s="13"/>
    </row>
    <row r="13378" spans="12:13" x14ac:dyDescent="0.2">
      <c r="L13378" s="12"/>
      <c r="M13378" s="13"/>
    </row>
    <row r="13379" spans="12:13" x14ac:dyDescent="0.2">
      <c r="L13379" s="12"/>
      <c r="M13379" s="13"/>
    </row>
    <row r="13380" spans="12:13" x14ac:dyDescent="0.2">
      <c r="L13380" s="12"/>
      <c r="M13380" s="13"/>
    </row>
    <row r="13381" spans="12:13" x14ac:dyDescent="0.2">
      <c r="L13381" s="12"/>
      <c r="M13381" s="13"/>
    </row>
    <row r="13382" spans="12:13" x14ac:dyDescent="0.2">
      <c r="L13382" s="12"/>
      <c r="M13382" s="13"/>
    </row>
    <row r="13383" spans="12:13" x14ac:dyDescent="0.2">
      <c r="L13383" s="12"/>
      <c r="M13383" s="13"/>
    </row>
    <row r="13384" spans="12:13" x14ac:dyDescent="0.2">
      <c r="L13384" s="12"/>
      <c r="M13384" s="13"/>
    </row>
    <row r="13385" spans="12:13" x14ac:dyDescent="0.2">
      <c r="L13385" s="12"/>
      <c r="M13385" s="13"/>
    </row>
    <row r="13386" spans="12:13" x14ac:dyDescent="0.2">
      <c r="L13386" s="12"/>
      <c r="M13386" s="13"/>
    </row>
    <row r="13387" spans="12:13" x14ac:dyDescent="0.2">
      <c r="L13387" s="12"/>
      <c r="M13387" s="13"/>
    </row>
    <row r="13388" spans="12:13" x14ac:dyDescent="0.2">
      <c r="L13388" s="12"/>
      <c r="M13388" s="13"/>
    </row>
    <row r="13389" spans="12:13" x14ac:dyDescent="0.2">
      <c r="L13389" s="12"/>
      <c r="M13389" s="13"/>
    </row>
    <row r="13390" spans="12:13" x14ac:dyDescent="0.2">
      <c r="L13390" s="12"/>
      <c r="M13390" s="13"/>
    </row>
    <row r="13391" spans="12:13" x14ac:dyDescent="0.2">
      <c r="L13391" s="12"/>
      <c r="M13391" s="13"/>
    </row>
    <row r="13392" spans="12:13" x14ac:dyDescent="0.2">
      <c r="L13392" s="12"/>
      <c r="M13392" s="13"/>
    </row>
    <row r="13393" spans="12:13" x14ac:dyDescent="0.2">
      <c r="L13393" s="12"/>
      <c r="M13393" s="13"/>
    </row>
    <row r="13394" spans="12:13" x14ac:dyDescent="0.2">
      <c r="L13394" s="12"/>
      <c r="M13394" s="13"/>
    </row>
    <row r="13395" spans="12:13" x14ac:dyDescent="0.2">
      <c r="L13395" s="12"/>
      <c r="M13395" s="13"/>
    </row>
    <row r="13396" spans="12:13" x14ac:dyDescent="0.2">
      <c r="L13396" s="12"/>
      <c r="M13396" s="13"/>
    </row>
    <row r="13397" spans="12:13" x14ac:dyDescent="0.2">
      <c r="L13397" s="12"/>
      <c r="M13397" s="13"/>
    </row>
    <row r="13398" spans="12:13" x14ac:dyDescent="0.2">
      <c r="L13398" s="12"/>
      <c r="M13398" s="13"/>
    </row>
    <row r="13399" spans="12:13" x14ac:dyDescent="0.2">
      <c r="L13399" s="12"/>
      <c r="M13399" s="13"/>
    </row>
    <row r="13400" spans="12:13" x14ac:dyDescent="0.2">
      <c r="L13400" s="12"/>
      <c r="M13400" s="13"/>
    </row>
    <row r="13401" spans="12:13" x14ac:dyDescent="0.2">
      <c r="L13401" s="12"/>
      <c r="M13401" s="13"/>
    </row>
    <row r="13402" spans="12:13" x14ac:dyDescent="0.2">
      <c r="L13402" s="12"/>
      <c r="M13402" s="13"/>
    </row>
    <row r="13403" spans="12:13" x14ac:dyDescent="0.2">
      <c r="L13403" s="12"/>
      <c r="M13403" s="13"/>
    </row>
    <row r="13404" spans="12:13" x14ac:dyDescent="0.2">
      <c r="L13404" s="12"/>
      <c r="M13404" s="13"/>
    </row>
    <row r="13405" spans="12:13" x14ac:dyDescent="0.2">
      <c r="L13405" s="12"/>
      <c r="M13405" s="13"/>
    </row>
    <row r="13406" spans="12:13" x14ac:dyDescent="0.2">
      <c r="L13406" s="12"/>
      <c r="M13406" s="13"/>
    </row>
    <row r="13407" spans="12:13" x14ac:dyDescent="0.2">
      <c r="L13407" s="12"/>
      <c r="M13407" s="13"/>
    </row>
    <row r="13408" spans="12:13" x14ac:dyDescent="0.2">
      <c r="L13408" s="12"/>
      <c r="M13408" s="13"/>
    </row>
    <row r="13409" spans="12:13" x14ac:dyDescent="0.2">
      <c r="L13409" s="12"/>
      <c r="M13409" s="13"/>
    </row>
    <row r="13410" spans="12:13" x14ac:dyDescent="0.2">
      <c r="L13410" s="12"/>
      <c r="M13410" s="13"/>
    </row>
    <row r="13411" spans="12:13" x14ac:dyDescent="0.2">
      <c r="L13411" s="12"/>
      <c r="M13411" s="13"/>
    </row>
    <row r="13412" spans="12:13" x14ac:dyDescent="0.2">
      <c r="L13412" s="12"/>
      <c r="M13412" s="13"/>
    </row>
    <row r="13413" spans="12:13" x14ac:dyDescent="0.2">
      <c r="L13413" s="12"/>
      <c r="M13413" s="13"/>
    </row>
    <row r="13414" spans="12:13" x14ac:dyDescent="0.2">
      <c r="L13414" s="12"/>
      <c r="M13414" s="13"/>
    </row>
    <row r="13415" spans="12:13" x14ac:dyDescent="0.2">
      <c r="L13415" s="12"/>
      <c r="M13415" s="13"/>
    </row>
    <row r="13416" spans="12:13" x14ac:dyDescent="0.2">
      <c r="L13416" s="12"/>
      <c r="M13416" s="13"/>
    </row>
    <row r="13417" spans="12:13" x14ac:dyDescent="0.2">
      <c r="L13417" s="12"/>
      <c r="M13417" s="13"/>
    </row>
    <row r="13418" spans="12:13" x14ac:dyDescent="0.2">
      <c r="L13418" s="12"/>
      <c r="M13418" s="13"/>
    </row>
    <row r="13419" spans="12:13" x14ac:dyDescent="0.2">
      <c r="L13419" s="12"/>
      <c r="M13419" s="13"/>
    </row>
    <row r="13420" spans="12:13" x14ac:dyDescent="0.2">
      <c r="L13420" s="12"/>
      <c r="M13420" s="13"/>
    </row>
    <row r="13421" spans="12:13" x14ac:dyDescent="0.2">
      <c r="L13421" s="12"/>
      <c r="M13421" s="13"/>
    </row>
    <row r="13422" spans="12:13" x14ac:dyDescent="0.2">
      <c r="L13422" s="12"/>
      <c r="M13422" s="13"/>
    </row>
    <row r="13423" spans="12:13" x14ac:dyDescent="0.2">
      <c r="L13423" s="12"/>
      <c r="M13423" s="13"/>
    </row>
    <row r="13424" spans="12:13" x14ac:dyDescent="0.2">
      <c r="L13424" s="12"/>
      <c r="M13424" s="13"/>
    </row>
    <row r="13425" spans="12:13" x14ac:dyDescent="0.2">
      <c r="L13425" s="12"/>
      <c r="M13425" s="13"/>
    </row>
    <row r="13426" spans="12:13" x14ac:dyDescent="0.2">
      <c r="L13426" s="12"/>
      <c r="M13426" s="13"/>
    </row>
    <row r="13427" spans="12:13" x14ac:dyDescent="0.2">
      <c r="L13427" s="12"/>
      <c r="M13427" s="13"/>
    </row>
    <row r="13428" spans="12:13" x14ac:dyDescent="0.2">
      <c r="L13428" s="12"/>
      <c r="M13428" s="13"/>
    </row>
    <row r="13429" spans="12:13" x14ac:dyDescent="0.2">
      <c r="L13429" s="12"/>
      <c r="M13429" s="13"/>
    </row>
    <row r="13430" spans="12:13" x14ac:dyDescent="0.2">
      <c r="L13430" s="12"/>
      <c r="M13430" s="13"/>
    </row>
    <row r="13431" spans="12:13" x14ac:dyDescent="0.2">
      <c r="L13431" s="12"/>
      <c r="M13431" s="13"/>
    </row>
    <row r="13432" spans="12:13" x14ac:dyDescent="0.2">
      <c r="L13432" s="12"/>
      <c r="M13432" s="13"/>
    </row>
    <row r="13433" spans="12:13" x14ac:dyDescent="0.2">
      <c r="L13433" s="12"/>
      <c r="M13433" s="13"/>
    </row>
    <row r="13434" spans="12:13" x14ac:dyDescent="0.2">
      <c r="L13434" s="12"/>
      <c r="M13434" s="13"/>
    </row>
    <row r="13435" spans="12:13" x14ac:dyDescent="0.2">
      <c r="L13435" s="12"/>
      <c r="M13435" s="13"/>
    </row>
    <row r="13436" spans="12:13" x14ac:dyDescent="0.2">
      <c r="L13436" s="12"/>
      <c r="M13436" s="13"/>
    </row>
    <row r="13437" spans="12:13" x14ac:dyDescent="0.2">
      <c r="L13437" s="12"/>
      <c r="M13437" s="13"/>
    </row>
    <row r="13438" spans="12:13" x14ac:dyDescent="0.2">
      <c r="L13438" s="12"/>
      <c r="M13438" s="13"/>
    </row>
    <row r="13439" spans="12:13" x14ac:dyDescent="0.2">
      <c r="L13439" s="12"/>
      <c r="M13439" s="13"/>
    </row>
    <row r="13440" spans="12:13" x14ac:dyDescent="0.2">
      <c r="L13440" s="12"/>
      <c r="M13440" s="13"/>
    </row>
    <row r="13441" spans="12:13" x14ac:dyDescent="0.2">
      <c r="L13441" s="12"/>
      <c r="M13441" s="13"/>
    </row>
    <row r="13442" spans="12:13" x14ac:dyDescent="0.2">
      <c r="L13442" s="12"/>
      <c r="M13442" s="13"/>
    </row>
    <row r="13443" spans="12:13" x14ac:dyDescent="0.2">
      <c r="L13443" s="12"/>
      <c r="M13443" s="13"/>
    </row>
    <row r="13444" spans="12:13" x14ac:dyDescent="0.2">
      <c r="L13444" s="12"/>
      <c r="M13444" s="13"/>
    </row>
    <row r="13445" spans="12:13" x14ac:dyDescent="0.2">
      <c r="L13445" s="12"/>
      <c r="M13445" s="13"/>
    </row>
    <row r="13446" spans="12:13" x14ac:dyDescent="0.2">
      <c r="L13446" s="12"/>
      <c r="M13446" s="13"/>
    </row>
    <row r="13447" spans="12:13" x14ac:dyDescent="0.2">
      <c r="L13447" s="12"/>
      <c r="M13447" s="13"/>
    </row>
    <row r="13448" spans="12:13" x14ac:dyDescent="0.2">
      <c r="L13448" s="12"/>
      <c r="M13448" s="13"/>
    </row>
    <row r="13449" spans="12:13" x14ac:dyDescent="0.2">
      <c r="L13449" s="12"/>
      <c r="M13449" s="13"/>
    </row>
    <row r="13450" spans="12:13" x14ac:dyDescent="0.2">
      <c r="L13450" s="12"/>
      <c r="M13450" s="13"/>
    </row>
    <row r="13451" spans="12:13" x14ac:dyDescent="0.2">
      <c r="L13451" s="12"/>
      <c r="M13451" s="13"/>
    </row>
    <row r="13452" spans="12:13" x14ac:dyDescent="0.2">
      <c r="L13452" s="12"/>
      <c r="M13452" s="13"/>
    </row>
    <row r="13453" spans="12:13" x14ac:dyDescent="0.2">
      <c r="L13453" s="12"/>
      <c r="M13453" s="13"/>
    </row>
    <row r="13454" spans="12:13" x14ac:dyDescent="0.2">
      <c r="L13454" s="12"/>
      <c r="M13454" s="13"/>
    </row>
    <row r="13455" spans="12:13" x14ac:dyDescent="0.2">
      <c r="L13455" s="12"/>
      <c r="M13455" s="13"/>
    </row>
    <row r="13456" spans="12:13" x14ac:dyDescent="0.2">
      <c r="L13456" s="12"/>
      <c r="M13456" s="13"/>
    </row>
    <row r="13457" spans="12:13" x14ac:dyDescent="0.2">
      <c r="L13457" s="12"/>
      <c r="M13457" s="13"/>
    </row>
    <row r="13458" spans="12:13" x14ac:dyDescent="0.2">
      <c r="L13458" s="12"/>
      <c r="M13458" s="13"/>
    </row>
    <row r="13459" spans="12:13" x14ac:dyDescent="0.2">
      <c r="L13459" s="12"/>
      <c r="M13459" s="13"/>
    </row>
    <row r="13460" spans="12:13" x14ac:dyDescent="0.2">
      <c r="L13460" s="12"/>
      <c r="M13460" s="13"/>
    </row>
    <row r="13461" spans="12:13" x14ac:dyDescent="0.2">
      <c r="L13461" s="12"/>
      <c r="M13461" s="13"/>
    </row>
    <row r="13462" spans="12:13" x14ac:dyDescent="0.2">
      <c r="L13462" s="12"/>
      <c r="M13462" s="13"/>
    </row>
    <row r="13463" spans="12:13" x14ac:dyDescent="0.2">
      <c r="L13463" s="12"/>
      <c r="M13463" s="13"/>
    </row>
    <row r="13464" spans="12:13" x14ac:dyDescent="0.2">
      <c r="L13464" s="12"/>
      <c r="M13464" s="13"/>
    </row>
    <row r="13465" spans="12:13" x14ac:dyDescent="0.2">
      <c r="L13465" s="12"/>
      <c r="M13465" s="13"/>
    </row>
    <row r="13466" spans="12:13" x14ac:dyDescent="0.2">
      <c r="L13466" s="12"/>
      <c r="M13466" s="13"/>
    </row>
    <row r="13467" spans="12:13" x14ac:dyDescent="0.2">
      <c r="L13467" s="12"/>
      <c r="M13467" s="13"/>
    </row>
    <row r="13468" spans="12:13" x14ac:dyDescent="0.2">
      <c r="L13468" s="12"/>
      <c r="M13468" s="13"/>
    </row>
    <row r="13469" spans="12:13" x14ac:dyDescent="0.2">
      <c r="L13469" s="12"/>
      <c r="M13469" s="13"/>
    </row>
    <row r="13470" spans="12:13" x14ac:dyDescent="0.2">
      <c r="L13470" s="12"/>
      <c r="M13470" s="13"/>
    </row>
    <row r="13471" spans="12:13" x14ac:dyDescent="0.2">
      <c r="L13471" s="12"/>
      <c r="M13471" s="13"/>
    </row>
    <row r="13472" spans="12:13" x14ac:dyDescent="0.2">
      <c r="L13472" s="12"/>
      <c r="M13472" s="13"/>
    </row>
    <row r="13473" spans="12:13" x14ac:dyDescent="0.2">
      <c r="L13473" s="12"/>
      <c r="M13473" s="13"/>
    </row>
    <row r="13474" spans="12:13" x14ac:dyDescent="0.2">
      <c r="L13474" s="12"/>
      <c r="M13474" s="13"/>
    </row>
    <row r="13475" spans="12:13" x14ac:dyDescent="0.2">
      <c r="L13475" s="12"/>
      <c r="M13475" s="13"/>
    </row>
    <row r="13476" spans="12:13" x14ac:dyDescent="0.2">
      <c r="L13476" s="12"/>
      <c r="M13476" s="13"/>
    </row>
    <row r="13477" spans="12:13" x14ac:dyDescent="0.2">
      <c r="L13477" s="12"/>
      <c r="M13477" s="13"/>
    </row>
    <row r="13478" spans="12:13" x14ac:dyDescent="0.2">
      <c r="L13478" s="12"/>
      <c r="M13478" s="13"/>
    </row>
    <row r="13479" spans="12:13" x14ac:dyDescent="0.2">
      <c r="L13479" s="12"/>
      <c r="M13479" s="13"/>
    </row>
    <row r="13480" spans="12:13" x14ac:dyDescent="0.2">
      <c r="L13480" s="12"/>
      <c r="M13480" s="13"/>
    </row>
    <row r="13481" spans="12:13" x14ac:dyDescent="0.2">
      <c r="L13481" s="12"/>
      <c r="M13481" s="13"/>
    </row>
    <row r="13482" spans="12:13" x14ac:dyDescent="0.2">
      <c r="L13482" s="12"/>
      <c r="M13482" s="13"/>
    </row>
    <row r="13483" spans="12:13" x14ac:dyDescent="0.2">
      <c r="L13483" s="12"/>
      <c r="M13483" s="13"/>
    </row>
    <row r="13484" spans="12:13" x14ac:dyDescent="0.2">
      <c r="L13484" s="12"/>
      <c r="M13484" s="13"/>
    </row>
    <row r="13485" spans="12:13" x14ac:dyDescent="0.2">
      <c r="L13485" s="12"/>
      <c r="M13485" s="13"/>
    </row>
    <row r="13486" spans="12:13" x14ac:dyDescent="0.2">
      <c r="L13486" s="12"/>
      <c r="M13486" s="13"/>
    </row>
    <row r="13487" spans="12:13" x14ac:dyDescent="0.2">
      <c r="L13487" s="12"/>
      <c r="M13487" s="13"/>
    </row>
    <row r="13488" spans="12:13" x14ac:dyDescent="0.2">
      <c r="L13488" s="12"/>
      <c r="M13488" s="13"/>
    </row>
    <row r="13489" spans="12:13" x14ac:dyDescent="0.2">
      <c r="L13489" s="12"/>
      <c r="M13489" s="13"/>
    </row>
    <row r="13490" spans="12:13" x14ac:dyDescent="0.2">
      <c r="L13490" s="12"/>
      <c r="M13490" s="13"/>
    </row>
    <row r="13491" spans="12:13" x14ac:dyDescent="0.2">
      <c r="L13491" s="12"/>
      <c r="M13491" s="13"/>
    </row>
    <row r="13492" spans="12:13" x14ac:dyDescent="0.2">
      <c r="L13492" s="12"/>
      <c r="M13492" s="13"/>
    </row>
    <row r="13493" spans="12:13" x14ac:dyDescent="0.2">
      <c r="L13493" s="12"/>
      <c r="M13493" s="13"/>
    </row>
    <row r="13494" spans="12:13" x14ac:dyDescent="0.2">
      <c r="L13494" s="12"/>
      <c r="M13494" s="13"/>
    </row>
    <row r="13495" spans="12:13" x14ac:dyDescent="0.2">
      <c r="L13495" s="12"/>
      <c r="M13495" s="13"/>
    </row>
    <row r="13496" spans="12:13" x14ac:dyDescent="0.2">
      <c r="L13496" s="12"/>
      <c r="M13496" s="13"/>
    </row>
    <row r="13497" spans="12:13" x14ac:dyDescent="0.2">
      <c r="L13497" s="12"/>
      <c r="M13497" s="13"/>
    </row>
    <row r="13498" spans="12:13" x14ac:dyDescent="0.2">
      <c r="L13498" s="12"/>
      <c r="M13498" s="13"/>
    </row>
    <row r="13499" spans="12:13" x14ac:dyDescent="0.2">
      <c r="L13499" s="12"/>
      <c r="M13499" s="13"/>
    </row>
    <row r="13500" spans="12:13" x14ac:dyDescent="0.2">
      <c r="L13500" s="12"/>
      <c r="M13500" s="13"/>
    </row>
    <row r="13501" spans="12:13" x14ac:dyDescent="0.2">
      <c r="L13501" s="12"/>
      <c r="M13501" s="13"/>
    </row>
    <row r="13502" spans="12:13" x14ac:dyDescent="0.2">
      <c r="L13502" s="12"/>
      <c r="M13502" s="13"/>
    </row>
    <row r="13503" spans="12:13" x14ac:dyDescent="0.2">
      <c r="L13503" s="12"/>
      <c r="M13503" s="13"/>
    </row>
    <row r="13504" spans="12:13" x14ac:dyDescent="0.2">
      <c r="L13504" s="12"/>
      <c r="M13504" s="13"/>
    </row>
    <row r="13505" spans="12:13" x14ac:dyDescent="0.2">
      <c r="L13505" s="12"/>
      <c r="M13505" s="13"/>
    </row>
    <row r="13506" spans="12:13" x14ac:dyDescent="0.2">
      <c r="L13506" s="12"/>
      <c r="M13506" s="13"/>
    </row>
    <row r="13507" spans="12:13" x14ac:dyDescent="0.2">
      <c r="L13507" s="12"/>
      <c r="M13507" s="13"/>
    </row>
    <row r="13508" spans="12:13" x14ac:dyDescent="0.2">
      <c r="L13508" s="12"/>
      <c r="M13508" s="13"/>
    </row>
    <row r="13509" spans="12:13" x14ac:dyDescent="0.2">
      <c r="L13509" s="12"/>
      <c r="M13509" s="13"/>
    </row>
    <row r="13510" spans="12:13" x14ac:dyDescent="0.2">
      <c r="L13510" s="12"/>
      <c r="M13510" s="13"/>
    </row>
    <row r="13511" spans="12:13" x14ac:dyDescent="0.2">
      <c r="L13511" s="12"/>
      <c r="M13511" s="13"/>
    </row>
    <row r="13512" spans="12:13" x14ac:dyDescent="0.2">
      <c r="L13512" s="12"/>
      <c r="M13512" s="13"/>
    </row>
    <row r="13513" spans="12:13" x14ac:dyDescent="0.2">
      <c r="L13513" s="12"/>
      <c r="M13513" s="13"/>
    </row>
    <row r="13514" spans="12:13" x14ac:dyDescent="0.2">
      <c r="L13514" s="12"/>
      <c r="M13514" s="13"/>
    </row>
    <row r="13515" spans="12:13" x14ac:dyDescent="0.2">
      <c r="L13515" s="12"/>
      <c r="M13515" s="13"/>
    </row>
    <row r="13516" spans="12:13" x14ac:dyDescent="0.2">
      <c r="L13516" s="12"/>
      <c r="M13516" s="13"/>
    </row>
    <row r="13517" spans="12:13" x14ac:dyDescent="0.2">
      <c r="L13517" s="12"/>
      <c r="M13517" s="13"/>
    </row>
    <row r="13518" spans="12:13" x14ac:dyDescent="0.2">
      <c r="L13518" s="12"/>
      <c r="M13518" s="13"/>
    </row>
    <row r="13519" spans="12:13" x14ac:dyDescent="0.2">
      <c r="L13519" s="12"/>
      <c r="M13519" s="13"/>
    </row>
    <row r="13520" spans="12:13" x14ac:dyDescent="0.2">
      <c r="L13520" s="12"/>
      <c r="M13520" s="13"/>
    </row>
    <row r="13521" spans="12:13" x14ac:dyDescent="0.2">
      <c r="L13521" s="12"/>
      <c r="M13521" s="13"/>
    </row>
    <row r="13522" spans="12:13" x14ac:dyDescent="0.2">
      <c r="L13522" s="12"/>
      <c r="M13522" s="13"/>
    </row>
    <row r="13523" spans="12:13" x14ac:dyDescent="0.2">
      <c r="L13523" s="12"/>
      <c r="M13523" s="13"/>
    </row>
    <row r="13524" spans="12:13" x14ac:dyDescent="0.2">
      <c r="L13524" s="12"/>
      <c r="M13524" s="13"/>
    </row>
    <row r="13525" spans="12:13" x14ac:dyDescent="0.2">
      <c r="L13525" s="12"/>
      <c r="M13525" s="13"/>
    </row>
    <row r="13526" spans="12:13" x14ac:dyDescent="0.2">
      <c r="L13526" s="12"/>
      <c r="M13526" s="13"/>
    </row>
    <row r="13527" spans="12:13" x14ac:dyDescent="0.2">
      <c r="L13527" s="12"/>
      <c r="M13527" s="13"/>
    </row>
    <row r="13528" spans="12:13" x14ac:dyDescent="0.2">
      <c r="L13528" s="12"/>
      <c r="M13528" s="13"/>
    </row>
    <row r="13529" spans="12:13" x14ac:dyDescent="0.2">
      <c r="L13529" s="12"/>
      <c r="M13529" s="13"/>
    </row>
    <row r="13530" spans="12:13" x14ac:dyDescent="0.2">
      <c r="L13530" s="12"/>
      <c r="M13530" s="13"/>
    </row>
    <row r="13531" spans="12:13" x14ac:dyDescent="0.2">
      <c r="L13531" s="12"/>
      <c r="M13531" s="13"/>
    </row>
    <row r="13532" spans="12:13" x14ac:dyDescent="0.2">
      <c r="L13532" s="12"/>
      <c r="M13532" s="13"/>
    </row>
    <row r="13533" spans="12:13" x14ac:dyDescent="0.2">
      <c r="L13533" s="12"/>
      <c r="M13533" s="13"/>
    </row>
    <row r="13534" spans="12:13" x14ac:dyDescent="0.2">
      <c r="L13534" s="12"/>
      <c r="M13534" s="13"/>
    </row>
    <row r="13535" spans="12:13" x14ac:dyDescent="0.2">
      <c r="L13535" s="12"/>
      <c r="M13535" s="13"/>
    </row>
    <row r="13536" spans="12:13" x14ac:dyDescent="0.2">
      <c r="L13536" s="12"/>
      <c r="M13536" s="13"/>
    </row>
    <row r="13537" spans="12:13" x14ac:dyDescent="0.2">
      <c r="L13537" s="12"/>
      <c r="M13537" s="13"/>
    </row>
    <row r="13538" spans="12:13" x14ac:dyDescent="0.2">
      <c r="L13538" s="12"/>
      <c r="M13538" s="13"/>
    </row>
    <row r="13539" spans="12:13" x14ac:dyDescent="0.2">
      <c r="L13539" s="12"/>
      <c r="M13539" s="13"/>
    </row>
    <row r="13540" spans="12:13" x14ac:dyDescent="0.2">
      <c r="L13540" s="12"/>
      <c r="M13540" s="13"/>
    </row>
    <row r="13541" spans="12:13" x14ac:dyDescent="0.2">
      <c r="L13541" s="12"/>
      <c r="M13541" s="13"/>
    </row>
    <row r="13542" spans="12:13" x14ac:dyDescent="0.2">
      <c r="L13542" s="12"/>
      <c r="M13542" s="13"/>
    </row>
    <row r="13543" spans="12:13" x14ac:dyDescent="0.2">
      <c r="L13543" s="12"/>
      <c r="M13543" s="13"/>
    </row>
    <row r="13544" spans="12:13" x14ac:dyDescent="0.2">
      <c r="L13544" s="12"/>
      <c r="M13544" s="13"/>
    </row>
    <row r="13545" spans="12:13" x14ac:dyDescent="0.2">
      <c r="L13545" s="12"/>
      <c r="M13545" s="13"/>
    </row>
    <row r="13546" spans="12:13" x14ac:dyDescent="0.2">
      <c r="L13546" s="12"/>
      <c r="M13546" s="13"/>
    </row>
    <row r="13547" spans="12:13" x14ac:dyDescent="0.2">
      <c r="L13547" s="12"/>
      <c r="M13547" s="13"/>
    </row>
    <row r="13548" spans="12:13" x14ac:dyDescent="0.2">
      <c r="L13548" s="12"/>
      <c r="M13548" s="13"/>
    </row>
    <row r="13549" spans="12:13" x14ac:dyDescent="0.2">
      <c r="L13549" s="12"/>
      <c r="M13549" s="13"/>
    </row>
    <row r="13550" spans="12:13" x14ac:dyDescent="0.2">
      <c r="L13550" s="12"/>
      <c r="M13550" s="13"/>
    </row>
    <row r="13551" spans="12:13" x14ac:dyDescent="0.2">
      <c r="L13551" s="12"/>
      <c r="M13551" s="13"/>
    </row>
    <row r="13552" spans="12:13" x14ac:dyDescent="0.2">
      <c r="L13552" s="12"/>
      <c r="M13552" s="13"/>
    </row>
    <row r="13553" spans="12:13" x14ac:dyDescent="0.2">
      <c r="L13553" s="12"/>
      <c r="M13553" s="13"/>
    </row>
    <row r="13554" spans="12:13" x14ac:dyDescent="0.2">
      <c r="L13554" s="12"/>
      <c r="M13554" s="13"/>
    </row>
    <row r="13555" spans="12:13" x14ac:dyDescent="0.2">
      <c r="L13555" s="12"/>
      <c r="M13555" s="13"/>
    </row>
    <row r="13556" spans="12:13" x14ac:dyDescent="0.2">
      <c r="L13556" s="12"/>
      <c r="M13556" s="13"/>
    </row>
    <row r="13557" spans="12:13" x14ac:dyDescent="0.2">
      <c r="L13557" s="12"/>
      <c r="M13557" s="13"/>
    </row>
    <row r="13558" spans="12:13" x14ac:dyDescent="0.2">
      <c r="L13558" s="12"/>
      <c r="M13558" s="13"/>
    </row>
    <row r="13559" spans="12:13" x14ac:dyDescent="0.2">
      <c r="L13559" s="12"/>
      <c r="M13559" s="13"/>
    </row>
    <row r="13560" spans="12:13" x14ac:dyDescent="0.2">
      <c r="L13560" s="12"/>
      <c r="M13560" s="13"/>
    </row>
    <row r="13561" spans="12:13" x14ac:dyDescent="0.2">
      <c r="L13561" s="12"/>
      <c r="M13561" s="13"/>
    </row>
    <row r="13562" spans="12:13" x14ac:dyDescent="0.2">
      <c r="L13562" s="12"/>
      <c r="M13562" s="13"/>
    </row>
    <row r="13563" spans="12:13" x14ac:dyDescent="0.2">
      <c r="L13563" s="12"/>
      <c r="M13563" s="13"/>
    </row>
    <row r="13564" spans="12:13" x14ac:dyDescent="0.2">
      <c r="L13564" s="12"/>
      <c r="M13564" s="13"/>
    </row>
    <row r="13565" spans="12:13" x14ac:dyDescent="0.2">
      <c r="L13565" s="12"/>
      <c r="M13565" s="13"/>
    </row>
    <row r="13566" spans="12:13" x14ac:dyDescent="0.2">
      <c r="L13566" s="12"/>
      <c r="M13566" s="13"/>
    </row>
    <row r="13567" spans="12:13" x14ac:dyDescent="0.2">
      <c r="L13567" s="12"/>
      <c r="M13567" s="13"/>
    </row>
    <row r="13568" spans="12:13" x14ac:dyDescent="0.2">
      <c r="L13568" s="12"/>
      <c r="M13568" s="13"/>
    </row>
    <row r="13569" spans="12:13" x14ac:dyDescent="0.2">
      <c r="L13569" s="12"/>
      <c r="M13569" s="13"/>
    </row>
    <row r="13570" spans="12:13" x14ac:dyDescent="0.2">
      <c r="L13570" s="17"/>
      <c r="M13570" s="18"/>
    </row>
    <row r="13571" spans="12:13" x14ac:dyDescent="0.2">
      <c r="L13571" s="12"/>
      <c r="M13571" s="13"/>
    </row>
    <row r="13572" spans="12:13" x14ac:dyDescent="0.2">
      <c r="L13572" s="12"/>
      <c r="M13572" s="13"/>
    </row>
    <row r="13573" spans="12:13" x14ac:dyDescent="0.2">
      <c r="L13573" s="12"/>
      <c r="M13573" s="13"/>
    </row>
    <row r="13574" spans="12:13" x14ac:dyDescent="0.2">
      <c r="L13574" s="12"/>
      <c r="M13574" s="13"/>
    </row>
    <row r="13575" spans="12:13" x14ac:dyDescent="0.2">
      <c r="L13575" s="12"/>
      <c r="M13575" s="13"/>
    </row>
    <row r="13576" spans="12:13" x14ac:dyDescent="0.2">
      <c r="L13576" s="12"/>
      <c r="M13576" s="13"/>
    </row>
    <row r="13577" spans="12:13" x14ac:dyDescent="0.2">
      <c r="L13577" s="12"/>
      <c r="M13577" s="13"/>
    </row>
    <row r="13578" spans="12:13" x14ac:dyDescent="0.2">
      <c r="L13578" s="12"/>
      <c r="M13578" s="13"/>
    </row>
    <row r="13579" spans="12:13" x14ac:dyDescent="0.2">
      <c r="L13579" s="12"/>
      <c r="M13579" s="13"/>
    </row>
    <row r="13580" spans="12:13" x14ac:dyDescent="0.2">
      <c r="L13580" s="12"/>
      <c r="M13580" s="13"/>
    </row>
    <row r="13581" spans="12:13" x14ac:dyDescent="0.2">
      <c r="L13581" s="12"/>
      <c r="M13581" s="13"/>
    </row>
    <row r="13582" spans="12:13" x14ac:dyDescent="0.2">
      <c r="L13582" s="12"/>
      <c r="M13582" s="13"/>
    </row>
    <row r="13583" spans="12:13" x14ac:dyDescent="0.2">
      <c r="L13583" s="12"/>
      <c r="M13583" s="13"/>
    </row>
    <row r="13584" spans="12:13" x14ac:dyDescent="0.2">
      <c r="L13584" s="12"/>
      <c r="M13584" s="13"/>
    </row>
    <row r="13585" spans="12:13" x14ac:dyDescent="0.2">
      <c r="L13585" s="12"/>
      <c r="M13585" s="13"/>
    </row>
    <row r="13586" spans="12:13" x14ac:dyDescent="0.2">
      <c r="L13586" s="12"/>
      <c r="M13586" s="13"/>
    </row>
    <row r="13587" spans="12:13" x14ac:dyDescent="0.2">
      <c r="L13587" s="12"/>
      <c r="M13587" s="13"/>
    </row>
    <row r="13588" spans="12:13" x14ac:dyDescent="0.2">
      <c r="L13588" s="12"/>
      <c r="M13588" s="13"/>
    </row>
    <row r="13589" spans="12:13" x14ac:dyDescent="0.2">
      <c r="L13589" s="12"/>
      <c r="M13589" s="13"/>
    </row>
    <row r="13590" spans="12:13" x14ac:dyDescent="0.2">
      <c r="L13590" s="12"/>
      <c r="M13590" s="13"/>
    </row>
    <row r="13591" spans="12:13" x14ac:dyDescent="0.2">
      <c r="L13591" s="12"/>
      <c r="M13591" s="13"/>
    </row>
    <row r="13592" spans="12:13" x14ac:dyDescent="0.2">
      <c r="L13592" s="12"/>
      <c r="M13592" s="13"/>
    </row>
    <row r="13593" spans="12:13" x14ac:dyDescent="0.2">
      <c r="L13593" s="12"/>
      <c r="M13593" s="13"/>
    </row>
    <row r="13594" spans="12:13" x14ac:dyDescent="0.2">
      <c r="L13594" s="12"/>
      <c r="M13594" s="13"/>
    </row>
    <row r="13595" spans="12:13" x14ac:dyDescent="0.2">
      <c r="L13595" s="12"/>
      <c r="M13595" s="13"/>
    </row>
    <row r="13596" spans="12:13" x14ac:dyDescent="0.2">
      <c r="L13596" s="12"/>
      <c r="M13596" s="13"/>
    </row>
    <row r="13597" spans="12:13" x14ac:dyDescent="0.2">
      <c r="L13597" s="12"/>
      <c r="M13597" s="13"/>
    </row>
    <row r="13598" spans="12:13" x14ac:dyDescent="0.2">
      <c r="L13598" s="12"/>
      <c r="M13598" s="13"/>
    </row>
    <row r="13599" spans="12:13" x14ac:dyDescent="0.2">
      <c r="L13599" s="12"/>
      <c r="M13599" s="13"/>
    </row>
    <row r="13600" spans="12:13" x14ac:dyDescent="0.2">
      <c r="L13600" s="12"/>
      <c r="M13600" s="13"/>
    </row>
    <row r="13601" spans="12:13" x14ac:dyDescent="0.2">
      <c r="L13601" s="12"/>
      <c r="M13601" s="13"/>
    </row>
    <row r="13602" spans="12:13" x14ac:dyDescent="0.2">
      <c r="L13602" s="12"/>
      <c r="M13602" s="13"/>
    </row>
    <row r="13603" spans="12:13" x14ac:dyDescent="0.2">
      <c r="L13603" s="12"/>
      <c r="M13603" s="13"/>
    </row>
    <row r="13604" spans="12:13" x14ac:dyDescent="0.2">
      <c r="L13604" s="12"/>
      <c r="M13604" s="13"/>
    </row>
    <row r="13605" spans="12:13" x14ac:dyDescent="0.2">
      <c r="L13605" s="12"/>
      <c r="M13605" s="13"/>
    </row>
    <row r="13606" spans="12:13" x14ac:dyDescent="0.2">
      <c r="L13606" s="12"/>
      <c r="M13606" s="13"/>
    </row>
    <row r="13607" spans="12:13" x14ac:dyDescent="0.2">
      <c r="L13607" s="12"/>
      <c r="M13607" s="13"/>
    </row>
    <row r="13608" spans="12:13" x14ac:dyDescent="0.2">
      <c r="L13608" s="12"/>
      <c r="M13608" s="13"/>
    </row>
    <row r="13609" spans="12:13" x14ac:dyDescent="0.2">
      <c r="L13609" s="12"/>
      <c r="M13609" s="13"/>
    </row>
    <row r="13610" spans="12:13" x14ac:dyDescent="0.2">
      <c r="L13610" s="12"/>
      <c r="M13610" s="13"/>
    </row>
    <row r="13611" spans="12:13" x14ac:dyDescent="0.2">
      <c r="L13611" s="12"/>
      <c r="M13611" s="13"/>
    </row>
    <row r="13612" spans="12:13" x14ac:dyDescent="0.2">
      <c r="L13612" s="12"/>
      <c r="M13612" s="13"/>
    </row>
    <row r="13613" spans="12:13" x14ac:dyDescent="0.2">
      <c r="L13613" s="12"/>
      <c r="M13613" s="13"/>
    </row>
    <row r="13614" spans="12:13" x14ac:dyDescent="0.2">
      <c r="L13614" s="12"/>
      <c r="M13614" s="13"/>
    </row>
    <row r="13615" spans="12:13" x14ac:dyDescent="0.2">
      <c r="L13615" s="12"/>
      <c r="M13615" s="13"/>
    </row>
    <row r="13616" spans="12:13" x14ac:dyDescent="0.2">
      <c r="L13616" s="12"/>
      <c r="M13616" s="13"/>
    </row>
    <row r="13617" spans="12:13" x14ac:dyDescent="0.2">
      <c r="L13617" s="12"/>
      <c r="M13617" s="13"/>
    </row>
    <row r="13618" spans="12:13" x14ac:dyDescent="0.2">
      <c r="L13618" s="12"/>
      <c r="M13618" s="13"/>
    </row>
    <row r="13619" spans="12:13" x14ac:dyDescent="0.2">
      <c r="L13619" s="12"/>
      <c r="M13619" s="13"/>
    </row>
    <row r="13620" spans="12:13" x14ac:dyDescent="0.2">
      <c r="L13620" s="12"/>
      <c r="M13620" s="13"/>
    </row>
    <row r="13621" spans="12:13" x14ac:dyDescent="0.2">
      <c r="L13621" s="12"/>
      <c r="M13621" s="13"/>
    </row>
    <row r="13622" spans="12:13" x14ac:dyDescent="0.2">
      <c r="L13622" s="12"/>
      <c r="M13622" s="13"/>
    </row>
    <row r="13623" spans="12:13" x14ac:dyDescent="0.2">
      <c r="L13623" s="12"/>
      <c r="M13623" s="13"/>
    </row>
    <row r="13624" spans="12:13" x14ac:dyDescent="0.2">
      <c r="L13624" s="12"/>
      <c r="M13624" s="13"/>
    </row>
    <row r="13625" spans="12:13" x14ac:dyDescent="0.2">
      <c r="L13625" s="12"/>
      <c r="M13625" s="13"/>
    </row>
    <row r="13626" spans="12:13" x14ac:dyDescent="0.2">
      <c r="L13626" s="12"/>
      <c r="M13626" s="13"/>
    </row>
    <row r="13627" spans="12:13" x14ac:dyDescent="0.2">
      <c r="L13627" s="12"/>
      <c r="M13627" s="13"/>
    </row>
    <row r="13628" spans="12:13" x14ac:dyDescent="0.2">
      <c r="L13628" s="12"/>
      <c r="M13628" s="13"/>
    </row>
    <row r="13629" spans="12:13" x14ac:dyDescent="0.2">
      <c r="L13629" s="12"/>
      <c r="M13629" s="13"/>
    </row>
    <row r="13630" spans="12:13" x14ac:dyDescent="0.2">
      <c r="L13630" s="12"/>
      <c r="M13630" s="13"/>
    </row>
    <row r="13631" spans="12:13" x14ac:dyDescent="0.2">
      <c r="L13631" s="12"/>
      <c r="M13631" s="13"/>
    </row>
    <row r="13632" spans="12:13" x14ac:dyDescent="0.2">
      <c r="L13632" s="12"/>
      <c r="M13632" s="13"/>
    </row>
    <row r="13633" spans="12:13" x14ac:dyDescent="0.2">
      <c r="L13633" s="12"/>
      <c r="M13633" s="13"/>
    </row>
    <row r="13634" spans="12:13" x14ac:dyDescent="0.2">
      <c r="L13634" s="12"/>
      <c r="M13634" s="13"/>
    </row>
    <row r="13635" spans="12:13" x14ac:dyDescent="0.2">
      <c r="L13635" s="12"/>
      <c r="M13635" s="13"/>
    </row>
    <row r="13636" spans="12:13" x14ac:dyDescent="0.2">
      <c r="L13636" s="12"/>
      <c r="M13636" s="13"/>
    </row>
    <row r="13637" spans="12:13" x14ac:dyDescent="0.2">
      <c r="L13637" s="12"/>
      <c r="M13637" s="13"/>
    </row>
    <row r="13638" spans="12:13" x14ac:dyDescent="0.2">
      <c r="L13638" s="12"/>
      <c r="M13638" s="13"/>
    </row>
    <row r="13639" spans="12:13" x14ac:dyDescent="0.2">
      <c r="L13639" s="12"/>
      <c r="M13639" s="13"/>
    </row>
    <row r="13640" spans="12:13" x14ac:dyDescent="0.2">
      <c r="L13640" s="12"/>
      <c r="M13640" s="13"/>
    </row>
    <row r="13641" spans="12:13" x14ac:dyDescent="0.2">
      <c r="L13641" s="12"/>
      <c r="M13641" s="13"/>
    </row>
    <row r="13642" spans="12:13" x14ac:dyDescent="0.2">
      <c r="L13642" s="12"/>
      <c r="M13642" s="13"/>
    </row>
    <row r="13643" spans="12:13" x14ac:dyDescent="0.2">
      <c r="L13643" s="12"/>
      <c r="M13643" s="13"/>
    </row>
    <row r="13644" spans="12:13" x14ac:dyDescent="0.2">
      <c r="L13644" s="12"/>
      <c r="M13644" s="13"/>
    </row>
    <row r="13645" spans="12:13" x14ac:dyDescent="0.2">
      <c r="L13645" s="12"/>
      <c r="M13645" s="13"/>
    </row>
    <row r="13646" spans="12:13" x14ac:dyDescent="0.2">
      <c r="L13646" s="12"/>
      <c r="M13646" s="13"/>
    </row>
    <row r="13647" spans="12:13" x14ac:dyDescent="0.2">
      <c r="L13647" s="12"/>
      <c r="M13647" s="13"/>
    </row>
    <row r="13648" spans="12:13" x14ac:dyDescent="0.2">
      <c r="L13648" s="12"/>
      <c r="M13648" s="13"/>
    </row>
    <row r="13649" spans="12:13" x14ac:dyDescent="0.2">
      <c r="L13649" s="12"/>
      <c r="M13649" s="13"/>
    </row>
    <row r="13650" spans="12:13" x14ac:dyDescent="0.2">
      <c r="L13650" s="12"/>
      <c r="M13650" s="13"/>
    </row>
    <row r="13651" spans="12:13" x14ac:dyDescent="0.2">
      <c r="L13651" s="12"/>
      <c r="M13651" s="13"/>
    </row>
    <row r="13652" spans="12:13" x14ac:dyDescent="0.2">
      <c r="L13652" s="12"/>
      <c r="M13652" s="13"/>
    </row>
    <row r="13653" spans="12:13" x14ac:dyDescent="0.2">
      <c r="L13653" s="12"/>
      <c r="M13653" s="13"/>
    </row>
    <row r="13654" spans="12:13" x14ac:dyDescent="0.2">
      <c r="L13654" s="12"/>
      <c r="M13654" s="13"/>
    </row>
    <row r="13655" spans="12:13" x14ac:dyDescent="0.2">
      <c r="L13655" s="12"/>
      <c r="M13655" s="13"/>
    </row>
    <row r="13656" spans="12:13" x14ac:dyDescent="0.2">
      <c r="L13656" s="12"/>
      <c r="M13656" s="13"/>
    </row>
    <row r="13657" spans="12:13" x14ac:dyDescent="0.2">
      <c r="L13657" s="12"/>
      <c r="M13657" s="13"/>
    </row>
    <row r="13658" spans="12:13" x14ac:dyDescent="0.2">
      <c r="L13658" s="12"/>
      <c r="M13658" s="13"/>
    </row>
    <row r="13659" spans="12:13" x14ac:dyDescent="0.2">
      <c r="L13659" s="12"/>
      <c r="M13659" s="13"/>
    </row>
    <row r="13660" spans="12:13" x14ac:dyDescent="0.2">
      <c r="L13660" s="12"/>
      <c r="M13660" s="13"/>
    </row>
    <row r="13661" spans="12:13" x14ac:dyDescent="0.2">
      <c r="L13661" s="12"/>
      <c r="M13661" s="13"/>
    </row>
    <row r="13662" spans="12:13" x14ac:dyDescent="0.2">
      <c r="L13662" s="12"/>
      <c r="M13662" s="13"/>
    </row>
    <row r="13663" spans="12:13" x14ac:dyDescent="0.2">
      <c r="L13663" s="12"/>
      <c r="M13663" s="13"/>
    </row>
    <row r="13664" spans="12:13" x14ac:dyDescent="0.2">
      <c r="L13664" s="12"/>
      <c r="M13664" s="13"/>
    </row>
    <row r="13665" spans="12:13" x14ac:dyDescent="0.2">
      <c r="L13665" s="12"/>
      <c r="M13665" s="13"/>
    </row>
    <row r="13666" spans="12:13" x14ac:dyDescent="0.2">
      <c r="L13666" s="12"/>
      <c r="M13666" s="13"/>
    </row>
    <row r="13667" spans="12:13" x14ac:dyDescent="0.2">
      <c r="L13667" s="12"/>
      <c r="M13667" s="13"/>
    </row>
    <row r="13668" spans="12:13" x14ac:dyDescent="0.2">
      <c r="L13668" s="12"/>
      <c r="M13668" s="13"/>
    </row>
    <row r="13669" spans="12:13" x14ac:dyDescent="0.2">
      <c r="L13669" s="12"/>
      <c r="M13669" s="13"/>
    </row>
    <row r="13670" spans="12:13" x14ac:dyDescent="0.2">
      <c r="L13670" s="12"/>
      <c r="M13670" s="13"/>
    </row>
    <row r="13671" spans="12:13" x14ac:dyDescent="0.2">
      <c r="L13671" s="12"/>
      <c r="M13671" s="13"/>
    </row>
    <row r="13672" spans="12:13" x14ac:dyDescent="0.2">
      <c r="L13672" s="12"/>
      <c r="M13672" s="13"/>
    </row>
    <row r="13673" spans="12:13" x14ac:dyDescent="0.2">
      <c r="L13673" s="12"/>
      <c r="M13673" s="13"/>
    </row>
    <row r="13674" spans="12:13" x14ac:dyDescent="0.2">
      <c r="L13674" s="12"/>
      <c r="M13674" s="13"/>
    </row>
    <row r="13675" spans="12:13" x14ac:dyDescent="0.2">
      <c r="L13675" s="12"/>
      <c r="M13675" s="13"/>
    </row>
    <row r="13676" spans="12:13" x14ac:dyDescent="0.2">
      <c r="L13676" s="12"/>
      <c r="M13676" s="13"/>
    </row>
    <row r="13677" spans="12:13" x14ac:dyDescent="0.2">
      <c r="L13677" s="12"/>
      <c r="M13677" s="13"/>
    </row>
    <row r="13678" spans="12:13" x14ac:dyDescent="0.2">
      <c r="L13678" s="12"/>
      <c r="M13678" s="13"/>
    </row>
    <row r="13679" spans="12:13" x14ac:dyDescent="0.2">
      <c r="L13679" s="12"/>
      <c r="M13679" s="13"/>
    </row>
    <row r="13680" spans="12:13" x14ac:dyDescent="0.2">
      <c r="L13680" s="12"/>
      <c r="M13680" s="13"/>
    </row>
    <row r="13681" spans="12:13" x14ac:dyDescent="0.2">
      <c r="L13681" s="12"/>
      <c r="M13681" s="13"/>
    </row>
    <row r="13682" spans="12:13" x14ac:dyDescent="0.2">
      <c r="L13682" s="12"/>
      <c r="M13682" s="13"/>
    </row>
    <row r="13683" spans="12:13" x14ac:dyDescent="0.2">
      <c r="L13683" s="12"/>
      <c r="M13683" s="13"/>
    </row>
    <row r="13684" spans="12:13" x14ac:dyDescent="0.2">
      <c r="L13684" s="12"/>
      <c r="M13684" s="13"/>
    </row>
    <row r="13685" spans="12:13" x14ac:dyDescent="0.2">
      <c r="L13685" s="12"/>
      <c r="M13685" s="13"/>
    </row>
    <row r="13686" spans="12:13" x14ac:dyDescent="0.2">
      <c r="L13686" s="12"/>
      <c r="M13686" s="13"/>
    </row>
    <row r="13687" spans="12:13" x14ac:dyDescent="0.2">
      <c r="L13687" s="12"/>
      <c r="M13687" s="13"/>
    </row>
    <row r="13688" spans="12:13" x14ac:dyDescent="0.2">
      <c r="L13688" s="12"/>
      <c r="M13688" s="13"/>
    </row>
    <row r="13689" spans="12:13" x14ac:dyDescent="0.2">
      <c r="L13689" s="12"/>
      <c r="M13689" s="13"/>
    </row>
    <row r="13690" spans="12:13" x14ac:dyDescent="0.2">
      <c r="L13690" s="12"/>
      <c r="M13690" s="13"/>
    </row>
    <row r="13691" spans="12:13" x14ac:dyDescent="0.2">
      <c r="L13691" s="12"/>
      <c r="M13691" s="13"/>
    </row>
    <row r="13692" spans="12:13" x14ac:dyDescent="0.2">
      <c r="L13692" s="12"/>
      <c r="M13692" s="13"/>
    </row>
    <row r="13693" spans="12:13" x14ac:dyDescent="0.2">
      <c r="L13693" s="12"/>
      <c r="M13693" s="13"/>
    </row>
    <row r="13694" spans="12:13" x14ac:dyDescent="0.2">
      <c r="L13694" s="12"/>
      <c r="M13694" s="13"/>
    </row>
    <row r="13695" spans="12:13" x14ac:dyDescent="0.2">
      <c r="L13695" s="12"/>
      <c r="M13695" s="13"/>
    </row>
    <row r="13696" spans="12:13" x14ac:dyDescent="0.2">
      <c r="L13696" s="12"/>
      <c r="M13696" s="13"/>
    </row>
    <row r="13697" spans="12:13" x14ac:dyDescent="0.2">
      <c r="L13697" s="12"/>
      <c r="M13697" s="13"/>
    </row>
    <row r="13698" spans="12:13" x14ac:dyDescent="0.2">
      <c r="L13698" s="12"/>
      <c r="M13698" s="13"/>
    </row>
    <row r="13699" spans="12:13" x14ac:dyDescent="0.2">
      <c r="L13699" s="12"/>
      <c r="M13699" s="13"/>
    </row>
    <row r="13700" spans="12:13" x14ac:dyDescent="0.2">
      <c r="L13700" s="12"/>
      <c r="M13700" s="13"/>
    </row>
    <row r="13701" spans="12:13" x14ac:dyDescent="0.2">
      <c r="L13701" s="12"/>
      <c r="M13701" s="13"/>
    </row>
    <row r="13702" spans="12:13" x14ac:dyDescent="0.2">
      <c r="L13702" s="12"/>
      <c r="M13702" s="13"/>
    </row>
    <row r="13703" spans="12:13" x14ac:dyDescent="0.2">
      <c r="L13703" s="12"/>
      <c r="M13703" s="13"/>
    </row>
    <row r="13704" spans="12:13" x14ac:dyDescent="0.2">
      <c r="L13704" s="12"/>
      <c r="M13704" s="13"/>
    </row>
    <row r="13705" spans="12:13" x14ac:dyDescent="0.2">
      <c r="L13705" s="12"/>
      <c r="M13705" s="13"/>
    </row>
    <row r="13706" spans="12:13" x14ac:dyDescent="0.2">
      <c r="L13706" s="12"/>
      <c r="M13706" s="13"/>
    </row>
    <row r="13707" spans="12:13" x14ac:dyDescent="0.2">
      <c r="L13707" s="12"/>
      <c r="M13707" s="13"/>
    </row>
    <row r="13708" spans="12:13" x14ac:dyDescent="0.2">
      <c r="L13708" s="12"/>
      <c r="M13708" s="13"/>
    </row>
    <row r="13709" spans="12:13" x14ac:dyDescent="0.2">
      <c r="L13709" s="12"/>
      <c r="M13709" s="13"/>
    </row>
    <row r="13710" spans="12:13" x14ac:dyDescent="0.2">
      <c r="L13710" s="12"/>
      <c r="M13710" s="13"/>
    </row>
    <row r="13711" spans="12:13" x14ac:dyDescent="0.2">
      <c r="L13711" s="12"/>
      <c r="M13711" s="13"/>
    </row>
    <row r="13712" spans="12:13" x14ac:dyDescent="0.2">
      <c r="L13712" s="12"/>
      <c r="M13712" s="13"/>
    </row>
    <row r="13713" spans="12:13" x14ac:dyDescent="0.2">
      <c r="L13713" s="12"/>
      <c r="M13713" s="13"/>
    </row>
    <row r="13714" spans="12:13" x14ac:dyDescent="0.2">
      <c r="L13714" s="12"/>
      <c r="M13714" s="13"/>
    </row>
    <row r="13715" spans="12:13" x14ac:dyDescent="0.2">
      <c r="L13715" s="12"/>
      <c r="M13715" s="13"/>
    </row>
    <row r="13716" spans="12:13" x14ac:dyDescent="0.2">
      <c r="L13716" s="12"/>
      <c r="M13716" s="13"/>
    </row>
    <row r="13717" spans="12:13" x14ac:dyDescent="0.2">
      <c r="L13717" s="12"/>
      <c r="M13717" s="13"/>
    </row>
    <row r="13718" spans="12:13" x14ac:dyDescent="0.2">
      <c r="L13718" s="12"/>
      <c r="M13718" s="13"/>
    </row>
    <row r="13719" spans="12:13" x14ac:dyDescent="0.2">
      <c r="L13719" s="12"/>
      <c r="M13719" s="13"/>
    </row>
    <row r="13720" spans="12:13" x14ac:dyDescent="0.2">
      <c r="L13720" s="12"/>
      <c r="M13720" s="13"/>
    </row>
    <row r="13721" spans="12:13" x14ac:dyDescent="0.2">
      <c r="L13721" s="12"/>
      <c r="M13721" s="13"/>
    </row>
    <row r="13722" spans="12:13" x14ac:dyDescent="0.2">
      <c r="L13722" s="12"/>
      <c r="M13722" s="13"/>
    </row>
    <row r="13723" spans="12:13" x14ac:dyDescent="0.2">
      <c r="L13723" s="12"/>
      <c r="M13723" s="13"/>
    </row>
    <row r="13724" spans="12:13" x14ac:dyDescent="0.2">
      <c r="L13724" s="12"/>
      <c r="M13724" s="13"/>
    </row>
    <row r="13725" spans="12:13" x14ac:dyDescent="0.2">
      <c r="L13725" s="12"/>
      <c r="M13725" s="13"/>
    </row>
    <row r="13726" spans="12:13" x14ac:dyDescent="0.2">
      <c r="L13726" s="12"/>
      <c r="M13726" s="13"/>
    </row>
    <row r="13727" spans="12:13" x14ac:dyDescent="0.2">
      <c r="L13727" s="12"/>
      <c r="M13727" s="13"/>
    </row>
    <row r="13728" spans="12:13" x14ac:dyDescent="0.2">
      <c r="L13728" s="12"/>
      <c r="M13728" s="13"/>
    </row>
    <row r="13729" spans="12:13" x14ac:dyDescent="0.2">
      <c r="L13729" s="12"/>
      <c r="M13729" s="13"/>
    </row>
    <row r="13730" spans="12:13" x14ac:dyDescent="0.2">
      <c r="L13730" s="12"/>
      <c r="M13730" s="13"/>
    </row>
    <row r="13731" spans="12:13" x14ac:dyDescent="0.2">
      <c r="L13731" s="12"/>
      <c r="M13731" s="13"/>
    </row>
    <row r="13732" spans="12:13" x14ac:dyDescent="0.2">
      <c r="L13732" s="12"/>
      <c r="M13732" s="13"/>
    </row>
    <row r="13733" spans="12:13" x14ac:dyDescent="0.2">
      <c r="L13733" s="12"/>
      <c r="M13733" s="13"/>
    </row>
    <row r="13734" spans="12:13" x14ac:dyDescent="0.2">
      <c r="L13734" s="12"/>
      <c r="M13734" s="13"/>
    </row>
    <row r="13735" spans="12:13" x14ac:dyDescent="0.2">
      <c r="L13735" s="12"/>
      <c r="M13735" s="13"/>
    </row>
    <row r="13736" spans="12:13" x14ac:dyDescent="0.2">
      <c r="L13736" s="12"/>
      <c r="M13736" s="13"/>
    </row>
    <row r="13737" spans="12:13" x14ac:dyDescent="0.2">
      <c r="L13737" s="12"/>
      <c r="M13737" s="13"/>
    </row>
    <row r="13738" spans="12:13" x14ac:dyDescent="0.2">
      <c r="L13738" s="12"/>
      <c r="M13738" s="13"/>
    </row>
    <row r="13739" spans="12:13" x14ac:dyDescent="0.2">
      <c r="L13739" s="12"/>
      <c r="M13739" s="13"/>
    </row>
    <row r="13740" spans="12:13" x14ac:dyDescent="0.2">
      <c r="L13740" s="12"/>
      <c r="M13740" s="13"/>
    </row>
    <row r="13741" spans="12:13" x14ac:dyDescent="0.2">
      <c r="L13741" s="12"/>
      <c r="M13741" s="13"/>
    </row>
    <row r="13742" spans="12:13" x14ac:dyDescent="0.2">
      <c r="L13742" s="12"/>
      <c r="M13742" s="13"/>
    </row>
    <row r="13743" spans="12:13" x14ac:dyDescent="0.2">
      <c r="L13743" s="12"/>
      <c r="M13743" s="13"/>
    </row>
    <row r="13744" spans="12:13" x14ac:dyDescent="0.2">
      <c r="L13744" s="12"/>
      <c r="M13744" s="13"/>
    </row>
    <row r="13745" spans="12:13" x14ac:dyDescent="0.2">
      <c r="L13745" s="12"/>
      <c r="M13745" s="13"/>
    </row>
    <row r="13746" spans="12:13" x14ac:dyDescent="0.2">
      <c r="L13746" s="12"/>
      <c r="M13746" s="13"/>
    </row>
    <row r="13747" spans="12:13" x14ac:dyDescent="0.2">
      <c r="L13747" s="12"/>
      <c r="M13747" s="13"/>
    </row>
    <row r="13748" spans="12:13" x14ac:dyDescent="0.2">
      <c r="L13748" s="12"/>
      <c r="M13748" s="13"/>
    </row>
    <row r="13749" spans="12:13" x14ac:dyDescent="0.2">
      <c r="L13749" s="12"/>
      <c r="M13749" s="13"/>
    </row>
    <row r="13750" spans="12:13" x14ac:dyDescent="0.2">
      <c r="L13750" s="12"/>
      <c r="M13750" s="13"/>
    </row>
    <row r="13751" spans="12:13" x14ac:dyDescent="0.2">
      <c r="L13751" s="12"/>
      <c r="M13751" s="13"/>
    </row>
    <row r="13752" spans="12:13" x14ac:dyDescent="0.2">
      <c r="L13752" s="12"/>
      <c r="M13752" s="13"/>
    </row>
    <row r="13753" spans="12:13" x14ac:dyDescent="0.2">
      <c r="L13753" s="12"/>
      <c r="M13753" s="13"/>
    </row>
    <row r="13754" spans="12:13" x14ac:dyDescent="0.2">
      <c r="L13754" s="12"/>
      <c r="M13754" s="13"/>
    </row>
    <row r="13755" spans="12:13" x14ac:dyDescent="0.2">
      <c r="L13755" s="12"/>
      <c r="M13755" s="13"/>
    </row>
    <row r="13756" spans="12:13" x14ac:dyDescent="0.2">
      <c r="L13756" s="12"/>
      <c r="M13756" s="13"/>
    </row>
    <row r="13757" spans="12:13" x14ac:dyDescent="0.2">
      <c r="L13757" s="12"/>
      <c r="M13757" s="13"/>
    </row>
    <row r="13758" spans="12:13" x14ac:dyDescent="0.2">
      <c r="L13758" s="12"/>
      <c r="M13758" s="13"/>
    </row>
    <row r="13759" spans="12:13" x14ac:dyDescent="0.2">
      <c r="L13759" s="12"/>
      <c r="M13759" s="13"/>
    </row>
    <row r="13760" spans="12:13" x14ac:dyDescent="0.2">
      <c r="L13760" s="12"/>
      <c r="M13760" s="13"/>
    </row>
    <row r="13761" spans="12:13" x14ac:dyDescent="0.2">
      <c r="L13761" s="12"/>
      <c r="M13761" s="13"/>
    </row>
    <row r="13762" spans="12:13" x14ac:dyDescent="0.2">
      <c r="L13762" s="12"/>
      <c r="M13762" s="13"/>
    </row>
    <row r="13763" spans="12:13" x14ac:dyDescent="0.2">
      <c r="L13763" s="12"/>
      <c r="M13763" s="13"/>
    </row>
    <row r="13764" spans="12:13" x14ac:dyDescent="0.2">
      <c r="L13764" s="12"/>
      <c r="M13764" s="13"/>
    </row>
    <row r="13765" spans="12:13" x14ac:dyDescent="0.2">
      <c r="L13765" s="12"/>
      <c r="M13765" s="13"/>
    </row>
    <row r="13766" spans="12:13" x14ac:dyDescent="0.2">
      <c r="L13766" s="12"/>
      <c r="M13766" s="13"/>
    </row>
    <row r="13767" spans="12:13" x14ac:dyDescent="0.2">
      <c r="L13767" s="12"/>
      <c r="M13767" s="13"/>
    </row>
    <row r="13768" spans="12:13" x14ac:dyDescent="0.2">
      <c r="L13768" s="12"/>
      <c r="M13768" s="13"/>
    </row>
    <row r="13769" spans="12:13" x14ac:dyDescent="0.2">
      <c r="L13769" s="12"/>
      <c r="M13769" s="13"/>
    </row>
    <row r="13770" spans="12:13" x14ac:dyDescent="0.2">
      <c r="L13770" s="12"/>
      <c r="M13770" s="13"/>
    </row>
    <row r="13771" spans="12:13" x14ac:dyDescent="0.2">
      <c r="L13771" s="12"/>
      <c r="M13771" s="13"/>
    </row>
    <row r="13772" spans="12:13" x14ac:dyDescent="0.2">
      <c r="L13772" s="12"/>
      <c r="M13772" s="13"/>
    </row>
    <row r="13773" spans="12:13" x14ac:dyDescent="0.2">
      <c r="L13773" s="12"/>
      <c r="M13773" s="13"/>
    </row>
    <row r="13774" spans="12:13" x14ac:dyDescent="0.2">
      <c r="L13774" s="12"/>
      <c r="M13774" s="13"/>
    </row>
    <row r="13775" spans="12:13" x14ac:dyDescent="0.2">
      <c r="L13775" s="12"/>
      <c r="M13775" s="13"/>
    </row>
    <row r="13776" spans="12:13" x14ac:dyDescent="0.2">
      <c r="L13776" s="12"/>
      <c r="M13776" s="13"/>
    </row>
    <row r="13777" spans="12:13" x14ac:dyDescent="0.2">
      <c r="L13777" s="12"/>
      <c r="M13777" s="13"/>
    </row>
    <row r="13778" spans="12:13" x14ac:dyDescent="0.2">
      <c r="L13778" s="12"/>
      <c r="M13778" s="13"/>
    </row>
    <row r="13779" spans="12:13" x14ac:dyDescent="0.2">
      <c r="L13779" s="12"/>
      <c r="M13779" s="13"/>
    </row>
    <row r="13780" spans="12:13" x14ac:dyDescent="0.2">
      <c r="L13780" s="12"/>
      <c r="M13780" s="13"/>
    </row>
    <row r="13781" spans="12:13" x14ac:dyDescent="0.2">
      <c r="L13781" s="12"/>
      <c r="M13781" s="13"/>
    </row>
    <row r="13782" spans="12:13" x14ac:dyDescent="0.2">
      <c r="L13782" s="12"/>
      <c r="M13782" s="13"/>
    </row>
    <row r="13783" spans="12:13" x14ac:dyDescent="0.2">
      <c r="L13783" s="12"/>
      <c r="M13783" s="13"/>
    </row>
    <row r="13784" spans="12:13" x14ac:dyDescent="0.2">
      <c r="L13784" s="12"/>
      <c r="M13784" s="13"/>
    </row>
    <row r="13785" spans="12:13" x14ac:dyDescent="0.2">
      <c r="L13785" s="12"/>
      <c r="M13785" s="13"/>
    </row>
    <row r="13786" spans="12:13" x14ac:dyDescent="0.2">
      <c r="L13786" s="12"/>
      <c r="M13786" s="13"/>
    </row>
    <row r="13787" spans="12:13" x14ac:dyDescent="0.2">
      <c r="L13787" s="12"/>
      <c r="M13787" s="13"/>
    </row>
    <row r="13788" spans="12:13" x14ac:dyDescent="0.2">
      <c r="L13788" s="12"/>
      <c r="M13788" s="13"/>
    </row>
    <row r="13789" spans="12:13" x14ac:dyDescent="0.2">
      <c r="L13789" s="12"/>
      <c r="M13789" s="13"/>
    </row>
    <row r="13790" spans="12:13" x14ac:dyDescent="0.2">
      <c r="L13790" s="12"/>
      <c r="M13790" s="13"/>
    </row>
    <row r="13791" spans="12:13" x14ac:dyDescent="0.2">
      <c r="L13791" s="12"/>
      <c r="M13791" s="13"/>
    </row>
    <row r="13792" spans="12:13" x14ac:dyDescent="0.2">
      <c r="L13792" s="12"/>
      <c r="M13792" s="13"/>
    </row>
    <row r="13793" spans="12:13" x14ac:dyDescent="0.2">
      <c r="L13793" s="12"/>
      <c r="M13793" s="13"/>
    </row>
    <row r="13794" spans="12:13" x14ac:dyDescent="0.2">
      <c r="L13794" s="12"/>
      <c r="M13794" s="13"/>
    </row>
    <row r="13795" spans="12:13" x14ac:dyDescent="0.2">
      <c r="L13795" s="12"/>
      <c r="M13795" s="13"/>
    </row>
    <row r="13796" spans="12:13" x14ac:dyDescent="0.2">
      <c r="L13796" s="12"/>
      <c r="M13796" s="13"/>
    </row>
    <row r="13797" spans="12:13" x14ac:dyDescent="0.2">
      <c r="L13797" s="12"/>
      <c r="M13797" s="13"/>
    </row>
    <row r="13798" spans="12:13" x14ac:dyDescent="0.2">
      <c r="L13798" s="12"/>
      <c r="M13798" s="13"/>
    </row>
    <row r="13799" spans="12:13" x14ac:dyDescent="0.2">
      <c r="L13799" s="12"/>
      <c r="M13799" s="13"/>
    </row>
    <row r="13800" spans="12:13" x14ac:dyDescent="0.2">
      <c r="L13800" s="12"/>
      <c r="M13800" s="13"/>
    </row>
    <row r="13801" spans="12:13" x14ac:dyDescent="0.2">
      <c r="L13801" s="12"/>
      <c r="M13801" s="13"/>
    </row>
    <row r="13802" spans="12:13" x14ac:dyDescent="0.2">
      <c r="L13802" s="12"/>
      <c r="M13802" s="13"/>
    </row>
    <row r="13803" spans="12:13" x14ac:dyDescent="0.2">
      <c r="L13803" s="12"/>
      <c r="M13803" s="13"/>
    </row>
    <row r="13804" spans="12:13" x14ac:dyDescent="0.2">
      <c r="L13804" s="12"/>
      <c r="M13804" s="13"/>
    </row>
    <row r="13805" spans="12:13" x14ac:dyDescent="0.2">
      <c r="L13805" s="12"/>
      <c r="M13805" s="13"/>
    </row>
    <row r="13806" spans="12:13" x14ac:dyDescent="0.2">
      <c r="L13806" s="12"/>
      <c r="M13806" s="13"/>
    </row>
    <row r="13807" spans="12:13" x14ac:dyDescent="0.2">
      <c r="L13807" s="12"/>
      <c r="M13807" s="13"/>
    </row>
    <row r="13808" spans="12:13" x14ac:dyDescent="0.2">
      <c r="L13808" s="12"/>
      <c r="M13808" s="13"/>
    </row>
    <row r="13809" spans="12:13" x14ac:dyDescent="0.2">
      <c r="L13809" s="12"/>
      <c r="M13809" s="13"/>
    </row>
    <row r="13810" spans="12:13" x14ac:dyDescent="0.2">
      <c r="L13810" s="12"/>
      <c r="M13810" s="13"/>
    </row>
    <row r="13811" spans="12:13" x14ac:dyDescent="0.2">
      <c r="L13811" s="12"/>
      <c r="M13811" s="13"/>
    </row>
    <row r="13812" spans="12:13" x14ac:dyDescent="0.2">
      <c r="L13812" s="12"/>
      <c r="M13812" s="13"/>
    </row>
    <row r="13813" spans="12:13" x14ac:dyDescent="0.2">
      <c r="L13813" s="12"/>
      <c r="M13813" s="13"/>
    </row>
    <row r="13814" spans="12:13" x14ac:dyDescent="0.2">
      <c r="L13814" s="12"/>
      <c r="M13814" s="13"/>
    </row>
    <row r="13815" spans="12:13" x14ac:dyDescent="0.2">
      <c r="L13815" s="12"/>
      <c r="M13815" s="13"/>
    </row>
    <row r="13816" spans="12:13" x14ac:dyDescent="0.2">
      <c r="L13816" s="12"/>
      <c r="M13816" s="13"/>
    </row>
    <row r="13817" spans="12:13" x14ac:dyDescent="0.2">
      <c r="L13817" s="12"/>
      <c r="M13817" s="13"/>
    </row>
    <row r="13818" spans="12:13" x14ac:dyDescent="0.2">
      <c r="L13818" s="12"/>
      <c r="M13818" s="13"/>
    </row>
    <row r="13819" spans="12:13" x14ac:dyDescent="0.2">
      <c r="L13819" s="12"/>
      <c r="M13819" s="13"/>
    </row>
    <row r="13820" spans="12:13" x14ac:dyDescent="0.2">
      <c r="L13820" s="12"/>
      <c r="M13820" s="13"/>
    </row>
    <row r="13821" spans="12:13" x14ac:dyDescent="0.2">
      <c r="L13821" s="12"/>
      <c r="M13821" s="13"/>
    </row>
    <row r="13822" spans="12:13" x14ac:dyDescent="0.2">
      <c r="L13822" s="12"/>
      <c r="M13822" s="13"/>
    </row>
    <row r="13823" spans="12:13" x14ac:dyDescent="0.2">
      <c r="L13823" s="12"/>
      <c r="M13823" s="13"/>
    </row>
    <row r="13824" spans="12:13" x14ac:dyDescent="0.2">
      <c r="L13824" s="12"/>
      <c r="M13824" s="13"/>
    </row>
    <row r="13825" spans="12:13" x14ac:dyDescent="0.2">
      <c r="L13825" s="12"/>
      <c r="M13825" s="13"/>
    </row>
    <row r="13826" spans="12:13" x14ac:dyDescent="0.2">
      <c r="L13826" s="17"/>
      <c r="M13826" s="18"/>
    </row>
    <row r="13827" spans="12:13" x14ac:dyDescent="0.2">
      <c r="L13827" s="12"/>
      <c r="M13827" s="13"/>
    </row>
    <row r="13828" spans="12:13" x14ac:dyDescent="0.2">
      <c r="L13828" s="12"/>
      <c r="M13828" s="13"/>
    </row>
    <row r="13829" spans="12:13" x14ac:dyDescent="0.2">
      <c r="L13829" s="12"/>
      <c r="M13829" s="13"/>
    </row>
    <row r="13830" spans="12:13" x14ac:dyDescent="0.2">
      <c r="L13830" s="12"/>
      <c r="M13830" s="13"/>
    </row>
    <row r="13831" spans="12:13" x14ac:dyDescent="0.2">
      <c r="L13831" s="12"/>
      <c r="M13831" s="13"/>
    </row>
    <row r="13832" spans="12:13" x14ac:dyDescent="0.2">
      <c r="L13832" s="12"/>
      <c r="M13832" s="13"/>
    </row>
    <row r="13833" spans="12:13" x14ac:dyDescent="0.2">
      <c r="L13833" s="12"/>
      <c r="M13833" s="13"/>
    </row>
    <row r="13834" spans="12:13" x14ac:dyDescent="0.2">
      <c r="L13834" s="12"/>
      <c r="M13834" s="13"/>
    </row>
    <row r="13835" spans="12:13" x14ac:dyDescent="0.2">
      <c r="L13835" s="12"/>
      <c r="M13835" s="13"/>
    </row>
    <row r="13836" spans="12:13" x14ac:dyDescent="0.2">
      <c r="L13836" s="12"/>
      <c r="M13836" s="13"/>
    </row>
    <row r="13837" spans="12:13" x14ac:dyDescent="0.2">
      <c r="L13837" s="12"/>
      <c r="M13837" s="13"/>
    </row>
    <row r="13838" spans="12:13" x14ac:dyDescent="0.2">
      <c r="L13838" s="12"/>
      <c r="M13838" s="13"/>
    </row>
    <row r="13839" spans="12:13" x14ac:dyDescent="0.2">
      <c r="L13839" s="12"/>
      <c r="M13839" s="13"/>
    </row>
    <row r="13840" spans="12:13" x14ac:dyDescent="0.2">
      <c r="L13840" s="12"/>
      <c r="M13840" s="13"/>
    </row>
    <row r="13841" spans="12:13" x14ac:dyDescent="0.2">
      <c r="L13841" s="12"/>
      <c r="M13841" s="13"/>
    </row>
    <row r="13842" spans="12:13" x14ac:dyDescent="0.2">
      <c r="L13842" s="12"/>
      <c r="M13842" s="13"/>
    </row>
    <row r="13843" spans="12:13" x14ac:dyDescent="0.2">
      <c r="L13843" s="12"/>
      <c r="M13843" s="13"/>
    </row>
    <row r="13844" spans="12:13" x14ac:dyDescent="0.2">
      <c r="L13844" s="12"/>
      <c r="M13844" s="13"/>
    </row>
    <row r="13845" spans="12:13" x14ac:dyDescent="0.2">
      <c r="L13845" s="12"/>
      <c r="M13845" s="13"/>
    </row>
    <row r="13846" spans="12:13" x14ac:dyDescent="0.2">
      <c r="L13846" s="12"/>
      <c r="M13846" s="13"/>
    </row>
    <row r="13847" spans="12:13" x14ac:dyDescent="0.2">
      <c r="L13847" s="12"/>
      <c r="M13847" s="13"/>
    </row>
    <row r="13848" spans="12:13" x14ac:dyDescent="0.2">
      <c r="L13848" s="12"/>
      <c r="M13848" s="13"/>
    </row>
    <row r="13849" spans="12:13" x14ac:dyDescent="0.2">
      <c r="L13849" s="12"/>
      <c r="M13849" s="13"/>
    </row>
    <row r="13850" spans="12:13" x14ac:dyDescent="0.2">
      <c r="L13850" s="12"/>
      <c r="M13850" s="13"/>
    </row>
    <row r="13851" spans="12:13" x14ac:dyDescent="0.2">
      <c r="L13851" s="12"/>
      <c r="M13851" s="13"/>
    </row>
    <row r="13852" spans="12:13" x14ac:dyDescent="0.2">
      <c r="L13852" s="12"/>
      <c r="M13852" s="13"/>
    </row>
    <row r="13853" spans="12:13" x14ac:dyDescent="0.2">
      <c r="L13853" s="12"/>
      <c r="M13853" s="13"/>
    </row>
    <row r="13854" spans="12:13" x14ac:dyDescent="0.2">
      <c r="L13854" s="12"/>
      <c r="M13854" s="13"/>
    </row>
    <row r="13855" spans="12:13" x14ac:dyDescent="0.2">
      <c r="L13855" s="12"/>
      <c r="M13855" s="13"/>
    </row>
    <row r="13856" spans="12:13" x14ac:dyDescent="0.2">
      <c r="L13856" s="12"/>
      <c r="M13856" s="13"/>
    </row>
    <row r="13857" spans="12:13" x14ac:dyDescent="0.2">
      <c r="L13857" s="12"/>
      <c r="M13857" s="13"/>
    </row>
    <row r="13858" spans="12:13" x14ac:dyDescent="0.2">
      <c r="L13858" s="12"/>
      <c r="M13858" s="13"/>
    </row>
    <row r="13859" spans="12:13" x14ac:dyDescent="0.2">
      <c r="L13859" s="12"/>
      <c r="M13859" s="13"/>
    </row>
    <row r="13860" spans="12:13" x14ac:dyDescent="0.2">
      <c r="L13860" s="12"/>
      <c r="M13860" s="13"/>
    </row>
    <row r="13861" spans="12:13" x14ac:dyDescent="0.2">
      <c r="L13861" s="12"/>
      <c r="M13861" s="13"/>
    </row>
    <row r="13862" spans="12:13" x14ac:dyDescent="0.2">
      <c r="L13862" s="12"/>
      <c r="M13862" s="13"/>
    </row>
    <row r="13863" spans="12:13" x14ac:dyDescent="0.2">
      <c r="L13863" s="12"/>
      <c r="M13863" s="13"/>
    </row>
    <row r="13864" spans="12:13" x14ac:dyDescent="0.2">
      <c r="L13864" s="12"/>
      <c r="M13864" s="13"/>
    </row>
    <row r="13865" spans="12:13" x14ac:dyDescent="0.2">
      <c r="L13865" s="12"/>
      <c r="M13865" s="13"/>
    </row>
    <row r="13866" spans="12:13" x14ac:dyDescent="0.2">
      <c r="L13866" s="12"/>
      <c r="M13866" s="13"/>
    </row>
    <row r="13867" spans="12:13" x14ac:dyDescent="0.2">
      <c r="L13867" s="12"/>
      <c r="M13867" s="13"/>
    </row>
    <row r="13868" spans="12:13" x14ac:dyDescent="0.2">
      <c r="L13868" s="12"/>
      <c r="M13868" s="13"/>
    </row>
    <row r="13869" spans="12:13" x14ac:dyDescent="0.2">
      <c r="L13869" s="12"/>
      <c r="M13869" s="13"/>
    </row>
    <row r="13870" spans="12:13" x14ac:dyDescent="0.2">
      <c r="L13870" s="12"/>
      <c r="M13870" s="13"/>
    </row>
    <row r="13871" spans="12:13" x14ac:dyDescent="0.2">
      <c r="L13871" s="12"/>
      <c r="M13871" s="13"/>
    </row>
    <row r="13872" spans="12:13" x14ac:dyDescent="0.2">
      <c r="L13872" s="12"/>
      <c r="M13872" s="13"/>
    </row>
    <row r="13873" spans="12:13" x14ac:dyDescent="0.2">
      <c r="L13873" s="12"/>
      <c r="M13873" s="13"/>
    </row>
    <row r="13874" spans="12:13" x14ac:dyDescent="0.2">
      <c r="L13874" s="12"/>
      <c r="M13874" s="13"/>
    </row>
    <row r="13875" spans="12:13" x14ac:dyDescent="0.2">
      <c r="L13875" s="12"/>
      <c r="M13875" s="13"/>
    </row>
    <row r="13876" spans="12:13" x14ac:dyDescent="0.2">
      <c r="L13876" s="12"/>
      <c r="M13876" s="13"/>
    </row>
    <row r="13877" spans="12:13" x14ac:dyDescent="0.2">
      <c r="L13877" s="12"/>
      <c r="M13877" s="13"/>
    </row>
    <row r="13878" spans="12:13" x14ac:dyDescent="0.2">
      <c r="L13878" s="12"/>
      <c r="M13878" s="13"/>
    </row>
    <row r="13879" spans="12:13" x14ac:dyDescent="0.2">
      <c r="L13879" s="12"/>
      <c r="M13879" s="13"/>
    </row>
    <row r="13880" spans="12:13" x14ac:dyDescent="0.2">
      <c r="L13880" s="12"/>
      <c r="M13880" s="13"/>
    </row>
    <row r="13881" spans="12:13" x14ac:dyDescent="0.2">
      <c r="L13881" s="12"/>
      <c r="M13881" s="13"/>
    </row>
    <row r="13882" spans="12:13" x14ac:dyDescent="0.2">
      <c r="L13882" s="12"/>
      <c r="M13882" s="13"/>
    </row>
    <row r="13883" spans="12:13" x14ac:dyDescent="0.2">
      <c r="L13883" s="12"/>
      <c r="M13883" s="13"/>
    </row>
    <row r="13884" spans="12:13" x14ac:dyDescent="0.2">
      <c r="L13884" s="12"/>
      <c r="M13884" s="13"/>
    </row>
    <row r="13885" spans="12:13" x14ac:dyDescent="0.2">
      <c r="L13885" s="12"/>
      <c r="M13885" s="13"/>
    </row>
    <row r="13886" spans="12:13" x14ac:dyDescent="0.2">
      <c r="L13886" s="12"/>
      <c r="M13886" s="13"/>
    </row>
    <row r="13887" spans="12:13" x14ac:dyDescent="0.2">
      <c r="L13887" s="12"/>
      <c r="M13887" s="13"/>
    </row>
    <row r="13888" spans="12:13" x14ac:dyDescent="0.2">
      <c r="L13888" s="12"/>
      <c r="M13888" s="13"/>
    </row>
    <row r="13889" spans="12:13" x14ac:dyDescent="0.2">
      <c r="L13889" s="12"/>
      <c r="M13889" s="13"/>
    </row>
    <row r="13890" spans="12:13" x14ac:dyDescent="0.2">
      <c r="L13890" s="12"/>
      <c r="M13890" s="13"/>
    </row>
    <row r="13891" spans="12:13" x14ac:dyDescent="0.2">
      <c r="L13891" s="12"/>
      <c r="M13891" s="13"/>
    </row>
    <row r="13892" spans="12:13" x14ac:dyDescent="0.2">
      <c r="L13892" s="12"/>
      <c r="M13892" s="13"/>
    </row>
    <row r="13893" spans="12:13" x14ac:dyDescent="0.2">
      <c r="L13893" s="12"/>
      <c r="M13893" s="13"/>
    </row>
    <row r="13894" spans="12:13" x14ac:dyDescent="0.2">
      <c r="L13894" s="12"/>
      <c r="M13894" s="13"/>
    </row>
    <row r="13895" spans="12:13" x14ac:dyDescent="0.2">
      <c r="L13895" s="12"/>
      <c r="M13895" s="13"/>
    </row>
    <row r="13896" spans="12:13" x14ac:dyDescent="0.2">
      <c r="L13896" s="12"/>
      <c r="M13896" s="13"/>
    </row>
    <row r="13897" spans="12:13" x14ac:dyDescent="0.2">
      <c r="L13897" s="12"/>
      <c r="M13897" s="13"/>
    </row>
    <row r="13898" spans="12:13" x14ac:dyDescent="0.2">
      <c r="L13898" s="12"/>
      <c r="M13898" s="13"/>
    </row>
    <row r="13899" spans="12:13" x14ac:dyDescent="0.2">
      <c r="L13899" s="12"/>
      <c r="M13899" s="13"/>
    </row>
    <row r="13900" spans="12:13" x14ac:dyDescent="0.2">
      <c r="L13900" s="12"/>
      <c r="M13900" s="13"/>
    </row>
    <row r="13901" spans="12:13" x14ac:dyDescent="0.2">
      <c r="L13901" s="12"/>
      <c r="M13901" s="13"/>
    </row>
    <row r="13902" spans="12:13" x14ac:dyDescent="0.2">
      <c r="L13902" s="12"/>
      <c r="M13902" s="13"/>
    </row>
    <row r="13903" spans="12:13" x14ac:dyDescent="0.2">
      <c r="L13903" s="12"/>
      <c r="M13903" s="13"/>
    </row>
    <row r="13904" spans="12:13" x14ac:dyDescent="0.2">
      <c r="L13904" s="12"/>
      <c r="M13904" s="13"/>
    </row>
    <row r="13905" spans="12:13" x14ac:dyDescent="0.2">
      <c r="L13905" s="12"/>
      <c r="M13905" s="13"/>
    </row>
    <row r="13906" spans="12:13" x14ac:dyDescent="0.2">
      <c r="L13906" s="12"/>
      <c r="M13906" s="13"/>
    </row>
    <row r="13907" spans="12:13" x14ac:dyDescent="0.2">
      <c r="L13907" s="12"/>
      <c r="M13907" s="13"/>
    </row>
    <row r="13908" spans="12:13" x14ac:dyDescent="0.2">
      <c r="L13908" s="12"/>
      <c r="M13908" s="13"/>
    </row>
    <row r="13909" spans="12:13" x14ac:dyDescent="0.2">
      <c r="L13909" s="12"/>
      <c r="M13909" s="13"/>
    </row>
    <row r="13910" spans="12:13" x14ac:dyDescent="0.2">
      <c r="L13910" s="12"/>
      <c r="M13910" s="13"/>
    </row>
    <row r="13911" spans="12:13" x14ac:dyDescent="0.2">
      <c r="L13911" s="12"/>
      <c r="M13911" s="13"/>
    </row>
    <row r="13912" spans="12:13" x14ac:dyDescent="0.2">
      <c r="L13912" s="12"/>
      <c r="M13912" s="13"/>
    </row>
    <row r="13913" spans="12:13" x14ac:dyDescent="0.2">
      <c r="L13913" s="12"/>
      <c r="M13913" s="13"/>
    </row>
    <row r="13914" spans="12:13" x14ac:dyDescent="0.2">
      <c r="L13914" s="12"/>
      <c r="M13914" s="13"/>
    </row>
    <row r="13915" spans="12:13" x14ac:dyDescent="0.2">
      <c r="L13915" s="12"/>
      <c r="M13915" s="13"/>
    </row>
    <row r="13916" spans="12:13" x14ac:dyDescent="0.2">
      <c r="L13916" s="12"/>
      <c r="M13916" s="13"/>
    </row>
    <row r="13917" spans="12:13" x14ac:dyDescent="0.2">
      <c r="L13917" s="12"/>
      <c r="M13917" s="13"/>
    </row>
    <row r="13918" spans="12:13" x14ac:dyDescent="0.2">
      <c r="L13918" s="12"/>
      <c r="M13918" s="13"/>
    </row>
    <row r="13919" spans="12:13" x14ac:dyDescent="0.2">
      <c r="L13919" s="12"/>
      <c r="M13919" s="13"/>
    </row>
    <row r="13920" spans="12:13" x14ac:dyDescent="0.2">
      <c r="L13920" s="12"/>
      <c r="M13920" s="13"/>
    </row>
    <row r="13921" spans="12:13" x14ac:dyDescent="0.2">
      <c r="L13921" s="12"/>
      <c r="M13921" s="13"/>
    </row>
    <row r="13922" spans="12:13" x14ac:dyDescent="0.2">
      <c r="L13922" s="12"/>
      <c r="M13922" s="13"/>
    </row>
    <row r="13923" spans="12:13" x14ac:dyDescent="0.2">
      <c r="L13923" s="12"/>
      <c r="M13923" s="13"/>
    </row>
    <row r="13924" spans="12:13" x14ac:dyDescent="0.2">
      <c r="L13924" s="12"/>
      <c r="M13924" s="13"/>
    </row>
    <row r="13925" spans="12:13" x14ac:dyDescent="0.2">
      <c r="L13925" s="12"/>
      <c r="M13925" s="13"/>
    </row>
    <row r="13926" spans="12:13" x14ac:dyDescent="0.2">
      <c r="L13926" s="12"/>
      <c r="M13926" s="13"/>
    </row>
    <row r="13927" spans="12:13" x14ac:dyDescent="0.2">
      <c r="L13927" s="12"/>
      <c r="M13927" s="13"/>
    </row>
    <row r="13928" spans="12:13" x14ac:dyDescent="0.2">
      <c r="L13928" s="12"/>
      <c r="M13928" s="13"/>
    </row>
    <row r="13929" spans="12:13" x14ac:dyDescent="0.2">
      <c r="L13929" s="12"/>
      <c r="M13929" s="13"/>
    </row>
    <row r="13930" spans="12:13" x14ac:dyDescent="0.2">
      <c r="L13930" s="12"/>
      <c r="M13930" s="13"/>
    </row>
    <row r="13931" spans="12:13" x14ac:dyDescent="0.2">
      <c r="L13931" s="12"/>
      <c r="M13931" s="13"/>
    </row>
    <row r="13932" spans="12:13" x14ac:dyDescent="0.2">
      <c r="L13932" s="12"/>
      <c r="M13932" s="13"/>
    </row>
    <row r="13933" spans="12:13" x14ac:dyDescent="0.2">
      <c r="L13933" s="12"/>
      <c r="M13933" s="13"/>
    </row>
    <row r="13934" spans="12:13" x14ac:dyDescent="0.2">
      <c r="L13934" s="12"/>
      <c r="M13934" s="13"/>
    </row>
    <row r="13935" spans="12:13" x14ac:dyDescent="0.2">
      <c r="L13935" s="12"/>
      <c r="M13935" s="13"/>
    </row>
    <row r="13936" spans="12:13" x14ac:dyDescent="0.2">
      <c r="L13936" s="12"/>
      <c r="M13936" s="13"/>
    </row>
    <row r="13937" spans="12:13" x14ac:dyDescent="0.2">
      <c r="L13937" s="12"/>
      <c r="M13937" s="13"/>
    </row>
    <row r="13938" spans="12:13" x14ac:dyDescent="0.2">
      <c r="L13938" s="12"/>
      <c r="M13938" s="13"/>
    </row>
    <row r="13939" spans="12:13" x14ac:dyDescent="0.2">
      <c r="L13939" s="12"/>
      <c r="M13939" s="13"/>
    </row>
    <row r="13940" spans="12:13" x14ac:dyDescent="0.2">
      <c r="L13940" s="12"/>
      <c r="M13940" s="13"/>
    </row>
    <row r="13941" spans="12:13" x14ac:dyDescent="0.2">
      <c r="L13941" s="12"/>
      <c r="M13941" s="13"/>
    </row>
    <row r="13942" spans="12:13" x14ac:dyDescent="0.2">
      <c r="L13942" s="12"/>
      <c r="M13942" s="13"/>
    </row>
    <row r="13943" spans="12:13" x14ac:dyDescent="0.2">
      <c r="L13943" s="12"/>
      <c r="M13943" s="13"/>
    </row>
    <row r="13944" spans="12:13" x14ac:dyDescent="0.2">
      <c r="L13944" s="12"/>
      <c r="M13944" s="13"/>
    </row>
    <row r="13945" spans="12:13" x14ac:dyDescent="0.2">
      <c r="L13945" s="12"/>
      <c r="M13945" s="13"/>
    </row>
    <row r="13946" spans="12:13" x14ac:dyDescent="0.2">
      <c r="L13946" s="12"/>
      <c r="M13946" s="13"/>
    </row>
    <row r="13947" spans="12:13" x14ac:dyDescent="0.2">
      <c r="L13947" s="12"/>
      <c r="M13947" s="13"/>
    </row>
    <row r="13948" spans="12:13" x14ac:dyDescent="0.2">
      <c r="L13948" s="12"/>
      <c r="M13948" s="13"/>
    </row>
    <row r="13949" spans="12:13" x14ac:dyDescent="0.2">
      <c r="L13949" s="12"/>
      <c r="M13949" s="13"/>
    </row>
    <row r="13950" spans="12:13" x14ac:dyDescent="0.2">
      <c r="L13950" s="12"/>
      <c r="M13950" s="13"/>
    </row>
    <row r="13951" spans="12:13" x14ac:dyDescent="0.2">
      <c r="L13951" s="12"/>
      <c r="M13951" s="13"/>
    </row>
    <row r="13952" spans="12:13" x14ac:dyDescent="0.2">
      <c r="L13952" s="12"/>
      <c r="M13952" s="13"/>
    </row>
    <row r="13953" spans="12:13" x14ac:dyDescent="0.2">
      <c r="L13953" s="12"/>
      <c r="M13953" s="13"/>
    </row>
    <row r="13954" spans="12:13" x14ac:dyDescent="0.2">
      <c r="L13954" s="12"/>
      <c r="M13954" s="13"/>
    </row>
    <row r="13955" spans="12:13" x14ac:dyDescent="0.2">
      <c r="L13955" s="12"/>
      <c r="M13955" s="13"/>
    </row>
    <row r="13956" spans="12:13" x14ac:dyDescent="0.2">
      <c r="L13956" s="12"/>
      <c r="M13956" s="13"/>
    </row>
    <row r="13957" spans="12:13" x14ac:dyDescent="0.2">
      <c r="L13957" s="12"/>
      <c r="M13957" s="13"/>
    </row>
    <row r="13958" spans="12:13" x14ac:dyDescent="0.2">
      <c r="L13958" s="12"/>
      <c r="M13958" s="13"/>
    </row>
    <row r="13959" spans="12:13" x14ac:dyDescent="0.2">
      <c r="L13959" s="12"/>
      <c r="M13959" s="13"/>
    </row>
    <row r="13960" spans="12:13" x14ac:dyDescent="0.2">
      <c r="L13960" s="12"/>
      <c r="M13960" s="13"/>
    </row>
    <row r="13961" spans="12:13" x14ac:dyDescent="0.2">
      <c r="L13961" s="12"/>
      <c r="M13961" s="13"/>
    </row>
    <row r="13962" spans="12:13" x14ac:dyDescent="0.2">
      <c r="L13962" s="12"/>
      <c r="M13962" s="13"/>
    </row>
    <row r="13963" spans="12:13" x14ac:dyDescent="0.2">
      <c r="L13963" s="12"/>
      <c r="M13963" s="13"/>
    </row>
    <row r="13964" spans="12:13" x14ac:dyDescent="0.2">
      <c r="L13964" s="12"/>
      <c r="M13964" s="13"/>
    </row>
    <row r="13965" spans="12:13" x14ac:dyDescent="0.2">
      <c r="L13965" s="12"/>
      <c r="M13965" s="13"/>
    </row>
    <row r="13966" spans="12:13" x14ac:dyDescent="0.2">
      <c r="L13966" s="12"/>
      <c r="M13966" s="13"/>
    </row>
    <row r="13967" spans="12:13" x14ac:dyDescent="0.2">
      <c r="L13967" s="12"/>
      <c r="M13967" s="13"/>
    </row>
    <row r="13968" spans="12:13" x14ac:dyDescent="0.2">
      <c r="L13968" s="12"/>
      <c r="M13968" s="13"/>
    </row>
    <row r="13969" spans="12:13" x14ac:dyDescent="0.2">
      <c r="L13969" s="12"/>
      <c r="M13969" s="13"/>
    </row>
    <row r="13970" spans="12:13" x14ac:dyDescent="0.2">
      <c r="L13970" s="12"/>
      <c r="M13970" s="13"/>
    </row>
    <row r="13971" spans="12:13" x14ac:dyDescent="0.2">
      <c r="L13971" s="12"/>
      <c r="M13971" s="13"/>
    </row>
    <row r="13972" spans="12:13" x14ac:dyDescent="0.2">
      <c r="L13972" s="12"/>
      <c r="M13972" s="13"/>
    </row>
    <row r="13973" spans="12:13" x14ac:dyDescent="0.2">
      <c r="L13973" s="12"/>
      <c r="M13973" s="13"/>
    </row>
    <row r="13974" spans="12:13" x14ac:dyDescent="0.2">
      <c r="L13974" s="12"/>
      <c r="M13974" s="13"/>
    </row>
    <row r="13975" spans="12:13" x14ac:dyDescent="0.2">
      <c r="L13975" s="12"/>
      <c r="M13975" s="13"/>
    </row>
    <row r="13976" spans="12:13" x14ac:dyDescent="0.2">
      <c r="L13976" s="12"/>
      <c r="M13976" s="13"/>
    </row>
    <row r="13977" spans="12:13" x14ac:dyDescent="0.2">
      <c r="L13977" s="12"/>
      <c r="M13977" s="13"/>
    </row>
    <row r="13978" spans="12:13" x14ac:dyDescent="0.2">
      <c r="L13978" s="12"/>
      <c r="M13978" s="13"/>
    </row>
    <row r="13979" spans="12:13" x14ac:dyDescent="0.2">
      <c r="L13979" s="12"/>
      <c r="M13979" s="13"/>
    </row>
    <row r="13980" spans="12:13" x14ac:dyDescent="0.2">
      <c r="L13980" s="12"/>
      <c r="M13980" s="13"/>
    </row>
    <row r="13981" spans="12:13" x14ac:dyDescent="0.2">
      <c r="L13981" s="12"/>
      <c r="M13981" s="13"/>
    </row>
    <row r="13982" spans="12:13" x14ac:dyDescent="0.2">
      <c r="L13982" s="12"/>
      <c r="M13982" s="13"/>
    </row>
    <row r="13983" spans="12:13" x14ac:dyDescent="0.2">
      <c r="L13983" s="12"/>
      <c r="M13983" s="13"/>
    </row>
    <row r="13984" spans="12:13" x14ac:dyDescent="0.2">
      <c r="L13984" s="12"/>
      <c r="M13984" s="13"/>
    </row>
    <row r="13985" spans="12:13" x14ac:dyDescent="0.2">
      <c r="L13985" s="12"/>
      <c r="M13985" s="13"/>
    </row>
    <row r="13986" spans="12:13" x14ac:dyDescent="0.2">
      <c r="L13986" s="12"/>
      <c r="M13986" s="13"/>
    </row>
    <row r="13987" spans="12:13" x14ac:dyDescent="0.2">
      <c r="L13987" s="12"/>
      <c r="M13987" s="13"/>
    </row>
    <row r="13988" spans="12:13" x14ac:dyDescent="0.2">
      <c r="L13988" s="12"/>
      <c r="M13988" s="13"/>
    </row>
    <row r="13989" spans="12:13" x14ac:dyDescent="0.2">
      <c r="L13989" s="12"/>
      <c r="M13989" s="13"/>
    </row>
    <row r="13990" spans="12:13" x14ac:dyDescent="0.2">
      <c r="L13990" s="12"/>
      <c r="M13990" s="13"/>
    </row>
    <row r="13991" spans="12:13" x14ac:dyDescent="0.2">
      <c r="L13991" s="12"/>
      <c r="M13991" s="13"/>
    </row>
    <row r="13992" spans="12:13" x14ac:dyDescent="0.2">
      <c r="L13992" s="12"/>
      <c r="M13992" s="13"/>
    </row>
    <row r="13993" spans="12:13" x14ac:dyDescent="0.2">
      <c r="L13993" s="12"/>
      <c r="M13993" s="13"/>
    </row>
    <row r="13994" spans="12:13" x14ac:dyDescent="0.2">
      <c r="L13994" s="12"/>
      <c r="M13994" s="13"/>
    </row>
    <row r="13995" spans="12:13" x14ac:dyDescent="0.2">
      <c r="L13995" s="12"/>
      <c r="M13995" s="13"/>
    </row>
    <row r="13996" spans="12:13" x14ac:dyDescent="0.2">
      <c r="L13996" s="12"/>
      <c r="M13996" s="13"/>
    </row>
    <row r="13997" spans="12:13" x14ac:dyDescent="0.2">
      <c r="L13997" s="12"/>
      <c r="M13997" s="13"/>
    </row>
    <row r="13998" spans="12:13" x14ac:dyDescent="0.2">
      <c r="L13998" s="12"/>
      <c r="M13998" s="13"/>
    </row>
    <row r="13999" spans="12:13" x14ac:dyDescent="0.2">
      <c r="L13999" s="12"/>
      <c r="M13999" s="13"/>
    </row>
    <row r="14000" spans="12:13" x14ac:dyDescent="0.2">
      <c r="L14000" s="12"/>
      <c r="M14000" s="13"/>
    </row>
    <row r="14001" spans="12:13" x14ac:dyDescent="0.2">
      <c r="L14001" s="12"/>
      <c r="M14001" s="13"/>
    </row>
    <row r="14002" spans="12:13" x14ac:dyDescent="0.2">
      <c r="L14002" s="12"/>
      <c r="M14002" s="13"/>
    </row>
    <row r="14003" spans="12:13" x14ac:dyDescent="0.2">
      <c r="L14003" s="12"/>
      <c r="M14003" s="13"/>
    </row>
    <row r="14004" spans="12:13" x14ac:dyDescent="0.2">
      <c r="L14004" s="12"/>
      <c r="M14004" s="13"/>
    </row>
    <row r="14005" spans="12:13" x14ac:dyDescent="0.2">
      <c r="L14005" s="12"/>
      <c r="M14005" s="13"/>
    </row>
    <row r="14006" spans="12:13" x14ac:dyDescent="0.2">
      <c r="L14006" s="12"/>
      <c r="M14006" s="13"/>
    </row>
    <row r="14007" spans="12:13" x14ac:dyDescent="0.2">
      <c r="L14007" s="12"/>
      <c r="M14007" s="13"/>
    </row>
    <row r="14008" spans="12:13" x14ac:dyDescent="0.2">
      <c r="L14008" s="12"/>
      <c r="M14008" s="13"/>
    </row>
    <row r="14009" spans="12:13" x14ac:dyDescent="0.2">
      <c r="L14009" s="12"/>
      <c r="M14009" s="13"/>
    </row>
    <row r="14010" spans="12:13" x14ac:dyDescent="0.2">
      <c r="L14010" s="12"/>
      <c r="M14010" s="13"/>
    </row>
    <row r="14011" spans="12:13" x14ac:dyDescent="0.2">
      <c r="L14011" s="12"/>
      <c r="M14011" s="13"/>
    </row>
    <row r="14012" spans="12:13" x14ac:dyDescent="0.2">
      <c r="L14012" s="12"/>
      <c r="M14012" s="13"/>
    </row>
    <row r="14013" spans="12:13" x14ac:dyDescent="0.2">
      <c r="L14013" s="12"/>
      <c r="M14013" s="13"/>
    </row>
    <row r="14014" spans="12:13" x14ac:dyDescent="0.2">
      <c r="L14014" s="12"/>
      <c r="M14014" s="13"/>
    </row>
    <row r="14015" spans="12:13" x14ac:dyDescent="0.2">
      <c r="L14015" s="12"/>
      <c r="M14015" s="13"/>
    </row>
    <row r="14016" spans="12:13" x14ac:dyDescent="0.2">
      <c r="L14016" s="12"/>
      <c r="M14016" s="13"/>
    </row>
    <row r="14017" spans="12:13" x14ac:dyDescent="0.2">
      <c r="L14017" s="12"/>
      <c r="M14017" s="13"/>
    </row>
    <row r="14018" spans="12:13" x14ac:dyDescent="0.2">
      <c r="L14018" s="12"/>
      <c r="M14018" s="13"/>
    </row>
    <row r="14019" spans="12:13" x14ac:dyDescent="0.2">
      <c r="L14019" s="12"/>
      <c r="M14019" s="13"/>
    </row>
    <row r="14020" spans="12:13" x14ac:dyDescent="0.2">
      <c r="L14020" s="12"/>
      <c r="M14020" s="13"/>
    </row>
    <row r="14021" spans="12:13" x14ac:dyDescent="0.2">
      <c r="L14021" s="12"/>
      <c r="M14021" s="13"/>
    </row>
    <row r="14022" spans="12:13" x14ac:dyDescent="0.2">
      <c r="L14022" s="12"/>
      <c r="M14022" s="13"/>
    </row>
    <row r="14023" spans="12:13" x14ac:dyDescent="0.2">
      <c r="L14023" s="12"/>
      <c r="M14023" s="13"/>
    </row>
    <row r="14024" spans="12:13" x14ac:dyDescent="0.2">
      <c r="L14024" s="12"/>
      <c r="M14024" s="13"/>
    </row>
    <row r="14025" spans="12:13" x14ac:dyDescent="0.2">
      <c r="L14025" s="12"/>
      <c r="M14025" s="13"/>
    </row>
    <row r="14026" spans="12:13" x14ac:dyDescent="0.2">
      <c r="L14026" s="12"/>
      <c r="M14026" s="13"/>
    </row>
    <row r="14027" spans="12:13" x14ac:dyDescent="0.2">
      <c r="L14027" s="12"/>
      <c r="M14027" s="13"/>
    </row>
    <row r="14028" spans="12:13" x14ac:dyDescent="0.2">
      <c r="L14028" s="12"/>
      <c r="M14028" s="13"/>
    </row>
    <row r="14029" spans="12:13" x14ac:dyDescent="0.2">
      <c r="L14029" s="12"/>
      <c r="M14029" s="13"/>
    </row>
    <row r="14030" spans="12:13" x14ac:dyDescent="0.2">
      <c r="L14030" s="12"/>
      <c r="M14030" s="13"/>
    </row>
    <row r="14031" spans="12:13" x14ac:dyDescent="0.2">
      <c r="L14031" s="12"/>
      <c r="M14031" s="13"/>
    </row>
    <row r="14032" spans="12:13" x14ac:dyDescent="0.2">
      <c r="L14032" s="12"/>
      <c r="M14032" s="13"/>
    </row>
    <row r="14033" spans="12:13" x14ac:dyDescent="0.2">
      <c r="L14033" s="12"/>
      <c r="M14033" s="13"/>
    </row>
    <row r="14034" spans="12:13" x14ac:dyDescent="0.2">
      <c r="L14034" s="12"/>
      <c r="M14034" s="13"/>
    </row>
    <row r="14035" spans="12:13" x14ac:dyDescent="0.2">
      <c r="L14035" s="12"/>
      <c r="M14035" s="13"/>
    </row>
    <row r="14036" spans="12:13" x14ac:dyDescent="0.2">
      <c r="L14036" s="12"/>
      <c r="M14036" s="13"/>
    </row>
    <row r="14037" spans="12:13" x14ac:dyDescent="0.2">
      <c r="L14037" s="12"/>
      <c r="M14037" s="13"/>
    </row>
    <row r="14038" spans="12:13" x14ac:dyDescent="0.2">
      <c r="L14038" s="12"/>
      <c r="M14038" s="13"/>
    </row>
    <row r="14039" spans="12:13" x14ac:dyDescent="0.2">
      <c r="L14039" s="12"/>
      <c r="M14039" s="13"/>
    </row>
    <row r="14040" spans="12:13" x14ac:dyDescent="0.2">
      <c r="L14040" s="12"/>
      <c r="M14040" s="13"/>
    </row>
    <row r="14041" spans="12:13" x14ac:dyDescent="0.2">
      <c r="L14041" s="12"/>
      <c r="M14041" s="13"/>
    </row>
    <row r="14042" spans="12:13" x14ac:dyDescent="0.2">
      <c r="L14042" s="12"/>
      <c r="M14042" s="13"/>
    </row>
    <row r="14043" spans="12:13" x14ac:dyDescent="0.2">
      <c r="L14043" s="12"/>
      <c r="M14043" s="13"/>
    </row>
    <row r="14044" spans="12:13" x14ac:dyDescent="0.2">
      <c r="L14044" s="12"/>
      <c r="M14044" s="13"/>
    </row>
    <row r="14045" spans="12:13" x14ac:dyDescent="0.2">
      <c r="L14045" s="12"/>
      <c r="M14045" s="13"/>
    </row>
    <row r="14046" spans="12:13" x14ac:dyDescent="0.2">
      <c r="L14046" s="12"/>
      <c r="M14046" s="13"/>
    </row>
    <row r="14047" spans="12:13" x14ac:dyDescent="0.2">
      <c r="L14047" s="12"/>
      <c r="M14047" s="13"/>
    </row>
    <row r="14048" spans="12:13" x14ac:dyDescent="0.2">
      <c r="L14048" s="12"/>
      <c r="M14048" s="13"/>
    </row>
    <row r="14049" spans="12:13" x14ac:dyDescent="0.2">
      <c r="L14049" s="12"/>
      <c r="M14049" s="13"/>
    </row>
    <row r="14050" spans="12:13" x14ac:dyDescent="0.2">
      <c r="L14050" s="12"/>
      <c r="M14050" s="13"/>
    </row>
    <row r="14051" spans="12:13" x14ac:dyDescent="0.2">
      <c r="L14051" s="12"/>
      <c r="M14051" s="13"/>
    </row>
    <row r="14052" spans="12:13" x14ac:dyDescent="0.2">
      <c r="L14052" s="12"/>
      <c r="M14052" s="13"/>
    </row>
    <row r="14053" spans="12:13" x14ac:dyDescent="0.2">
      <c r="L14053" s="12"/>
      <c r="M14053" s="13"/>
    </row>
    <row r="14054" spans="12:13" x14ac:dyDescent="0.2">
      <c r="L14054" s="12"/>
      <c r="M14054" s="13"/>
    </row>
    <row r="14055" spans="12:13" x14ac:dyDescent="0.2">
      <c r="L14055" s="12"/>
      <c r="M14055" s="13"/>
    </row>
    <row r="14056" spans="12:13" x14ac:dyDescent="0.2">
      <c r="L14056" s="12"/>
      <c r="M14056" s="13"/>
    </row>
    <row r="14057" spans="12:13" x14ac:dyDescent="0.2">
      <c r="L14057" s="12"/>
      <c r="M14057" s="13"/>
    </row>
    <row r="14058" spans="12:13" x14ac:dyDescent="0.2">
      <c r="L14058" s="12"/>
      <c r="M14058" s="13"/>
    </row>
    <row r="14059" spans="12:13" x14ac:dyDescent="0.2">
      <c r="L14059" s="12"/>
      <c r="M14059" s="13"/>
    </row>
    <row r="14060" spans="12:13" x14ac:dyDescent="0.2">
      <c r="L14060" s="12"/>
      <c r="M14060" s="13"/>
    </row>
    <row r="14061" spans="12:13" x14ac:dyDescent="0.2">
      <c r="L14061" s="12"/>
      <c r="M14061" s="13"/>
    </row>
    <row r="14062" spans="12:13" x14ac:dyDescent="0.2">
      <c r="L14062" s="12"/>
      <c r="M14062" s="13"/>
    </row>
    <row r="14063" spans="12:13" x14ac:dyDescent="0.2">
      <c r="L14063" s="12"/>
      <c r="M14063" s="13"/>
    </row>
    <row r="14064" spans="12:13" x14ac:dyDescent="0.2">
      <c r="L14064" s="12"/>
      <c r="M14064" s="13"/>
    </row>
    <row r="14065" spans="12:13" x14ac:dyDescent="0.2">
      <c r="L14065" s="12"/>
      <c r="M14065" s="13"/>
    </row>
    <row r="14066" spans="12:13" x14ac:dyDescent="0.2">
      <c r="L14066" s="12"/>
      <c r="M14066" s="13"/>
    </row>
    <row r="14067" spans="12:13" x14ac:dyDescent="0.2">
      <c r="L14067" s="12"/>
      <c r="M14067" s="13"/>
    </row>
    <row r="14068" spans="12:13" x14ac:dyDescent="0.2">
      <c r="L14068" s="12"/>
      <c r="M14068" s="13"/>
    </row>
    <row r="14069" spans="12:13" x14ac:dyDescent="0.2">
      <c r="L14069" s="12"/>
      <c r="M14069" s="13"/>
    </row>
    <row r="14070" spans="12:13" x14ac:dyDescent="0.2">
      <c r="L14070" s="12"/>
      <c r="M14070" s="13"/>
    </row>
    <row r="14071" spans="12:13" x14ac:dyDescent="0.2">
      <c r="L14071" s="12"/>
      <c r="M14071" s="13"/>
    </row>
    <row r="14072" spans="12:13" x14ac:dyDescent="0.2">
      <c r="L14072" s="12"/>
      <c r="M14072" s="13"/>
    </row>
    <row r="14073" spans="12:13" x14ac:dyDescent="0.2">
      <c r="L14073" s="12"/>
      <c r="M14073" s="13"/>
    </row>
    <row r="14074" spans="12:13" x14ac:dyDescent="0.2">
      <c r="L14074" s="12"/>
      <c r="M14074" s="13"/>
    </row>
    <row r="14075" spans="12:13" x14ac:dyDescent="0.2">
      <c r="L14075" s="12"/>
      <c r="M14075" s="13"/>
    </row>
    <row r="14076" spans="12:13" x14ac:dyDescent="0.2">
      <c r="L14076" s="12"/>
      <c r="M14076" s="13"/>
    </row>
    <row r="14077" spans="12:13" x14ac:dyDescent="0.2">
      <c r="L14077" s="12"/>
      <c r="M14077" s="13"/>
    </row>
    <row r="14078" spans="12:13" x14ac:dyDescent="0.2">
      <c r="L14078" s="12"/>
      <c r="M14078" s="13"/>
    </row>
    <row r="14079" spans="12:13" x14ac:dyDescent="0.2">
      <c r="L14079" s="12"/>
      <c r="M14079" s="13"/>
    </row>
    <row r="14080" spans="12:13" x14ac:dyDescent="0.2">
      <c r="L14080" s="12"/>
      <c r="M14080" s="13"/>
    </row>
    <row r="14081" spans="12:13" x14ac:dyDescent="0.2">
      <c r="L14081" s="12"/>
      <c r="M14081" s="13"/>
    </row>
    <row r="14082" spans="12:13" x14ac:dyDescent="0.2">
      <c r="L14082" s="17"/>
      <c r="M14082" s="18"/>
    </row>
    <row r="14083" spans="12:13" x14ac:dyDescent="0.2">
      <c r="L14083" s="12"/>
      <c r="M14083" s="13"/>
    </row>
    <row r="14084" spans="12:13" x14ac:dyDescent="0.2">
      <c r="L14084" s="12"/>
      <c r="M14084" s="13"/>
    </row>
    <row r="14085" spans="12:13" x14ac:dyDescent="0.2">
      <c r="L14085" s="12"/>
      <c r="M14085" s="13"/>
    </row>
    <row r="14086" spans="12:13" x14ac:dyDescent="0.2">
      <c r="L14086" s="12"/>
      <c r="M14086" s="13"/>
    </row>
    <row r="14087" spans="12:13" x14ac:dyDescent="0.2">
      <c r="L14087" s="12"/>
      <c r="M14087" s="13"/>
    </row>
    <row r="14088" spans="12:13" x14ac:dyDescent="0.2">
      <c r="L14088" s="12"/>
      <c r="M14088" s="13"/>
    </row>
    <row r="14089" spans="12:13" x14ac:dyDescent="0.2">
      <c r="L14089" s="12"/>
      <c r="M14089" s="13"/>
    </row>
    <row r="14090" spans="12:13" x14ac:dyDescent="0.2">
      <c r="L14090" s="12"/>
      <c r="M14090" s="13"/>
    </row>
    <row r="14091" spans="12:13" x14ac:dyDescent="0.2">
      <c r="L14091" s="12"/>
      <c r="M14091" s="13"/>
    </row>
    <row r="14092" spans="12:13" x14ac:dyDescent="0.2">
      <c r="L14092" s="12"/>
      <c r="M14092" s="13"/>
    </row>
    <row r="14093" spans="12:13" x14ac:dyDescent="0.2">
      <c r="L14093" s="12"/>
      <c r="M14093" s="13"/>
    </row>
    <row r="14094" spans="12:13" x14ac:dyDescent="0.2">
      <c r="L14094" s="12"/>
      <c r="M14094" s="13"/>
    </row>
    <row r="14095" spans="12:13" x14ac:dyDescent="0.2">
      <c r="L14095" s="12"/>
      <c r="M14095" s="13"/>
    </row>
    <row r="14096" spans="12:13" x14ac:dyDescent="0.2">
      <c r="L14096" s="12"/>
      <c r="M14096" s="13"/>
    </row>
    <row r="14097" spans="12:13" x14ac:dyDescent="0.2">
      <c r="L14097" s="12"/>
      <c r="M14097" s="13"/>
    </row>
    <row r="14098" spans="12:13" x14ac:dyDescent="0.2">
      <c r="L14098" s="12"/>
      <c r="M14098" s="13"/>
    </row>
    <row r="14099" spans="12:13" x14ac:dyDescent="0.2">
      <c r="L14099" s="12"/>
      <c r="M14099" s="13"/>
    </row>
    <row r="14100" spans="12:13" x14ac:dyDescent="0.2">
      <c r="L14100" s="12"/>
      <c r="M14100" s="13"/>
    </row>
    <row r="14101" spans="12:13" x14ac:dyDescent="0.2">
      <c r="L14101" s="12"/>
      <c r="M14101" s="13"/>
    </row>
    <row r="14102" spans="12:13" x14ac:dyDescent="0.2">
      <c r="L14102" s="12"/>
      <c r="M14102" s="13"/>
    </row>
    <row r="14103" spans="12:13" x14ac:dyDescent="0.2">
      <c r="L14103" s="12"/>
      <c r="M14103" s="13"/>
    </row>
    <row r="14104" spans="12:13" x14ac:dyDescent="0.2">
      <c r="L14104" s="12"/>
      <c r="M14104" s="13"/>
    </row>
    <row r="14105" spans="12:13" x14ac:dyDescent="0.2">
      <c r="L14105" s="12"/>
      <c r="M14105" s="13"/>
    </row>
    <row r="14106" spans="12:13" x14ac:dyDescent="0.2">
      <c r="L14106" s="12"/>
      <c r="M14106" s="13"/>
    </row>
    <row r="14107" spans="12:13" x14ac:dyDescent="0.2">
      <c r="L14107" s="12"/>
      <c r="M14107" s="13"/>
    </row>
    <row r="14108" spans="12:13" x14ac:dyDescent="0.2">
      <c r="L14108" s="12"/>
      <c r="M14108" s="13"/>
    </row>
    <row r="14109" spans="12:13" x14ac:dyDescent="0.2">
      <c r="L14109" s="17"/>
      <c r="M14109" s="18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>
    <tabColor rgb="FF7030A0"/>
  </sheetPr>
  <dimension ref="A1:F2"/>
  <sheetViews>
    <sheetView showGridLines="0" workbookViewId="0">
      <selection activeCell="A2" sqref="A2:F2"/>
    </sheetView>
  </sheetViews>
  <sheetFormatPr baseColWidth="10" defaultRowHeight="12.75" x14ac:dyDescent="0.2"/>
  <cols>
    <col min="4" max="4" width="12.140625" customWidth="1"/>
    <col min="5" max="5" width="17.7109375" customWidth="1"/>
    <col min="6" max="6" width="12.85546875" customWidth="1"/>
    <col min="9" max="9" width="17.85546875" customWidth="1"/>
    <col min="10" max="10" width="18.85546875" customWidth="1"/>
    <col min="11" max="11" width="24.5703125" bestFit="1" customWidth="1"/>
    <col min="12" max="12" width="19.5703125" bestFit="1" customWidth="1"/>
  </cols>
  <sheetData>
    <row r="1" spans="1:6" x14ac:dyDescent="0.2">
      <c r="A1" t="s">
        <v>63</v>
      </c>
      <c r="B1" t="s">
        <v>3</v>
      </c>
      <c r="C1" t="s">
        <v>396</v>
      </c>
      <c r="D1" t="s">
        <v>397</v>
      </c>
      <c r="E1" t="s">
        <v>510</v>
      </c>
      <c r="F1" t="s">
        <v>398</v>
      </c>
    </row>
    <row r="2" spans="1:6" x14ac:dyDescent="0.2">
      <c r="C2" s="90"/>
    </row>
  </sheetData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tabColor rgb="FFFFC000"/>
  </sheetPr>
  <dimension ref="A1:R1"/>
  <sheetViews>
    <sheetView showGridLines="0" workbookViewId="0">
      <selection activeCell="B2" sqref="B2"/>
    </sheetView>
  </sheetViews>
  <sheetFormatPr baseColWidth="10" defaultColWidth="11.42578125" defaultRowHeight="12.75" x14ac:dyDescent="0.2"/>
  <cols>
    <col min="1" max="1" width="28.5703125" bestFit="1" customWidth="1"/>
    <col min="2" max="2" width="19.85546875" bestFit="1" customWidth="1"/>
    <col min="3" max="3" width="10" bestFit="1" customWidth="1"/>
    <col min="4" max="4" width="9" bestFit="1" customWidth="1"/>
    <col min="5" max="5" width="5.42578125" bestFit="1" customWidth="1"/>
    <col min="6" max="6" width="28.42578125" bestFit="1" customWidth="1"/>
    <col min="7" max="7" width="27.140625" bestFit="1" customWidth="1"/>
    <col min="8" max="8" width="10" bestFit="1" customWidth="1"/>
    <col min="9" max="9" width="9" bestFit="1" customWidth="1"/>
    <col min="10" max="10" width="6.42578125" bestFit="1" customWidth="1"/>
    <col min="11" max="11" width="20.42578125" bestFit="1" customWidth="1"/>
    <col min="12" max="12" width="26.42578125" bestFit="1" customWidth="1"/>
    <col min="13" max="13" width="6.42578125" bestFit="1" customWidth="1"/>
    <col min="14" max="14" width="10.7109375" bestFit="1" customWidth="1"/>
    <col min="15" max="15" width="22.5703125" bestFit="1" customWidth="1"/>
    <col min="16" max="16" width="6.42578125" bestFit="1" customWidth="1"/>
    <col min="17" max="17" width="15.140625" bestFit="1" customWidth="1"/>
    <col min="18" max="18" width="21.42578125" bestFit="1" customWidth="1"/>
  </cols>
  <sheetData>
    <row r="1" spans="1:18" x14ac:dyDescent="0.2">
      <c r="A1" t="s">
        <v>36</v>
      </c>
      <c r="B1" t="s">
        <v>33</v>
      </c>
      <c r="C1" t="s">
        <v>58</v>
      </c>
      <c r="D1" t="s">
        <v>59</v>
      </c>
      <c r="E1" t="s">
        <v>213</v>
      </c>
      <c r="F1" t="s">
        <v>214</v>
      </c>
      <c r="G1" t="s">
        <v>74</v>
      </c>
      <c r="H1" t="s">
        <v>215</v>
      </c>
      <c r="I1" t="s">
        <v>216</v>
      </c>
      <c r="J1" t="s">
        <v>217</v>
      </c>
      <c r="K1" t="s">
        <v>218</v>
      </c>
      <c r="L1" t="s">
        <v>91</v>
      </c>
      <c r="M1" t="s">
        <v>219</v>
      </c>
      <c r="N1" t="s">
        <v>220</v>
      </c>
      <c r="O1" t="s">
        <v>92</v>
      </c>
      <c r="P1" t="s">
        <v>221</v>
      </c>
      <c r="Q1" t="s">
        <v>222</v>
      </c>
      <c r="R1" t="s">
        <v>93</v>
      </c>
    </row>
  </sheetData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A5"/>
  <sheetViews>
    <sheetView workbookViewId="0">
      <selection activeCell="A4" sqref="A4"/>
    </sheetView>
  </sheetViews>
  <sheetFormatPr baseColWidth="10" defaultColWidth="11.42578125" defaultRowHeight="12.75" x14ac:dyDescent="0.2"/>
  <sheetData>
    <row r="1" spans="1:1" x14ac:dyDescent="0.2">
      <c r="A1" s="1" t="s">
        <v>226</v>
      </c>
    </row>
    <row r="2" spans="1:1" x14ac:dyDescent="0.2">
      <c r="A2" s="1" t="s">
        <v>230</v>
      </c>
    </row>
    <row r="3" spans="1:1" x14ac:dyDescent="0.2">
      <c r="A3" s="46" t="s">
        <v>227</v>
      </c>
    </row>
    <row r="4" spans="1:1" x14ac:dyDescent="0.2">
      <c r="A4" s="47" t="s">
        <v>228</v>
      </c>
    </row>
    <row r="5" spans="1:1" x14ac:dyDescent="0.2">
      <c r="A5" s="1" t="s">
        <v>229</v>
      </c>
    </row>
  </sheetData>
  <hyperlinks>
    <hyperlink ref="A3" r:id="rId1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D5"/>
  <sheetViews>
    <sheetView workbookViewId="0">
      <selection activeCell="F8" sqref="F8"/>
    </sheetView>
  </sheetViews>
  <sheetFormatPr baseColWidth="10" defaultColWidth="11.42578125" defaultRowHeight="12.75" x14ac:dyDescent="0.2"/>
  <sheetData>
    <row r="1" spans="1:4" x14ac:dyDescent="0.2">
      <c r="A1" t="s">
        <v>3</v>
      </c>
      <c r="B1" t="s">
        <v>4</v>
      </c>
      <c r="C1" t="s">
        <v>351</v>
      </c>
      <c r="D1" t="s">
        <v>352</v>
      </c>
    </row>
    <row r="2" spans="1:4" x14ac:dyDescent="0.2">
      <c r="A2" s="54" t="str">
        <f>"=*b450*"</f>
        <v>=*b450*</v>
      </c>
    </row>
    <row r="3" spans="1:4" x14ac:dyDescent="0.2">
      <c r="B3" s="54" t="str">
        <f>"=*b450*"</f>
        <v>=*b450*</v>
      </c>
    </row>
    <row r="4" spans="1:4" x14ac:dyDescent="0.2">
      <c r="C4" t="str">
        <f>"=*b450*"</f>
        <v>=*b450*</v>
      </c>
    </row>
    <row r="5" spans="1:4" x14ac:dyDescent="0.2">
      <c r="D5" t="str">
        <f>"=*b450*"</f>
        <v>=*b450*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I2"/>
  <sheetViews>
    <sheetView showGridLines="0" workbookViewId="0">
      <selection activeCell="C16" sqref="C16"/>
    </sheetView>
  </sheetViews>
  <sheetFormatPr baseColWidth="10" defaultColWidth="11.42578125" defaultRowHeight="12.75" x14ac:dyDescent="0.2"/>
  <cols>
    <col min="1" max="1" width="34.5703125" bestFit="1" customWidth="1"/>
    <col min="6" max="6" width="34.5703125" bestFit="1" customWidth="1"/>
    <col min="7" max="7" width="12.7109375" bestFit="1" customWidth="1"/>
  </cols>
  <sheetData>
    <row r="1" spans="1:9" x14ac:dyDescent="0.2">
      <c r="A1" t="s">
        <v>79</v>
      </c>
      <c r="B1" t="s">
        <v>81</v>
      </c>
      <c r="C1" t="s">
        <v>9</v>
      </c>
      <c r="F1" t="s">
        <v>79</v>
      </c>
      <c r="G1" t="s">
        <v>94</v>
      </c>
      <c r="H1" t="s">
        <v>95</v>
      </c>
      <c r="I1" t="s">
        <v>96</v>
      </c>
    </row>
    <row r="2" spans="1:9" x14ac:dyDescent="0.2">
      <c r="B2" s="12"/>
      <c r="G2" s="12"/>
      <c r="H2" s="13"/>
      <c r="I2" s="12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1:B55"/>
  <sheetViews>
    <sheetView workbookViewId="0">
      <selection activeCell="A13" sqref="A13"/>
    </sheetView>
  </sheetViews>
  <sheetFormatPr baseColWidth="10" defaultColWidth="11.42578125" defaultRowHeight="12.75" x14ac:dyDescent="0.2"/>
  <cols>
    <col min="1" max="1" width="35" customWidth="1"/>
  </cols>
  <sheetData>
    <row r="1" spans="1:2" x14ac:dyDescent="0.2">
      <c r="A1" s="68" t="s">
        <v>613</v>
      </c>
      <c r="B1" s="68" t="s">
        <v>609</v>
      </c>
    </row>
    <row r="2" spans="1:2" x14ac:dyDescent="0.2">
      <c r="A2" s="68" t="s">
        <v>613</v>
      </c>
      <c r="B2" s="68" t="s">
        <v>563</v>
      </c>
    </row>
    <row r="3" spans="1:2" x14ac:dyDescent="0.2">
      <c r="A3" s="68" t="s">
        <v>613</v>
      </c>
      <c r="B3" s="68" t="s">
        <v>606</v>
      </c>
    </row>
    <row r="4" spans="1:2" x14ac:dyDescent="0.2">
      <c r="A4" s="68" t="s">
        <v>613</v>
      </c>
      <c r="B4" s="68" t="s">
        <v>607</v>
      </c>
    </row>
    <row r="5" spans="1:2" x14ac:dyDescent="0.2">
      <c r="A5" s="68" t="s">
        <v>613</v>
      </c>
      <c r="B5" s="68" t="s">
        <v>603</v>
      </c>
    </row>
    <row r="6" spans="1:2" x14ac:dyDescent="0.2">
      <c r="A6" s="68" t="s">
        <v>613</v>
      </c>
      <c r="B6" s="68" t="s">
        <v>601</v>
      </c>
    </row>
    <row r="7" spans="1:2" x14ac:dyDescent="0.2">
      <c r="A7" s="68" t="s">
        <v>613</v>
      </c>
      <c r="B7" s="68" t="s">
        <v>602</v>
      </c>
    </row>
    <row r="8" spans="1:2" x14ac:dyDescent="0.2">
      <c r="A8" s="68" t="s">
        <v>613</v>
      </c>
      <c r="B8" s="68" t="s">
        <v>611</v>
      </c>
    </row>
    <row r="9" spans="1:2" x14ac:dyDescent="0.2">
      <c r="A9" s="68" t="s">
        <v>613</v>
      </c>
      <c r="B9" s="68" t="s">
        <v>608</v>
      </c>
    </row>
    <row r="10" spans="1:2" x14ac:dyDescent="0.2">
      <c r="A10" s="68" t="s">
        <v>613</v>
      </c>
      <c r="B10" s="68" t="s">
        <v>604</v>
      </c>
    </row>
    <row r="11" spans="1:2" x14ac:dyDescent="0.2">
      <c r="A11" s="68" t="s">
        <v>613</v>
      </c>
      <c r="B11" s="68" t="s">
        <v>605</v>
      </c>
    </row>
    <row r="12" spans="1:2" x14ac:dyDescent="0.2">
      <c r="A12" s="68" t="s">
        <v>613</v>
      </c>
      <c r="B12" s="68" t="s">
        <v>610</v>
      </c>
    </row>
    <row r="13" spans="1:2" x14ac:dyDescent="0.2">
      <c r="A13" s="68"/>
      <c r="B13" s="68"/>
    </row>
    <row r="14" spans="1:2" x14ac:dyDescent="0.2">
      <c r="A14" s="68"/>
      <c r="B14" s="68"/>
    </row>
    <row r="15" spans="1:2" x14ac:dyDescent="0.2">
      <c r="A15" s="68"/>
      <c r="B15" s="68"/>
    </row>
    <row r="16" spans="1:2" x14ac:dyDescent="0.2">
      <c r="A16" s="68"/>
      <c r="B16" s="68"/>
    </row>
    <row r="17" spans="1:2" x14ac:dyDescent="0.2">
      <c r="A17" s="68"/>
      <c r="B17" s="68"/>
    </row>
    <row r="18" spans="1:2" x14ac:dyDescent="0.2">
      <c r="A18" s="68"/>
      <c r="B18" s="68"/>
    </row>
    <row r="19" spans="1:2" x14ac:dyDescent="0.2">
      <c r="A19" s="68"/>
      <c r="B19" s="68"/>
    </row>
    <row r="20" spans="1:2" x14ac:dyDescent="0.2">
      <c r="A20" s="68"/>
      <c r="B20" s="68"/>
    </row>
    <row r="21" spans="1:2" x14ac:dyDescent="0.2">
      <c r="A21" s="68"/>
      <c r="B21" s="68"/>
    </row>
    <row r="22" spans="1:2" x14ac:dyDescent="0.2">
      <c r="A22" s="68"/>
      <c r="B22" s="68"/>
    </row>
    <row r="23" spans="1:2" x14ac:dyDescent="0.2">
      <c r="A23" s="68"/>
      <c r="B23" s="68"/>
    </row>
    <row r="24" spans="1:2" x14ac:dyDescent="0.2">
      <c r="A24" s="68"/>
      <c r="B24" s="68"/>
    </row>
    <row r="25" spans="1:2" x14ac:dyDescent="0.2">
      <c r="A25" s="68"/>
      <c r="B25" s="68"/>
    </row>
    <row r="26" spans="1:2" x14ac:dyDescent="0.2">
      <c r="A26" s="68"/>
      <c r="B26" s="68"/>
    </row>
    <row r="27" spans="1:2" x14ac:dyDescent="0.2">
      <c r="A27" s="68"/>
      <c r="B27" s="68"/>
    </row>
    <row r="28" spans="1:2" x14ac:dyDescent="0.2">
      <c r="A28" s="68"/>
      <c r="B28" s="68"/>
    </row>
    <row r="29" spans="1:2" x14ac:dyDescent="0.2">
      <c r="A29" s="68"/>
      <c r="B29" s="68"/>
    </row>
    <row r="30" spans="1:2" x14ac:dyDescent="0.2">
      <c r="A30" s="68"/>
      <c r="B30" s="68"/>
    </row>
    <row r="31" spans="1:2" x14ac:dyDescent="0.2">
      <c r="A31" s="68"/>
      <c r="B31" s="68"/>
    </row>
    <row r="32" spans="1:2" x14ac:dyDescent="0.2">
      <c r="A32" s="68"/>
      <c r="B32" s="68"/>
    </row>
    <row r="33" spans="1:2" x14ac:dyDescent="0.2">
      <c r="A33" s="68"/>
      <c r="B33" s="68"/>
    </row>
    <row r="34" spans="1:2" x14ac:dyDescent="0.2">
      <c r="A34" s="68"/>
      <c r="B34" s="68"/>
    </row>
    <row r="35" spans="1:2" x14ac:dyDescent="0.2">
      <c r="A35" s="68"/>
      <c r="B35" s="68"/>
    </row>
    <row r="36" spans="1:2" x14ac:dyDescent="0.2">
      <c r="A36" s="68"/>
      <c r="B36" s="68"/>
    </row>
    <row r="37" spans="1:2" x14ac:dyDescent="0.2">
      <c r="A37" s="68"/>
      <c r="B37" s="68"/>
    </row>
    <row r="38" spans="1:2" x14ac:dyDescent="0.2">
      <c r="A38" s="68"/>
      <c r="B38" s="68"/>
    </row>
    <row r="39" spans="1:2" x14ac:dyDescent="0.2">
      <c r="A39" s="68"/>
      <c r="B39" s="68"/>
    </row>
    <row r="40" spans="1:2" x14ac:dyDescent="0.2">
      <c r="A40" s="68"/>
      <c r="B40" s="68"/>
    </row>
    <row r="41" spans="1:2" x14ac:dyDescent="0.2">
      <c r="A41" s="68"/>
      <c r="B41" s="68"/>
    </row>
    <row r="42" spans="1:2" x14ac:dyDescent="0.2">
      <c r="A42" s="68"/>
      <c r="B42" s="68"/>
    </row>
    <row r="43" spans="1:2" x14ac:dyDescent="0.2">
      <c r="A43" s="68"/>
      <c r="B43" s="68"/>
    </row>
    <row r="44" spans="1:2" x14ac:dyDescent="0.2">
      <c r="A44" s="68"/>
      <c r="B44" s="68"/>
    </row>
    <row r="45" spans="1:2" x14ac:dyDescent="0.2">
      <c r="A45" s="68"/>
      <c r="B45" s="68"/>
    </row>
    <row r="46" spans="1:2" x14ac:dyDescent="0.2">
      <c r="A46" s="68"/>
      <c r="B46" s="68"/>
    </row>
    <row r="47" spans="1:2" x14ac:dyDescent="0.2">
      <c r="A47" s="68"/>
      <c r="B47" s="68"/>
    </row>
    <row r="48" spans="1:2" x14ac:dyDescent="0.2">
      <c r="A48" s="68"/>
      <c r="B48" s="68"/>
    </row>
    <row r="49" spans="1:2" x14ac:dyDescent="0.2">
      <c r="A49" s="68"/>
      <c r="B49" s="68"/>
    </row>
    <row r="50" spans="1:2" x14ac:dyDescent="0.2">
      <c r="A50" s="68"/>
      <c r="B50" s="68"/>
    </row>
    <row r="51" spans="1:2" x14ac:dyDescent="0.2">
      <c r="A51" s="68"/>
      <c r="B51" s="68"/>
    </row>
    <row r="52" spans="1:2" x14ac:dyDescent="0.2">
      <c r="A52" s="68"/>
      <c r="B52" s="68"/>
    </row>
    <row r="53" spans="1:2" x14ac:dyDescent="0.2">
      <c r="A53" s="68"/>
      <c r="B53" s="68"/>
    </row>
    <row r="54" spans="1:2" x14ac:dyDescent="0.2">
      <c r="A54" s="68"/>
      <c r="B54" s="68"/>
    </row>
    <row r="55" spans="1:2" x14ac:dyDescent="0.2">
      <c r="A55" s="68"/>
      <c r="B55" s="68"/>
    </row>
  </sheetData>
  <pageMargins left="0.7" right="0.7" top="0.75" bottom="0.75" header="0.3" footer="0.3"/>
  <pageSetup orientation="portrait" horizontalDpi="4294967294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1:N2"/>
  <sheetViews>
    <sheetView showGridLines="0" workbookViewId="0">
      <selection activeCell="H2" sqref="H2:N405"/>
    </sheetView>
  </sheetViews>
  <sheetFormatPr baseColWidth="10" defaultColWidth="11.42578125" defaultRowHeight="12.75" x14ac:dyDescent="0.2"/>
  <cols>
    <col min="1" max="1" width="17.28515625" bestFit="1" customWidth="1"/>
    <col min="2" max="2" width="12.85546875" bestFit="1" customWidth="1"/>
    <col min="8" max="8" width="17.28515625" bestFit="1" customWidth="1"/>
    <col min="9" max="9" width="20.140625" bestFit="1" customWidth="1"/>
  </cols>
  <sheetData>
    <row r="1" spans="1:14" x14ac:dyDescent="0.2">
      <c r="A1" t="s">
        <v>63</v>
      </c>
      <c r="B1" t="s">
        <v>3</v>
      </c>
      <c r="C1" t="s">
        <v>98</v>
      </c>
      <c r="D1" t="s">
        <v>259</v>
      </c>
      <c r="E1" t="s">
        <v>77</v>
      </c>
      <c r="F1" t="s">
        <v>260</v>
      </c>
      <c r="H1" s="68" t="s">
        <v>63</v>
      </c>
      <c r="I1" s="68" t="s">
        <v>3</v>
      </c>
      <c r="J1" s="68" t="s">
        <v>259</v>
      </c>
      <c r="K1" s="1" t="s">
        <v>260</v>
      </c>
      <c r="L1" s="1" t="s">
        <v>98</v>
      </c>
      <c r="M1" s="1" t="s">
        <v>262</v>
      </c>
      <c r="N1" s="1" t="s">
        <v>263</v>
      </c>
    </row>
    <row r="2" spans="1:14" x14ac:dyDescent="0.2">
      <c r="A2" s="68"/>
      <c r="B2" s="68"/>
      <c r="C2" s="76"/>
      <c r="E2" s="14"/>
      <c r="K2" s="68"/>
      <c r="L2" s="102"/>
      <c r="M2" s="13"/>
      <c r="N2" s="13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1:O2"/>
  <sheetViews>
    <sheetView showGridLines="0" workbookViewId="0">
      <selection activeCell="A2" sqref="A2:O167"/>
    </sheetView>
  </sheetViews>
  <sheetFormatPr baseColWidth="10" defaultColWidth="11.42578125" defaultRowHeight="12.75" x14ac:dyDescent="0.2"/>
  <cols>
    <col min="1" max="1" width="16" customWidth="1"/>
    <col min="2" max="2" width="12" customWidth="1"/>
    <col min="4" max="4" width="12.5703125" customWidth="1"/>
    <col min="5" max="5" width="18.5703125" customWidth="1"/>
    <col min="6" max="8" width="18.5703125" style="68" customWidth="1"/>
    <col min="9" max="9" width="14.7109375" customWidth="1"/>
    <col min="14" max="14" width="11.42578125" style="68"/>
  </cols>
  <sheetData>
    <row r="1" spans="1:15" x14ac:dyDescent="0.2">
      <c r="A1" s="1" t="s">
        <v>341</v>
      </c>
      <c r="B1" s="68" t="s">
        <v>342</v>
      </c>
      <c r="C1" s="68" t="s">
        <v>343</v>
      </c>
      <c r="D1" s="68" t="s">
        <v>344</v>
      </c>
      <c r="E1" s="68" t="s">
        <v>345</v>
      </c>
      <c r="F1" s="68" t="s">
        <v>358</v>
      </c>
      <c r="G1" s="68" t="s">
        <v>359</v>
      </c>
      <c r="H1" s="68" t="s">
        <v>360</v>
      </c>
      <c r="I1" s="68" t="s">
        <v>346</v>
      </c>
      <c r="J1" s="68" t="s">
        <v>347</v>
      </c>
      <c r="K1" s="1" t="s">
        <v>348</v>
      </c>
      <c r="L1" s="1" t="s">
        <v>349</v>
      </c>
      <c r="M1" s="1" t="s">
        <v>350</v>
      </c>
      <c r="N1" s="1" t="s">
        <v>503</v>
      </c>
      <c r="O1" s="68" t="s">
        <v>277</v>
      </c>
    </row>
    <row r="2" spans="1:15" x14ac:dyDescent="0.2">
      <c r="A2" s="68"/>
      <c r="B2" s="68"/>
      <c r="C2" s="68"/>
      <c r="E2" s="1"/>
      <c r="O2" s="6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/>
  <dimension ref="A1"/>
  <sheetViews>
    <sheetView workbookViewId="0">
      <selection activeCell="H11" sqref="H11"/>
    </sheetView>
  </sheetViews>
  <sheetFormatPr baseColWidth="10" defaultColWidth="11.42578125" defaultRowHeight="12.75" x14ac:dyDescent="0.2"/>
  <sheetData>
    <row r="1" spans="1:1" x14ac:dyDescent="0.2">
      <c r="A1" s="1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/>
  <dimension ref="A1:B2"/>
  <sheetViews>
    <sheetView workbookViewId="0">
      <selection activeCell="A2" sqref="A2:B2"/>
    </sheetView>
  </sheetViews>
  <sheetFormatPr baseColWidth="10" defaultColWidth="11.42578125" defaultRowHeight="12.75" x14ac:dyDescent="0.2"/>
  <cols>
    <col min="1" max="1" width="10.7109375" bestFit="1" customWidth="1"/>
    <col min="2" max="2" width="9" bestFit="1" customWidth="1"/>
  </cols>
  <sheetData>
    <row r="1" spans="1:2" x14ac:dyDescent="0.2">
      <c r="A1" s="68" t="s">
        <v>3</v>
      </c>
      <c r="B1" t="s">
        <v>133</v>
      </c>
    </row>
    <row r="2" spans="1:2" x14ac:dyDescent="0.2">
      <c r="A2" s="68"/>
      <c r="B2" s="68"/>
    </row>
  </sheetData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9"/>
  <dimension ref="A1"/>
  <sheetViews>
    <sheetView workbookViewId="0"/>
  </sheetViews>
  <sheetFormatPr baseColWidth="10" defaultRowHeight="12.75" x14ac:dyDescent="0.2"/>
  <sheetData>
    <row r="1" spans="1:1" x14ac:dyDescent="0.2">
      <c r="A1" s="68" t="s">
        <v>566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F6D1019A-DC9B-497E-82A7-22B38B42B14C}">
  <ds:schemaRefs/>
</ds:datastoreItem>
</file>

<file path=customXml/itemProps2.xml><?xml version="1.0" encoding="utf-8"?>
<ds:datastoreItem xmlns:ds="http://schemas.openxmlformats.org/officeDocument/2006/customXml" ds:itemID="{02CFED36-85AD-437B-8048-0629A583E26F}">
  <ds:schemaRefs/>
</ds:datastoreItem>
</file>

<file path=customXml/itemProps3.xml><?xml version="1.0" encoding="utf-8"?>
<ds:datastoreItem xmlns:ds="http://schemas.openxmlformats.org/officeDocument/2006/customXml" ds:itemID="{258908BC-AD8F-4084-8A62-5EA8B88A65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51</vt:i4>
      </vt:variant>
      <vt:variant>
        <vt:lpstr>Rangos con nombre</vt:lpstr>
      </vt:variant>
      <vt:variant>
        <vt:i4>165</vt:i4>
      </vt:variant>
    </vt:vector>
  </HeadingPairs>
  <TitlesOfParts>
    <vt:vector size="216" baseType="lpstr">
      <vt:lpstr>Bodega</vt:lpstr>
      <vt:lpstr>TRANSITODETALLADO</vt:lpstr>
      <vt:lpstr>REPORTETRANSITO</vt:lpstr>
      <vt:lpstr>Mal_Atendidos_Frecuencia</vt:lpstr>
      <vt:lpstr>Mal_Atendidos_Suministro</vt:lpstr>
      <vt:lpstr>Transferencias_Transito</vt:lpstr>
      <vt:lpstr>Duplicados</vt:lpstr>
      <vt:lpstr>Redondeo_Pedido_Minimo</vt:lpstr>
      <vt:lpstr>Directorios</vt:lpstr>
      <vt:lpstr>AYUDA</vt:lpstr>
      <vt:lpstr>Form</vt:lpstr>
      <vt:lpstr>NoBorrar</vt:lpstr>
      <vt:lpstr>Empresa</vt:lpstr>
      <vt:lpstr>Parametros</vt:lpstr>
      <vt:lpstr>EMPRESAACTIVA</vt:lpstr>
      <vt:lpstr>ARCHIVOSCB</vt:lpstr>
      <vt:lpstr>ARCHIVOSBODEGAS</vt:lpstr>
      <vt:lpstr>PROVEEDORES</vt:lpstr>
      <vt:lpstr>PERFILES</vt:lpstr>
      <vt:lpstr>BodegasPermitidas</vt:lpstr>
      <vt:lpstr>ProveedoresPermitidos</vt:lpstr>
      <vt:lpstr>PerfilesPermitidos</vt:lpstr>
      <vt:lpstr>DatosCodigo</vt:lpstr>
      <vt:lpstr>InvFisico</vt:lpstr>
      <vt:lpstr>Transferencias</vt:lpstr>
      <vt:lpstr>Comprometido</vt:lpstr>
      <vt:lpstr>Backorders</vt:lpstr>
      <vt:lpstr>ROI</vt:lpstr>
      <vt:lpstr>VEL_EFECTIVO</vt:lpstr>
      <vt:lpstr>UltCambioBuffer</vt:lpstr>
      <vt:lpstr>NivSer</vt:lpstr>
      <vt:lpstr>Causas</vt:lpstr>
      <vt:lpstr>Consumo</vt:lpstr>
      <vt:lpstr>Horizonte</vt:lpstr>
      <vt:lpstr>EstacionalidadDatos</vt:lpstr>
      <vt:lpstr>EstacionalidadCalc</vt:lpstr>
      <vt:lpstr>Buffer_Fecha</vt:lpstr>
      <vt:lpstr>DiccionarioAgrota</vt:lpstr>
      <vt:lpstr>GráficoDin</vt:lpstr>
      <vt:lpstr>BuffHist</vt:lpstr>
      <vt:lpstr>ConsHist</vt:lpstr>
      <vt:lpstr>InvFisicoPrueba</vt:lpstr>
      <vt:lpstr>Clue</vt:lpstr>
      <vt:lpstr>CriteriosFiltros</vt:lpstr>
      <vt:lpstr>UltFechaBuffer</vt:lpstr>
      <vt:lpstr>MatrizEstPerf</vt:lpstr>
      <vt:lpstr>RecupBuffHist</vt:lpstr>
      <vt:lpstr>Inventario</vt:lpstr>
      <vt:lpstr>ROIManual</vt:lpstr>
      <vt:lpstr>Rentabilidad</vt:lpstr>
      <vt:lpstr>USER</vt:lpstr>
      <vt:lpstr>BuffHist!Área_de_extracción</vt:lpstr>
      <vt:lpstr>BODEG</vt:lpstr>
      <vt:lpstr>BODEGA</vt:lpstr>
      <vt:lpstr>Bodega_Seleccionada</vt:lpstr>
      <vt:lpstr>EstacionalidadDatos!BodegasPermitidas</vt:lpstr>
      <vt:lpstr>Mal_Atendidos_Suministro!BodegasPermitidas</vt:lpstr>
      <vt:lpstr>BodegasPermitidas</vt:lpstr>
      <vt:lpstr>EstacionalidadDatos!CAMPO_CODIGO</vt:lpstr>
      <vt:lpstr>COD_EMPRESA</vt:lpstr>
      <vt:lpstr>Codigo_Seleccionado</vt:lpstr>
      <vt:lpstr>COLUMNAPRIMERCAMPO</vt:lpstr>
      <vt:lpstr>ConAccionEstacional</vt:lpstr>
      <vt:lpstr>ConBackorder</vt:lpstr>
      <vt:lpstr>ConBodega</vt:lpstr>
      <vt:lpstr>ConBufferActual</vt:lpstr>
      <vt:lpstr>ConBufferAntesEstacion</vt:lpstr>
      <vt:lpstr>ConBufferCalcCB</vt:lpstr>
      <vt:lpstr>ConBufferCalcUsuario</vt:lpstr>
      <vt:lpstr>ConBufferEstacional</vt:lpstr>
      <vt:lpstr>ConBufferMax</vt:lpstr>
      <vt:lpstr>ConBufferMin</vt:lpstr>
      <vt:lpstr>ConCalendarioEstacional</vt:lpstr>
      <vt:lpstr>ConCoberturaBuffer</vt:lpstr>
      <vt:lpstr>ConCoberturaInvProy</vt:lpstr>
      <vt:lpstr>ConCoberturaPedidMin</vt:lpstr>
      <vt:lpstr>ConCodigo</vt:lpstr>
      <vt:lpstr>ConColorFisico</vt:lpstr>
      <vt:lpstr>ConColorProyectado</vt:lpstr>
      <vt:lpstr>ConComportamiento</vt:lpstr>
      <vt:lpstr>ConComprometido</vt:lpstr>
      <vt:lpstr>ConConsumoAnualProyectado</vt:lpstr>
      <vt:lpstr>ConConsumoAnualProyectadoUsuario</vt:lpstr>
      <vt:lpstr>ConConsumoCalculado</vt:lpstr>
      <vt:lpstr>ConConsumoPromedio</vt:lpstr>
      <vt:lpstr>ConConsumoSemanalUsuario</vt:lpstr>
      <vt:lpstr>ConCTV</vt:lpstr>
      <vt:lpstr>ConCTVUsuario</vt:lpstr>
      <vt:lpstr>ConDescripcion</vt:lpstr>
      <vt:lpstr>ConEmbarcado</vt:lpstr>
      <vt:lpstr>ConEstatus</vt:lpstr>
      <vt:lpstr>ConEtapaEstacional</vt:lpstr>
      <vt:lpstr>ConFactorPico</vt:lpstr>
      <vt:lpstr>ConFactorPicoUsuario</vt:lpstr>
      <vt:lpstr>ConFisico</vt:lpstr>
      <vt:lpstr>ConFRep</vt:lpstr>
      <vt:lpstr>ConFrepUsuario</vt:lpstr>
      <vt:lpstr>ConGDB</vt:lpstr>
      <vt:lpstr>ConHorizonte</vt:lpstr>
      <vt:lpstr>ConInventarioProveedor</vt:lpstr>
      <vt:lpstr>ConInversion</vt:lpstr>
      <vt:lpstr>ConInversionUsuario</vt:lpstr>
      <vt:lpstr>ConNegociacion</vt:lpstr>
      <vt:lpstr>ConPedidoCalculado</vt:lpstr>
      <vt:lpstr>ConPedidoMinimo</vt:lpstr>
      <vt:lpstr>ConPedidoMinimoGrupo</vt:lpstr>
      <vt:lpstr>ConPedidoPromedio</vt:lpstr>
      <vt:lpstr>ConPerfil</vt:lpstr>
      <vt:lpstr>ConPicoCalculado</vt:lpstr>
      <vt:lpstr>ConPicoCB</vt:lpstr>
      <vt:lpstr>ConProduccion</vt:lpstr>
      <vt:lpstr>ConProveedor</vt:lpstr>
      <vt:lpstr>ConProyectado</vt:lpstr>
      <vt:lpstr>ConPVP</vt:lpstr>
      <vt:lpstr>ConPVPUsuario</vt:lpstr>
      <vt:lpstr>ConRentabilidad</vt:lpstr>
      <vt:lpstr>ConRentabilidadProyectada</vt:lpstr>
      <vt:lpstr>ConServicio</vt:lpstr>
      <vt:lpstr>ConsumoUsuario</vt:lpstr>
      <vt:lpstr>ConTransito</vt:lpstr>
      <vt:lpstr>ConTRep</vt:lpstr>
      <vt:lpstr>ConTrepUsuario</vt:lpstr>
      <vt:lpstr>ConTruputAnualProyectado</vt:lpstr>
      <vt:lpstr>ConTruputAnualProyectadoUsuario</vt:lpstr>
      <vt:lpstr>ConTruputUnitario</vt:lpstr>
      <vt:lpstr>ConTruputUnitarioUsuario</vt:lpstr>
      <vt:lpstr>ConUltimaTransferencia</vt:lpstr>
      <vt:lpstr>ConUltimoBuffer</vt:lpstr>
      <vt:lpstr>ConUltimoCambioBuffer</vt:lpstr>
      <vt:lpstr>ConUnidadEmpaque</vt:lpstr>
      <vt:lpstr>ConZonaAmarilla</vt:lpstr>
      <vt:lpstr>ConZonaRoja</vt:lpstr>
      <vt:lpstr>BuffHist!Criterios</vt:lpstr>
      <vt:lpstr>DIR</vt:lpstr>
      <vt:lpstr>DIRCOMPLETO</vt:lpstr>
      <vt:lpstr>DIRECTORIOBASEMC</vt:lpstr>
      <vt:lpstr>DIRPATHCOMPLETO</vt:lpstr>
      <vt:lpstr>EMPRES</vt:lpstr>
      <vt:lpstr>EMPRESABODEGA</vt:lpstr>
      <vt:lpstr>EMPRESABODEGA1</vt:lpstr>
      <vt:lpstr>EMPRESABODEGA2</vt:lpstr>
      <vt:lpstr>ErrBodegaNoCorresponde</vt:lpstr>
      <vt:lpstr>ErrCalendarioEstacional</vt:lpstr>
      <vt:lpstr>ErrFaltaFinal</vt:lpstr>
      <vt:lpstr>ErrFaltaInicio</vt:lpstr>
      <vt:lpstr>ErrFechaNoPresente</vt:lpstr>
      <vt:lpstr>ErrPerfilMalAsignado</vt:lpstr>
      <vt:lpstr>ErrPerfilNoCorresponde</vt:lpstr>
      <vt:lpstr>ErrProveedMalAsignado</vt:lpstr>
      <vt:lpstr>ErrProveedorNoCorresponde</vt:lpstr>
      <vt:lpstr>ErrRaros</vt:lpstr>
      <vt:lpstr>EXISTEFECHA</vt:lpstr>
      <vt:lpstr>Falta_Periodo</vt:lpstr>
      <vt:lpstr>Fecha_Calendario</vt:lpstr>
      <vt:lpstr>Fecha_Datos_Grafico</vt:lpstr>
      <vt:lpstr>FechaEnHorizonte</vt:lpstr>
      <vt:lpstr>FECHAINVFISICO</vt:lpstr>
      <vt:lpstr>FechaSeleccionada</vt:lpstr>
      <vt:lpstr>Fila_Cabecera_Control</vt:lpstr>
      <vt:lpstr>FINPERIODO</vt:lpstr>
      <vt:lpstr>FREC_REP</vt:lpstr>
      <vt:lpstr>FRep</vt:lpstr>
      <vt:lpstr>GUARDAROK</vt:lpstr>
      <vt:lpstr>HorizonteBodega</vt:lpstr>
      <vt:lpstr>HOY</vt:lpstr>
      <vt:lpstr>IDIOMA</vt:lpstr>
      <vt:lpstr>INIPERIODO</vt:lpstr>
      <vt:lpstr>EstacionalidadDatos!ListaBodegaPerfil</vt:lpstr>
      <vt:lpstr>Mal_Atendidos_Suministro!ListaBodegaPerfil</vt:lpstr>
      <vt:lpstr>ListaBodegaPerfil</vt:lpstr>
      <vt:lpstr>EstacionalidadDatos!ListaBodegaProveedor</vt:lpstr>
      <vt:lpstr>Mal_Atendidos_Suministro!ListaBodegaProveedor</vt:lpstr>
      <vt:lpstr>ListaBodegaProveedor</vt:lpstr>
      <vt:lpstr>Mal_Atendidos_Suministro!ListaNombresPedidoMinimo</vt:lpstr>
      <vt:lpstr>ListaNombresPedidoMinimo</vt:lpstr>
      <vt:lpstr>EstacionalidadDatos!ListaPerfiles</vt:lpstr>
      <vt:lpstr>Mal_Atendidos_Suministro!ListaPerfiles</vt:lpstr>
      <vt:lpstr>ListaPerfiles</vt:lpstr>
      <vt:lpstr>EstacionalidadDatos!ListaProveedores</vt:lpstr>
      <vt:lpstr>Mal_Atendidos_Suministro!ListaProveedores</vt:lpstr>
      <vt:lpstr>ListaProveedores</vt:lpstr>
      <vt:lpstr>Mas_menos</vt:lpstr>
      <vt:lpstr>MinFinalPeriodo</vt:lpstr>
      <vt:lpstr>MININICIO</vt:lpstr>
      <vt:lpstr>NOMBREPESTANA</vt:lpstr>
      <vt:lpstr>NOMBREPESTANA1</vt:lpstr>
      <vt:lpstr>NOMBREWORKBOOK</vt:lpstr>
      <vt:lpstr>NOMSIMPLIFICADO</vt:lpstr>
      <vt:lpstr>ObsNotables</vt:lpstr>
      <vt:lpstr>EstacionalidadDatos!ParametrosBodega</vt:lpstr>
      <vt:lpstr>EstacionalidadDatos!PerfilesPermitidos</vt:lpstr>
      <vt:lpstr>Mal_Atendidos_Suministro!PerfilesPermitidos</vt:lpstr>
      <vt:lpstr>PerfilesPermitidos</vt:lpstr>
      <vt:lpstr>PERIODO</vt:lpstr>
      <vt:lpstr>PicoCalculado</vt:lpstr>
      <vt:lpstr>PicoUsuario</vt:lpstr>
      <vt:lpstr>EstacionalidadDatos!ProveedoresPermitidos</vt:lpstr>
      <vt:lpstr>Mal_Atendidos_Suministro!ProveedoresPermitidos</vt:lpstr>
      <vt:lpstr>ProveedoresPermitidos</vt:lpstr>
      <vt:lpstr>Mal_Atendidos_Suministro!RangoCausas</vt:lpstr>
      <vt:lpstr>RangoCausas</vt:lpstr>
      <vt:lpstr>EstacionalidadDatos!SeleccionCalendarios</vt:lpstr>
      <vt:lpstr>Mal_Atendidos_Suministro!SeleccionCalendarios</vt:lpstr>
      <vt:lpstr>SeleccionCalendarios</vt:lpstr>
      <vt:lpstr>Mal_Atendidos_Suministro!SeleccionCalendariosNueva</vt:lpstr>
      <vt:lpstr>SeleccionCalendariosNueva</vt:lpstr>
      <vt:lpstr>sep_lis</vt:lpstr>
      <vt:lpstr>Servicio_Calculado</vt:lpstr>
      <vt:lpstr>TablaErrores</vt:lpstr>
      <vt:lpstr>tblDatosSinHistorial</vt:lpstr>
      <vt:lpstr>tblEmpresa</vt:lpstr>
      <vt:lpstr>tblEmpresaDatos</vt:lpstr>
      <vt:lpstr>TIEMPO_SUMINISTRO</vt:lpstr>
      <vt:lpstr>TRep</vt:lpstr>
      <vt:lpstr>US</vt:lpstr>
      <vt:lpstr>USUARIO</vt:lpstr>
    </vt:vector>
  </TitlesOfParts>
  <Company>Indurama S. 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Hoja de Control de Buffers</dc:subject>
  <dc:creator>Carlos Semanate</dc:creator>
  <cp:lastModifiedBy>Carlos Semanate</cp:lastModifiedBy>
  <cp:lastPrinted>2013-03-15T03:25:09Z</cp:lastPrinted>
  <dcterms:created xsi:type="dcterms:W3CDTF">2009-05-22T19:51:15Z</dcterms:created>
  <dcterms:modified xsi:type="dcterms:W3CDTF">2017-04-06T19:47:26Z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