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drawings/drawing5.xml" ContentType="application/vnd.openxmlformats-officedocument.drawing+xml"/>
  <Override PartName="/xl/activeX/activeX9.xml" ContentType="application/vnd.ms-office.activeX+xml"/>
  <Override PartName="/xl/activeX/activeX9.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drawings/drawing6.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7.xml" ContentType="application/vnd.openxmlformats-officedocument.drawing+xml"/>
  <Override PartName="/xl/activeX/activeX12.xml" ContentType="application/vnd.ms-office.activeX+xml"/>
  <Override PartName="/xl/activeX/activeX12.bin" ContentType="application/vnd.ms-office.activeX"/>
  <Override PartName="/xl/tables/table11.xml" ContentType="application/vnd.openxmlformats-officedocument.spreadsheetml.table+xml"/>
  <Override PartName="/xl/drawings/drawing8.xml" ContentType="application/vnd.openxmlformats-officedocument.drawing+xml"/>
  <Override PartName="/xl/activeX/activeX13.xml" ContentType="application/vnd.ms-office.activeX+xml"/>
  <Override PartName="/xl/activeX/activeX13.bin" ContentType="application/vnd.ms-office.activeX"/>
  <Override PartName="/xl/tables/table12.xml" ContentType="application/vnd.openxmlformats-officedocument.spreadsheetml.table+xml"/>
  <Override PartName="/xl/drawings/drawing9.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tables/table13.xml" ContentType="application/vnd.openxmlformats-officedocument.spreadsheetml.table+xml"/>
  <Override PartName="/xl/queryTables/queryTable2.xml" ContentType="application/vnd.openxmlformats-officedocument.spreadsheetml.queryTable+xml"/>
  <Override PartName="/xl/tables/table14.xml" ContentType="application/vnd.openxmlformats-officedocument.spreadsheetml.table+xml"/>
  <Override PartName="/xl/queryTables/queryTable3.xml" ContentType="application/vnd.openxmlformats-officedocument.spreadsheetml.queryTable+xml"/>
  <Override PartName="/xl/tables/table15.xml" ContentType="application/vnd.openxmlformats-officedocument.spreadsheetml.table+xml"/>
  <Override PartName="/xl/queryTables/queryTable4.xml" ContentType="application/vnd.openxmlformats-officedocument.spreadsheetml.queryTable+xml"/>
  <Override PartName="/xl/tables/table16.xml" ContentType="application/vnd.openxmlformats-officedocument.spreadsheetml.table+xml"/>
  <Override PartName="/xl/queryTables/queryTable5.xml" ContentType="application/vnd.openxmlformats-officedocument.spreadsheetml.queryTable+xml"/>
  <Override PartName="/xl/tables/table17.xml" ContentType="application/vnd.openxmlformats-officedocument.spreadsheetml.table+xml"/>
  <Override PartName="/xl/queryTables/queryTable6.xml" ContentType="application/vnd.openxmlformats-officedocument.spreadsheetml.queryTable+xml"/>
  <Override PartName="/xl/tables/table18.xml" ContentType="application/vnd.openxmlformats-officedocument.spreadsheetml.table+xml"/>
  <Override PartName="/xl/drawings/drawing10.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queryTables/queryTable7.xml" ContentType="application/vnd.openxmlformats-officedocument.spreadsheetml.queryTable+xml"/>
  <Override PartName="/xl/drawings/drawing11.xml" ContentType="application/vnd.openxmlformats-officedocument.drawing+xml"/>
  <Override PartName="/xl/ctrlProps/ctrlProp11.xml" ContentType="application/vnd.ms-excel.controlproperties+xml"/>
  <Override PartName="/xl/tables/table22.xml" ContentType="application/vnd.openxmlformats-officedocument.spreadsheetml.table+xml"/>
  <Override PartName="/xl/tables/table2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ocuments RAMCAS\RAM CAS\MEJORA CONTINUA\"/>
    </mc:Choice>
  </mc:AlternateContent>
  <bookViews>
    <workbookView xWindow="0" yWindow="0" windowWidth="11490" windowHeight="1740"/>
  </bookViews>
  <sheets>
    <sheet name="CENTROCONTROL" sheetId="1" r:id="rId1"/>
    <sheet name="DatosHojaCB" sheetId="36" state="veryHidden" r:id="rId2"/>
    <sheet name="INICIO" sheetId="35" state="veryHidden" r:id="rId3"/>
    <sheet name="Control_Buffers" sheetId="34" state="veryHidden" r:id="rId4"/>
    <sheet name="Login" sheetId="33" state="veryHidden" r:id="rId5"/>
    <sheet name="Ayuda" sheetId="32" state="veryHidden" r:id="rId6"/>
    <sheet name="Todas" sheetId="31" state="veryHidden" r:id="rId7"/>
    <sheet name="Fechas_Refrescado" sheetId="30" state="veryHidden" r:id="rId8"/>
    <sheet name="Directorios" sheetId="29" state="veryHidden" r:id="rId9"/>
    <sheet name="EMPRESA" sheetId="3" state="veryHidden" r:id="rId10"/>
    <sheet name="EMPRESABODEGA" sheetId="20" state="veryHidden" r:id="rId11"/>
    <sheet name="ARCHIVOSCB" sheetId="2" state="veryHidden" r:id="rId12"/>
    <sheet name="ARCHIVOSBODEGAS" sheetId="19" state="veryHidden" r:id="rId13"/>
    <sheet name="PERFIL" sheetId="21" state="veryHidden" r:id="rId14"/>
    <sheet name="PROVEEDORES" sheetId="18" state="veryHidden" r:id="rId15"/>
    <sheet name="DIAS_RESTANTES" sheetId="4" state="veryHidden" r:id="rId16"/>
    <sheet name="NUMERO_ITEMS" sheetId="5" state="veryHidden" r:id="rId17"/>
    <sheet name="TRANSFERENCIAS" sheetId="13" state="veryHidden" r:id="rId18"/>
    <sheet name="ITEMS_EMPRESA" sheetId="14" state="veryHidden" r:id="rId19"/>
    <sheet name="PATH" sheetId="15" state="veryHidden" r:id="rId20"/>
    <sheet name="AUX" sheetId="16" state="veryHidden" r:id="rId21"/>
    <sheet name="BorraTransfer" sheetId="17" state="veryHidden" r:id="rId22"/>
    <sheet name="ITEMS_SELECCIONADOS" sheetId="22" state="veryHidden" r:id="rId23"/>
    <sheet name="DURACION" sheetId="23" state="veryHidden" r:id="rId24"/>
    <sheet name="Parametros" sheetId="24" state="veryHidden" r:id="rId25"/>
    <sheet name="Alertas" sheetId="25" state="veryHidden" r:id="rId26"/>
    <sheet name="USER" sheetId="26" state="veryHidden" r:id="rId27"/>
    <sheet name="ArchivosPermitidos" sheetId="27" state="veryHidden" r:id="rId28"/>
  </sheets>
  <functionGroups builtInGroupCount="18"/>
  <externalReferences>
    <externalReference r:id="rId29"/>
  </externalReferences>
  <definedNames>
    <definedName name="_cboEmpresa_Range" localSheetId="0" hidden="1">{19.5,0,TRUE,3,63,99.75}</definedName>
    <definedName name="_cboSeleccion_Range" localSheetId="0" hidden="1">{21,732.75,TRUE,3,39,639.75}</definedName>
    <definedName name="_cmd_Actualiza_bd_Range" localSheetId="0" hidden="1">{19.5,871.5,TRUE,3,72,23.25}</definedName>
    <definedName name="_cmd_Alertas_Actuales_Range" localSheetId="0" hidden="1">{13.5,401.25,TRUE,3,135.75,27}</definedName>
    <definedName name="_cmd_refresca_items_Range" localSheetId="0" hidden="1">{20.25,297,TRUE,3,32.25,54}</definedName>
    <definedName name="_cmd_Refrescar_Alertas_Range" localSheetId="0" hidden="1">{13.5,402.75,TRUE,3,135.75,23.25}</definedName>
    <definedName name="_cmd_Reportaje_Range" localSheetId="0" hidden="1">{33.75,278.25,TRUE,3,61.5,75.75}</definedName>
    <definedName name="_cmdAyuda_Range" localSheetId="0" hidden="1">{22.5,429.75,TRUE,3,87.75,54.75}</definedName>
    <definedName name="_cmdBorrarTransferDadaBaja_Range" localSheetId="21"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{33.75,103.5,TRUE,3,61.5,69}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{13.5,583.5,TRUE,3,240.75,23.25}</definedName>
    <definedName name="_cmdMantenimiento_Range" localSheetId="0" hidden="1">{21,399,TRUE,3,32.25,93.75}</definedName>
    <definedName name="_cmdNoBorrar_Range" localSheetId="21" hidden="1">{40.5,11.25,TRUE,2,155.25,299.25}</definedName>
    <definedName name="_cmdNuevaTransfer_Range" localSheetId="0" hidden="1">{22.5,249.75,TRUE,3,61.5,27.75}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{20.25,237,TRUE,3,32.25,53.25}</definedName>
    <definedName name="_cmdTransferencias_Range" localSheetId="0" hidden="1">{33.75,174.75,TRUE,3,61.5,75}</definedName>
    <definedName name="_cmdTransferenciasActivas_Range" localSheetId="0" hidden="1">{22.5,249.75,TRUE,3,84.75,27.75}</definedName>
    <definedName name="_cmdVistas_Range" localSheetId="0" hidden="1">{18.75,205.5,TRUE,3,87.75,23.25}</definedName>
    <definedName name="_cmdVolver_Range" localSheetId="25" hidden="1">{21.75,1.5,TRUE,2,0.75,70.5}</definedName>
    <definedName name="_cmdVolver_Range" localSheetId="5" hidden="1">{22.5,108,TRUE,2,1.5,35.25}</definedName>
    <definedName name="_cmdVolver_Range" localSheetId="15" hidden="1">{21.75,468,TRUE,3,4.5,57.75}</definedName>
    <definedName name="_cmdVolver_Range" localSheetId="7" hidden="1">{29.25,0.75,TRUE,3,0,54}</definedName>
    <definedName name="_cmdVolver_Range" localSheetId="16" hidden="1">{21.75,510.75,TRUE,3,2.25,57.75}</definedName>
    <definedName name="_ComboBox1_Range" localSheetId="0" hidden="1">{21,14739.75,TRUE,3,269409,639.75}</definedName>
    <definedName name="_CommandButton1_Range" localSheetId="0" hidden="1">{45,15152.25,TRUE,3,269517,54.75}</definedName>
    <definedName name="_CommandButton2_Range" localSheetId="0" hidden="1">{19.5,14844,TRUE,3,269665.5,120}</definedName>
    <definedName name="_CommandButton3_Range" localSheetId="0" hidden="1">{19.5,14844,TRUE,3,269646,120}</definedName>
    <definedName name="_CommandButton4_Range" localSheetId="0" hidden="1">{19.5,14844,TRUE,3,269623.5,120}</definedName>
    <definedName name="_CommandButton5_Range" localSheetId="0" hidden="1">{21.75,14984.25,TRUE,2,269706,38.25}</definedName>
    <definedName name="_CommandButton6_Range" localSheetId="0" hidden="1">{19.5,14844,TRUE,3,269687.25,120}</definedName>
    <definedName name="_CommandButton7_Range" localSheetId="0" hidden="1">{45,14903.25,TRUE,3,269533.5,71.25}</definedName>
    <definedName name="_CommandButton8_Range" localSheetId="0" hidden="1">{19.5,14878.5,TRUE,3,269442,23.25}</definedName>
    <definedName name="_Label1_Range" localSheetId="0" hidden="1">{18,14839.5,TRUE,2,269706,102.75}</definedName>
    <definedName name="_lblBodegas_Range" localSheetId="0" hidden="1">{18,832.5,TRUE,2,336,102.75}</definedName>
    <definedName name="_ListBox1_Range" localSheetId="0" hidden="1">{141.75,14841.75,TRUE,3,269725.5,177}</definedName>
    <definedName name="_lstArchivos_Range" localSheetId="0" hidden="1">{149.25,699.75,TRUE,2,45,288}</definedName>
    <definedName name="_lstBodegas_Range" localSheetId="0" hidden="1">{200.25,834.75,TRUE,3,355.5,249.75}</definedName>
    <definedName name="_Refrescar_Alertas_Range" localSheetId="0" hidden="1">{13.5,402,TRUE,3,165,23.25}</definedName>
    <definedName name="ACTUALIZACIONBODEGA">CENTROCONTROL!$I$5</definedName>
    <definedName name="ACTUALIZACIONCONSUMO">CENTROCONTROL!$I$8</definedName>
    <definedName name="ACTUALIZACIONHISTRANSFER">CENTROCONTROL!$M$9</definedName>
    <definedName name="ACTUALIZACIONINVENTARIO">CENTROCONTROL!$I$7</definedName>
    <definedName name="ACTUALIZACIONPRODUCTO">CENTROCONTROL!$I$6</definedName>
    <definedName name="AlertaHojasCB">CENTROCONTROL!#REF!</definedName>
    <definedName name="BODEGAS">Tabla_EmpresaBodega[BODEGA]</definedName>
    <definedName name="Consulta_desde_Central_Control_Buffers" localSheetId="19" hidden="1">PATH!$G$1:$I$2</definedName>
    <definedName name="Consulta_desde_DatosConsolidados" localSheetId="18" hidden="1">ITEMS_EMPRESA!$A$1:$B$2</definedName>
    <definedName name="Consulta_desde_DatosConsolidados" localSheetId="19" hidden="1">PATH!$A$1:$D$2</definedName>
    <definedName name="Consulta_desde_DatosConsolidados_1" localSheetId="18" hidden="1">ITEMS_EMPRESA!$D$1:$D$2</definedName>
    <definedName name="Consulta_desde_ODBC_RAM_CAS" localSheetId="9" hidden="1">EMPRESA!$A$1:$A$3</definedName>
    <definedName name="Consulta_desde_ODBC_RAMCAS1" localSheetId="24" hidden="1">Parametros!$A$1:$B$6</definedName>
    <definedName name="Consulta_desde_ODBC_RAMCAS1" localSheetId="19" hidden="1">PATH!$K$1:$M$2</definedName>
    <definedName name="Consulta_desde_ODBC_RAMCAS1" localSheetId="14" hidden="1">PROVEEDORES!#REF!</definedName>
    <definedName name="DIR">Directorios!$A$1</definedName>
    <definedName name="DURACIONREFRESCADO">DURACION!$B$4</definedName>
    <definedName name="EMP">AUX!$R$1</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CENTROCONTROL!$CS$1</definedName>
    <definedName name="FINREFRESCADO">DURACION!$B$2</definedName>
    <definedName name="HojasCB_cla">USER!$B$4</definedName>
    <definedName name="HojasCB_user">USER!$A$4</definedName>
    <definedName name="HORAAPAGADO">CENTROCONTROL!$I$11</definedName>
    <definedName name="HORAIMPORTACION">CENTROCONTROL!$I$10</definedName>
    <definedName name="HORAREFRESCADO">CENTROCONTROL!$I$9</definedName>
    <definedName name="INICIOREFRESCADO">DURACION!$B$1</definedName>
    <definedName name="ItemsSeleccionados">tblItemsSeleccionados[]</definedName>
    <definedName name="MENSAJE">CENTROCONTROL!$B$1</definedName>
    <definedName name="PATH">ARCHIVOSCB[PATH]</definedName>
    <definedName name="Path_Transferencias_Batch">OFFSET(Tabla_Parametros[[#Headers],[par_valor1]],MATCH("Path Transferencias Batch",Tabla_Parametros[par_nombre],0),0,1,1)</definedName>
    <definedName name="PathExcel">CENTROCONTROL!#REF!</definedName>
    <definedName name="PATHTRANSFERENCIA">TRANSFERENCIAS!$AO$1</definedName>
    <definedName name="REFRESCADO">CENTROCONTROL!$I$3</definedName>
    <definedName name="TABLA">OFFSET(INICIO,0,0,COUNTA([1]TRANSFERENCIA!$A:$A)-4,COUNTA([1]TRANSFERENCIA!$8:$8))</definedName>
    <definedName name="TIPO">AUX!$A$1</definedName>
    <definedName name="TODAS">CENTROCONTROL!$GC$126</definedName>
    <definedName name="trae_Bodega">AUX!$U$1</definedName>
    <definedName name="trae_Consumo">AUX!$U$4</definedName>
    <definedName name="trae_Inventario">AUX!$U$3</definedName>
    <definedName name="trae_Producto">AUX!$U$2</definedName>
    <definedName name="Trans_Dada_Baja" comment="Sitio donde se almacena el path completo de la transferencia dada de baja recientemente">AUX!$B$1</definedName>
    <definedName name="transfer">BorraTransfer!$A$27</definedName>
    <definedName name="US">USER!$A$1</definedName>
    <definedName name="USUARIO">CENTROCONTROL!$GB$126</definedName>
    <definedName name="version">CENTROCONTROL!$J$1</definedName>
  </definedNames>
  <calcPr calcId="152511"/>
</workbook>
</file>

<file path=xl/calcChain.xml><?xml version="1.0" encoding="utf-8"?>
<calcChain xmlns="http://schemas.openxmlformats.org/spreadsheetml/2006/main">
  <c r="B1" i="1" l="1"/>
  <c r="U2" i="36"/>
  <c r="U3" i="36"/>
  <c r="U4" i="36"/>
  <c r="U5" i="36"/>
  <c r="U6" i="36"/>
  <c r="U7" i="36"/>
  <c r="T14" i="1"/>
  <c r="C14" i="1" s="1"/>
  <c r="T15" i="1"/>
  <c r="B15" i="1" s="1"/>
  <c r="C2" i="24"/>
  <c r="C3" i="24"/>
  <c r="C4" i="24"/>
  <c r="C5" i="24"/>
  <c r="C6" i="24"/>
  <c r="P14" i="1" l="1"/>
  <c r="L14" i="1"/>
  <c r="H14" i="1"/>
  <c r="S15" i="1"/>
  <c r="O15" i="1"/>
  <c r="M15" i="1"/>
  <c r="K15" i="1"/>
  <c r="I15" i="1"/>
  <c r="G15" i="1"/>
  <c r="E15" i="1"/>
  <c r="C15" i="1"/>
  <c r="R15" i="1"/>
  <c r="P15" i="1"/>
  <c r="Q15" i="1" s="1"/>
  <c r="N15" i="1"/>
  <c r="L15" i="1"/>
  <c r="J15" i="1"/>
  <c r="H15" i="1"/>
  <c r="F15" i="1"/>
  <c r="D15" i="1"/>
  <c r="R14" i="1"/>
  <c r="N14" i="1"/>
  <c r="J14" i="1"/>
  <c r="F14" i="1"/>
  <c r="D14" i="1"/>
  <c r="B14" i="1"/>
  <c r="S14" i="1"/>
  <c r="O14" i="1"/>
  <c r="M14" i="1"/>
  <c r="K14" i="1"/>
  <c r="I14" i="1"/>
  <c r="G14" i="1"/>
  <c r="E14" i="1"/>
  <c r="Q14" i="1" l="1"/>
  <c r="C4" i="30"/>
  <c r="G4" i="30"/>
  <c r="H4" i="30"/>
  <c r="K4" i="30"/>
  <c r="L4" i="30"/>
  <c r="M4" i="30"/>
  <c r="N4" i="30"/>
  <c r="O4" i="30"/>
  <c r="P4" i="30"/>
  <c r="Q4" i="30"/>
  <c r="I2" i="30"/>
  <c r="I3" i="30"/>
  <c r="I4" i="30" s="1"/>
  <c r="A59" i="34" l="1"/>
  <c r="A58" i="34"/>
  <c r="A57" i="34"/>
  <c r="A56" i="34"/>
  <c r="A55" i="34"/>
  <c r="A54" i="34"/>
  <c r="A53" i="34"/>
  <c r="A52" i="34"/>
  <c r="A51" i="34"/>
  <c r="A50" i="34"/>
  <c r="A49" i="34"/>
  <c r="A48" i="34"/>
  <c r="A47" i="34"/>
  <c r="A46" i="34"/>
  <c r="A45" i="34"/>
  <c r="A44" i="34"/>
  <c r="A43" i="34"/>
  <c r="P16" i="1" l="1"/>
  <c r="I8" i="1" l="1"/>
  <c r="I6" i="1"/>
  <c r="I7" i="1"/>
  <c r="I5" i="1"/>
  <c r="O16" i="1" l="1"/>
  <c r="B16" i="1"/>
  <c r="I3" i="1"/>
  <c r="A16" i="1" l="1"/>
  <c r="J16" i="1" l="1"/>
  <c r="I16" i="1"/>
  <c r="K16" i="1"/>
  <c r="M16" i="1"/>
  <c r="D16" i="1"/>
  <c r="L16" i="1"/>
  <c r="C16" i="1"/>
  <c r="Q16" i="1" l="1"/>
  <c r="H16" i="1"/>
  <c r="G16" i="1"/>
  <c r="F16" i="1"/>
  <c r="E16" i="1"/>
  <c r="A42" i="34" l="1"/>
  <c r="A41" i="34" l="1"/>
  <c r="A40" i="34"/>
  <c r="A39" i="34"/>
  <c r="A38" i="34"/>
  <c r="A37" i="34"/>
  <c r="A36" i="34"/>
  <c r="A35" i="34"/>
  <c r="A34" i="34"/>
  <c r="A33" i="34"/>
  <c r="A32" i="34"/>
  <c r="A31" i="34"/>
  <c r="A30" i="34"/>
  <c r="A29" i="34"/>
  <c r="A28" i="34"/>
  <c r="A27" i="34"/>
  <c r="A26" i="34"/>
  <c r="A25" i="34"/>
  <c r="A24" i="34"/>
  <c r="A23" i="34"/>
  <c r="A22" i="34"/>
  <c r="A21" i="34"/>
  <c r="A20" i="34"/>
  <c r="A19" i="34"/>
  <c r="A18" i="34"/>
  <c r="A17" i="34"/>
  <c r="A16" i="34"/>
  <c r="A15" i="34"/>
  <c r="A14" i="34"/>
  <c r="A13" i="34" l="1"/>
  <c r="A12" i="34"/>
  <c r="A11" i="34"/>
  <c r="A10" i="34"/>
  <c r="A9" i="34"/>
  <c r="A8" i="34" l="1"/>
  <c r="A7" i="34"/>
  <c r="A6" i="34"/>
  <c r="A5" i="34"/>
  <c r="A4" i="34"/>
  <c r="A2" i="34"/>
  <c r="A3" i="34"/>
  <c r="B4" i="5" l="1"/>
  <c r="C4" i="5"/>
  <c r="D4" i="5"/>
  <c r="A9" i="1" l="1"/>
  <c r="D11" i="1" l="1"/>
  <c r="D9" i="1" l="1"/>
  <c r="E8" i="1"/>
  <c r="D8" i="1"/>
  <c r="B10" i="1" l="1"/>
  <c r="B9" i="1"/>
  <c r="A10" i="1" l="1"/>
  <c r="A1" i="29" l="1"/>
  <c r="B4" i="23" l="1"/>
  <c r="D10" i="1" l="1"/>
  <c r="I4" i="1" l="1"/>
  <c r="A4" i="17" l="1"/>
</calcChain>
</file>

<file path=xl/comments1.xml><?xml version="1.0" encoding="utf-8"?>
<comments xmlns="http://schemas.openxmlformats.org/spreadsheetml/2006/main">
  <authors>
    <author>RAMCAS</author>
    <author>Carlos Semanate</author>
  </authors>
  <commentList>
    <comment ref="CS1" authorId="0" shapeId="0">
      <text>
        <r>
          <rPr>
            <b/>
            <sz val="9"/>
            <color indexed="81"/>
            <rFont val="Tahoma"/>
            <family val="2"/>
          </rPr>
          <t>RAMCAS:</t>
        </r>
        <r>
          <rPr>
            <sz val="9"/>
            <color indexed="81"/>
            <rFont val="Tahoma"/>
            <family val="2"/>
          </rPr>
          <t xml:space="preserve">
Fecha en la cual se ha hecho el refrescado completo.</t>
        </r>
      </text>
    </comment>
    <comment ref="A3" authorId="0" shapeId="0">
      <text>
        <r>
          <rPr>
            <b/>
            <sz val="9"/>
            <color indexed="81"/>
            <rFont val="Tahoma"/>
            <family val="2"/>
          </rPr>
          <t>RAMCAS:</t>
        </r>
        <r>
          <rPr>
            <sz val="9"/>
            <color indexed="81"/>
            <rFont val="Tahoma"/>
            <family val="2"/>
          </rPr>
          <t xml:space="preserve">
Ingresa a la selección de un nuevo usuario.</t>
        </r>
      </text>
    </comment>
    <comment ref="D3" authorId="0" shapeId="0">
      <text>
        <r>
          <rPr>
            <b/>
            <sz val="9"/>
            <color indexed="81"/>
            <rFont val="Tahoma"/>
            <family val="2"/>
          </rPr>
          <t>RAMCAS:</t>
        </r>
        <r>
          <rPr>
            <sz val="9"/>
            <color indexed="81"/>
            <rFont val="Tahoma"/>
            <family val="2"/>
          </rPr>
          <t xml:space="preserve">
Sincroniza Ítems. Compara los ítems presentes en los datos enviados por el ERP con los ítems presentes en RAMCAS, y arroja las diferencias para poder insertar nuevos ítems recientemente creados.</t>
        </r>
      </text>
    </comment>
    <comment ref="I3"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A4" authorId="0" shapeId="0">
      <text>
        <r>
          <rPr>
            <b/>
            <sz val="9"/>
            <color indexed="81"/>
            <rFont val="Tahoma"/>
            <family val="2"/>
          </rPr>
          <t>RAMCAS:</t>
        </r>
        <r>
          <rPr>
            <sz val="9"/>
            <color indexed="81"/>
            <rFont val="Tahoma"/>
            <family val="2"/>
          </rPr>
          <t xml:space="preserve">
Usuario activo.</t>
        </r>
      </text>
    </comment>
    <comment ref="I4" authorId="0" shapeId="0">
      <text>
        <r>
          <rPr>
            <b/>
            <sz val="9"/>
            <color indexed="81"/>
            <rFont val="Tahoma"/>
            <family val="2"/>
          </rPr>
          <t>RAMCAS:</t>
        </r>
        <r>
          <rPr>
            <sz val="9"/>
            <color indexed="81"/>
            <rFont val="Tahoma"/>
            <family val="2"/>
          </rPr>
          <t xml:space="preserve">
Duración del Refrescado Completo.</t>
        </r>
      </text>
    </comment>
    <comment ref="I5" authorId="0" shapeId="0">
      <text>
        <r>
          <rPr>
            <b/>
            <sz val="9"/>
            <color indexed="81"/>
            <rFont val="Tahoma"/>
            <family val="2"/>
          </rPr>
          <t>RAMCAS:</t>
        </r>
        <r>
          <rPr>
            <sz val="9"/>
            <color indexed="81"/>
            <rFont val="Tahoma"/>
            <family val="2"/>
          </rPr>
          <t xml:space="preserve">
Fecha de actualización del archivo bodega.txt provisto por el ERP.</t>
        </r>
      </text>
    </comment>
    <comment ref="I6" authorId="0" shapeId="0">
      <text>
        <r>
          <rPr>
            <b/>
            <sz val="9"/>
            <color indexed="81"/>
            <rFont val="Tahoma"/>
            <family val="2"/>
          </rPr>
          <t>RAMCAS:</t>
        </r>
        <r>
          <rPr>
            <sz val="9"/>
            <color indexed="81"/>
            <rFont val="Tahoma"/>
            <family val="2"/>
          </rPr>
          <t xml:space="preserve">
Fecha de actualización del archivo producto.txt provisto por el ERP.</t>
        </r>
      </text>
    </comment>
    <comment ref="I7" authorId="0" shapeId="0">
      <text>
        <r>
          <rPr>
            <b/>
            <sz val="9"/>
            <color indexed="81"/>
            <rFont val="Tahoma"/>
            <family val="2"/>
          </rPr>
          <t>RAMCAS:</t>
        </r>
        <r>
          <rPr>
            <sz val="9"/>
            <color indexed="81"/>
            <rFont val="Tahoma"/>
            <family val="2"/>
          </rPr>
          <t xml:space="preserve">
Fecha de actualización del archivo inventario.txt provisto por el ERP.</t>
        </r>
      </text>
    </comment>
    <comment ref="D8"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8" authorId="0" shapeId="0">
      <text>
        <r>
          <rPr>
            <b/>
            <sz val="9"/>
            <color indexed="81"/>
            <rFont val="Tahoma"/>
            <family val="2"/>
          </rPr>
          <t>RAMCAS:</t>
        </r>
        <r>
          <rPr>
            <sz val="9"/>
            <color indexed="81"/>
            <rFont val="Tahoma"/>
            <family val="2"/>
          </rPr>
          <t xml:space="preserve">
Fecha de actualización del archivo consumo.txt provisto por el ERP.</t>
        </r>
      </text>
    </comment>
    <comment ref="A9"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9"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9"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A10"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0" authorId="1" shapeId="0">
      <text>
        <r>
          <rPr>
            <b/>
            <sz val="9"/>
            <color indexed="81"/>
            <rFont val="Tahoma"/>
            <family val="2"/>
          </rPr>
          <t>Carlos Semanate:</t>
        </r>
        <r>
          <rPr>
            <sz val="9"/>
            <color indexed="81"/>
            <rFont val="Tahoma"/>
            <family val="2"/>
          </rPr>
          <t xml:space="preserve">
Hora a la cual se importan automáticamente los datos del ERP a RAMCAS.</t>
        </r>
      </text>
    </comment>
    <comment ref="E11"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1" authorId="0" shapeId="0">
      <text>
        <r>
          <rPr>
            <b/>
            <sz val="9"/>
            <color indexed="81"/>
            <rFont val="Tahoma"/>
            <family val="2"/>
          </rPr>
          <t>RAMCAS:</t>
        </r>
        <r>
          <rPr>
            <sz val="9"/>
            <color indexed="81"/>
            <rFont val="Tahoma"/>
            <family val="2"/>
          </rPr>
          <t xml:space="preserve">
Hora a la cual se apaga automáticamente CCB.</t>
        </r>
      </text>
    </comment>
    <comment ref="A13" authorId="0" shapeId="0">
      <text>
        <r>
          <rPr>
            <b/>
            <sz val="9"/>
            <color indexed="81"/>
            <rFont val="Tahoma"/>
            <family val="2"/>
          </rPr>
          <t>RAMCAS:</t>
        </r>
        <r>
          <rPr>
            <sz val="9"/>
            <color indexed="81"/>
            <rFont val="Tahoma"/>
            <family val="2"/>
          </rPr>
          <t xml:space="preserve">
Nombre de las Hojas CB permitidas para el presente usuario. Para abrir una de ellas puede darse doble click sobre el nombre. Para abrir una o más, se selecciona una o varias y se aplasta el ícono de la carpeta amarilla.
El listado se refresca cuando se abre CCB o cuando se cambia de empresa o cuando se presiona el ícono del listado con checks.</t>
        </r>
      </text>
    </comment>
    <comment ref="B13" authorId="0" shapeId="0">
      <text>
        <r>
          <rPr>
            <b/>
            <sz val="9"/>
            <color indexed="81"/>
            <rFont val="Tahoma"/>
            <family val="2"/>
          </rPr>
          <t>RAMCAS:</t>
        </r>
        <r>
          <rPr>
            <sz val="9"/>
            <color indexed="81"/>
            <rFont val="Tahoma"/>
            <family val="2"/>
          </rPr>
          <t xml:space="preserve">
Número de Alertas que hay en la respectiva Hoja CB. A mayor número de alertas, mayor es la probabilidad de encontrar errores u omisiones del Controlador de Buffers con respecto a su gestión. Sin embargo, no es menos importante tomar en cuenta que hay alertas de diferentes naturalezas que no se tratan de igual forma que otras.</t>
        </r>
      </text>
    </comment>
    <comment ref="C13" authorId="0" shapeId="0">
      <text>
        <r>
          <rPr>
            <b/>
            <sz val="9"/>
            <color indexed="81"/>
            <rFont val="Tahoma"/>
            <family val="2"/>
          </rPr>
          <t>RAMCAS:</t>
        </r>
        <r>
          <rPr>
            <sz val="9"/>
            <color indexed="81"/>
            <rFont val="Tahoma"/>
            <family val="2"/>
          </rPr>
          <t xml:space="preserve">
Es el valor total de los buffers de la presente Hoja CB. Se multiplica el buffer de cada ítem presente en la hoja por su CTV obteniendo así el costo del buffer de cada ítem, y se hace la sumatoria de todos los costos individuales para encontrar el valor aquí presente.</t>
        </r>
      </text>
    </comment>
    <comment ref="D13" authorId="0" shapeId="0">
      <text>
        <r>
          <rPr>
            <b/>
            <sz val="9"/>
            <color indexed="81"/>
            <rFont val="Tahoma"/>
            <family val="2"/>
          </rPr>
          <t>RAMCAS:</t>
        </r>
        <r>
          <rPr>
            <sz val="9"/>
            <color indexed="81"/>
            <rFont val="Tahoma"/>
            <family val="2"/>
          </rPr>
          <t xml:space="preserve">
Es el valor total del inventario físico de la presente Hoja CB. Se multiplica el inventario físico de cada ítem presente en la hoja por su CTV obteniendo así el costo del inventario físico de cada ítem, y se hace la sumatoria de todos los costos individuales para encontrar el valor aquí presente.</t>
        </r>
      </text>
    </comment>
    <comment ref="E13" authorId="0" shapeId="0">
      <text>
        <r>
          <rPr>
            <b/>
            <sz val="9"/>
            <color indexed="81"/>
            <rFont val="Tahoma"/>
            <family val="2"/>
          </rPr>
          <t>RAMCAS:</t>
        </r>
        <r>
          <rPr>
            <sz val="9"/>
            <color indexed="81"/>
            <rFont val="Tahoma"/>
            <family val="2"/>
          </rPr>
          <t xml:space="preserve">
Es el valor total del tránsito de la presente Hoja CB. Se multiplica la cantidad en tránsito de cada ítem presente en la hoja por su CTV obteniendo así el costo del tránsito de cada ítem, y se hace la sumatoria de todos los costos individuales para encontrar el valor aquí presente.</t>
        </r>
      </text>
    </comment>
    <comment ref="F13" authorId="0" shapeId="0">
      <text>
        <r>
          <rPr>
            <b/>
            <sz val="9"/>
            <color indexed="81"/>
            <rFont val="Tahoma"/>
            <family val="2"/>
          </rPr>
          <t>RAMCAS:</t>
        </r>
        <r>
          <rPr>
            <sz val="9"/>
            <color indexed="81"/>
            <rFont val="Tahoma"/>
            <family val="2"/>
          </rPr>
          <t xml:space="preserve">
Es el valor total del inventario Comprometido de la presente Hoja CB. Se multiplica el inventario Comprometido de cada ítem presente en la hoja por su CTV obteniendo así el costo del Comprometido de cada ítem, y se hace la sumatoria de todos los costos individuales para encontrar el valor aquí presente.</t>
        </r>
      </text>
    </comment>
    <comment ref="G13" authorId="0" shapeId="0">
      <text>
        <r>
          <rPr>
            <b/>
            <sz val="9"/>
            <color indexed="81"/>
            <rFont val="Tahoma"/>
            <family val="2"/>
          </rPr>
          <t>RAMCAS:</t>
        </r>
        <r>
          <rPr>
            <sz val="9"/>
            <color indexed="81"/>
            <rFont val="Tahoma"/>
            <family val="2"/>
          </rPr>
          <t xml:space="preserve">
Es el valor total del inventario en Backorder de la presente Hoja CB. Se multiplica el inventario en Backorder de cada ítem presente en la hoja por su CTV obteniendo así el costo del Backorder de cada ítem, y se hace la sumatoria de todos los costos individuales para encontrar el valor aquí presente.</t>
        </r>
      </text>
    </comment>
    <comment ref="H13" authorId="0" shapeId="0">
      <text>
        <r>
          <rPr>
            <b/>
            <sz val="9"/>
            <color indexed="81"/>
            <rFont val="Tahoma"/>
            <family val="2"/>
          </rPr>
          <t>RAMCAS:</t>
        </r>
        <r>
          <rPr>
            <sz val="9"/>
            <color indexed="81"/>
            <rFont val="Tahoma"/>
            <family val="2"/>
          </rPr>
          <t xml:space="preserve">
Es el costo del Inventario Proyectado de la presente Hoja CB.Se obtiene de la siguiente operación aritmética:
COSTO FÍSICO + COSTO TRÁNSITO - COSTO COMPROMETIDO + COSTO BACKORDER</t>
        </r>
      </text>
    </comment>
    <comment ref="I13" authorId="0" shapeId="0">
      <text>
        <r>
          <rPr>
            <b/>
            <sz val="9"/>
            <color indexed="81"/>
            <rFont val="Tahoma"/>
            <family val="2"/>
          </rPr>
          <t>RAMCAS:</t>
        </r>
        <r>
          <rPr>
            <sz val="9"/>
            <color indexed="81"/>
            <rFont val="Tahoma"/>
            <family val="2"/>
          </rPr>
          <t xml:space="preserve">
Es el COSTO FÍSICO + COSTO TRÁNSITO.</t>
        </r>
      </text>
    </comment>
    <comment ref="J13" authorId="0" shapeId="0">
      <text>
        <r>
          <rPr>
            <b/>
            <sz val="9"/>
            <color indexed="81"/>
            <rFont val="Tahoma"/>
            <family val="2"/>
          </rPr>
          <t>RAMCAS:</t>
        </r>
        <r>
          <rPr>
            <sz val="9"/>
            <color indexed="81"/>
            <rFont val="Tahoma"/>
            <family val="2"/>
          </rPr>
          <t xml:space="preserve">
Es el número total de SKUs que existen en la Hoja CB. Cada SKU corresponde a un ítem en una bodega.
Por ejemplo: Si hay un ítem en 5 bodegas en la presente hoja, entonces habrían 5 SKUs, cada uno con su respectivos datos como buffer, inventario físico, tránsito, etc.</t>
        </r>
      </text>
    </comment>
    <comment ref="K13" authorId="0" shapeId="0">
      <text>
        <r>
          <rPr>
            <b/>
            <sz val="9"/>
            <color indexed="81"/>
            <rFont val="Tahoma"/>
            <family val="2"/>
          </rPr>
          <t>RAMCAS:</t>
        </r>
        <r>
          <rPr>
            <sz val="9"/>
            <color indexed="81"/>
            <rFont val="Tahoma"/>
            <family val="2"/>
          </rPr>
          <t xml:space="preserve">
Número de SKUs que tienen buffer, es decir que su buffer es mayor a cero. Cabe recordar que los ítems que tienen buffer cero tienen asignado el color Gris.</t>
        </r>
      </text>
    </comment>
    <comment ref="L13" authorId="0" shapeId="0">
      <text>
        <r>
          <rPr>
            <b/>
            <sz val="9"/>
            <color indexed="81"/>
            <rFont val="Tahoma"/>
            <family val="2"/>
          </rPr>
          <t>RAMCAS:</t>
        </r>
        <r>
          <rPr>
            <sz val="9"/>
            <color indexed="81"/>
            <rFont val="Tahoma"/>
            <family val="2"/>
          </rPr>
          <t xml:space="preserve">
El número de días que guarda el historial del buffer en la presente hoja. Un número muy alto indica que no se están borrando automáticamente las columnas innecesarias.</t>
        </r>
      </text>
    </comment>
    <comment ref="M13" authorId="0" shapeId="0">
      <text>
        <r>
          <rPr>
            <b/>
            <sz val="9"/>
            <color indexed="81"/>
            <rFont val="Tahoma"/>
            <family val="2"/>
          </rPr>
          <t>RAMCAS:</t>
        </r>
        <r>
          <rPr>
            <sz val="9"/>
            <color indexed="81"/>
            <rFont val="Tahoma"/>
            <family val="2"/>
          </rPr>
          <t xml:space="preserve">
Es el número de ítems en la hoja que no sólo están presentes ahí, sino en otra hoja. Aparece en la respectiva Hoja CB una alerta que indica qué ítems hay que revisar para dejarlo sólo en la Hoja CB que corresponda.</t>
        </r>
      </text>
    </comment>
    <comment ref="N13" authorId="0" shapeId="0">
      <text>
        <r>
          <rPr>
            <b/>
            <sz val="9"/>
            <color indexed="81"/>
            <rFont val="Tahoma"/>
            <family val="2"/>
          </rPr>
          <t>RAMCAS:</t>
        </r>
        <r>
          <rPr>
            <sz val="9"/>
            <color indexed="81"/>
            <rFont val="Tahoma"/>
            <family val="2"/>
          </rPr>
          <t xml:space="preserve">
Indica si la última vez que se hizo el refrescado de la presente Hoja CB éste fue exitoso o no.
Hay dos indicadores separados por un guión, y con posibles números de 1 y 0.
El primer indicador es si la Hoja CB se refrescó correctamente, y el segundo es si los datos de la Hoja CB se subieron correctamente a la Base de Datos de RAMCAS.
Para considerarse como totalmente exitoso un refrescado, tiene que tener ambos 1, es decir, tiene que aparecer 1 - 1. Cualquier otra combinación no es aceptable y hay que entrar a ver las causas.
Una hoja puede no refrescarse porque le faltan llenar parámetros obligatorios o porque hay algún error en algún dato.</t>
        </r>
      </text>
    </comment>
    <comment ref="O13" authorId="0" shapeId="0">
      <text>
        <r>
          <rPr>
            <b/>
            <sz val="9"/>
            <color indexed="81"/>
            <rFont val="Tahoma"/>
            <family val="2"/>
          </rPr>
          <t>RAMCAS:</t>
        </r>
        <r>
          <rPr>
            <sz val="9"/>
            <color indexed="81"/>
            <rFont val="Tahoma"/>
            <family val="2"/>
          </rPr>
          <t xml:space="preserve">
La fecha y hora en la que se comenzó el último refrescado de la Presente Hoja CB.</t>
        </r>
      </text>
    </comment>
    <comment ref="P13" authorId="0" shapeId="0">
      <text>
        <r>
          <rPr>
            <b/>
            <sz val="9"/>
            <color indexed="81"/>
            <rFont val="Tahoma"/>
            <family val="2"/>
          </rPr>
          <t>RAMCAS:</t>
        </r>
        <r>
          <rPr>
            <sz val="9"/>
            <color indexed="81"/>
            <rFont val="Tahoma"/>
            <family val="2"/>
          </rPr>
          <t xml:space="preserve">
La fecha y hora en la que se terminó el último refrescado de la presente Hoja CB.</t>
        </r>
      </text>
    </comment>
    <comment ref="Q13" authorId="0" shapeId="0">
      <text>
        <r>
          <rPr>
            <b/>
            <sz val="9"/>
            <color indexed="81"/>
            <rFont val="Tahoma"/>
            <family val="2"/>
          </rPr>
          <t>RAMCAS:</t>
        </r>
        <r>
          <rPr>
            <sz val="9"/>
            <color indexed="81"/>
            <rFont val="Tahoma"/>
            <family val="2"/>
          </rPr>
          <t xml:space="preserve">
La duración del último refrescado de la presente Hoja CB.</t>
        </r>
      </text>
    </comment>
    <comment ref="R13" authorId="0" shapeId="0">
      <text>
        <r>
          <rPr>
            <b/>
            <sz val="9"/>
            <color indexed="81"/>
            <rFont val="Tahoma"/>
            <family val="2"/>
          </rPr>
          <t>RAMCAS:</t>
        </r>
        <r>
          <rPr>
            <sz val="9"/>
            <color indexed="81"/>
            <rFont val="Tahoma"/>
            <family val="2"/>
          </rPr>
          <t xml:space="preserve">
La fecha y hoja en la que se guardó por última vez la presente Hoja CB.</t>
        </r>
      </text>
    </comment>
    <comment ref="S13" authorId="0" shapeId="0">
      <text>
        <r>
          <rPr>
            <b/>
            <sz val="9"/>
            <color indexed="81"/>
            <rFont val="Tahoma"/>
            <family val="2"/>
          </rPr>
          <t>RAMCAS:</t>
        </r>
        <r>
          <rPr>
            <sz val="9"/>
            <color indexed="81"/>
            <rFont val="Tahoma"/>
            <family val="2"/>
          </rPr>
          <t xml:space="preserve">
Descripción verbal de la razón por la cual no se pudo refrescar exitosamente la presente Hoja CB.</t>
        </r>
      </text>
    </comment>
    <comment ref="T13" authorId="0" shapeId="0">
      <text>
        <r>
          <rPr>
            <b/>
            <sz val="9"/>
            <color indexed="81"/>
            <rFont val="Tahoma"/>
            <family val="2"/>
          </rPr>
          <t>RAMCAS:</t>
        </r>
        <r>
          <rPr>
            <sz val="9"/>
            <color indexed="81"/>
            <rFont val="Tahoma"/>
            <family val="2"/>
          </rPr>
          <t xml:space="preserve">
Sincroniza Ítems. Compara los ítems presentes en los datos enviados por el ERP con los ítems presentes en RAMCAS, y arroja las diferencias para poder insertar nuevos ítems recientemente creados.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<sst xmlns="http://schemas.openxmlformats.org/spreadsheetml/2006/main" count="541" uniqueCount="297">
  <si>
    <t>AGROTA</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</si>
  <si>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</si>
  <si>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</si>
  <si>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</si>
  <si>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</si>
  <si>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</si>
  <si>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</si>
  <si>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</si>
  <si>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</si>
  <si>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</si>
  <si>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</si>
  <si>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</si>
  <si>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</si>
  <si>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</si>
  <si>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FREC REP</t>
  </si>
  <si>
    <t>TIEMP SUMINIS</t>
  </si>
  <si>
    <t>Codigo</t>
  </si>
  <si>
    <t>Descripcion</t>
  </si>
  <si>
    <t>Grupo</t>
  </si>
  <si>
    <t>Linea</t>
  </si>
  <si>
    <t>Bodega</t>
  </si>
  <si>
    <t>Empresa</t>
  </si>
  <si>
    <t>Bodega Recortada</t>
  </si>
  <si>
    <t>T NIV SER (DIAS)</t>
  </si>
  <si>
    <t>HORIZONTE</t>
  </si>
  <si>
    <t>SUKAMPO</t>
  </si>
  <si>
    <t>CENTRAL.xlsm</t>
  </si>
  <si>
    <t>TabARCHIVO</t>
  </si>
  <si>
    <t>Proveedor</t>
  </si>
  <si>
    <t>Prioridad</t>
  </si>
  <si>
    <t>DÍAS RESTANTES POR ARCHIVO</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</si>
  <si>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</si>
  <si>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</si>
  <si>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</si>
  <si>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</si>
  <si>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</si>
  <si>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</si>
  <si>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</si>
  <si>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</si>
  <si>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</si>
  <si>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</si>
  <si>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</si>
  <si>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</si>
  <si>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</si>
  <si>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</si>
  <si>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</si>
  <si>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</si>
  <si>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</si>
  <si>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Fecha Consumo</t>
  </si>
  <si>
    <t>Hora Apagado</t>
  </si>
  <si>
    <t>% ITEMS CON BUFFER</t>
  </si>
  <si>
    <t>Path Transferencias Batch</t>
  </si>
  <si>
    <t>Path Buffers Consolidados</t>
  </si>
  <si>
    <t>Path Exportación Datos Consolidados</t>
  </si>
  <si>
    <t>Autenticación Hojas CB</t>
  </si>
  <si>
    <t>O:</t>
  </si>
  <si>
    <t>DISMA</t>
  </si>
  <si>
    <t>BDG. DE PRODUCTO TERMI PLANTA</t>
  </si>
  <si>
    <t>H233C100</t>
  </si>
  <si>
    <t>DATOS MANUALES</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</si>
  <si>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</si>
  <si>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</si>
  <si>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</si>
  <si>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</si>
  <si>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</si>
  <si>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</si>
  <si>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</si>
  <si>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</si>
  <si>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</si>
  <si>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</si>
  <si>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</si>
  <si>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</si>
  <si>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</si>
  <si>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</si>
  <si>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Total</t>
  </si>
  <si>
    <t>Nivel de Servicio Calculado</t>
  </si>
  <si>
    <t>0</t>
  </si>
  <si>
    <t>PedidCalc Más o Menos</t>
  </si>
  <si>
    <t>TOTALES</t>
  </si>
  <si>
    <t>RAZÓN</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</si>
  <si>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</si>
  <si>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</si>
  <si>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</si>
  <si>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</si>
  <si>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</si>
  <si>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</si>
  <si>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</si>
  <si>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</si>
  <si>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</si>
  <si>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</si>
  <si>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</si>
  <si>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</si>
  <si>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</si>
  <si>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</si>
  <si>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</si>
  <si>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</si>
  <si>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</si>
  <si>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</si>
  <si>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</si>
  <si>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</si>
  <si>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</si>
  <si>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</si>
  <si>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</si>
  <si>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</si>
  <si>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</si>
  <si>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</si>
  <si>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</si>
  <si>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</si>
  <si>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</si>
  <si>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</si>
  <si>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C:\Users\RAMCAS\Desktop</t>
  </si>
  <si>
    <t>Atajo para crear una nueva transferencia.</t>
  </si>
  <si>
    <t>Hora Importación Datos</t>
  </si>
  <si>
    <t>Todas</t>
  </si>
  <si>
    <t>Tipo</t>
  </si>
  <si>
    <t>Indicación</t>
  </si>
  <si>
    <t>ID</t>
  </si>
  <si>
    <t>¿Hay nuevas reposiciones por hacer el día de hoy?</t>
  </si>
  <si>
    <t>¿Están correctamente actualizados los tránsitos, backorders y comprometidos?</t>
  </si>
  <si>
    <t>¿Se están haciendo las reposiciones de acuerdo a los requerimientos reales?</t>
  </si>
  <si>
    <t>¿Están presentes todos los ítems que tienen que estar bajo control de buffers?</t>
  </si>
  <si>
    <t>Las reposiciones tienen que hacerse lo más frecuentemente posible.</t>
  </si>
  <si>
    <t>Los ítems con malas reposiciones apagan la Gestión Dinámica de Buffers.</t>
  </si>
  <si>
    <t>¿Hay que dimensionar nuevos buffers? Utilizar el Simulador de Buffers.</t>
  </si>
  <si>
    <t>Hacer Gestión de Buffers todos los días, así se mantiene sano al sistema.</t>
  </si>
  <si>
    <t>¿Señales contradictorias en la Gestión de Buffers? Usar el gráfico para orientarse.</t>
  </si>
  <si>
    <t>Crear o editar las Vistas de las Hojas CB para mejorar el flujo de trabajo.</t>
  </si>
  <si>
    <t>Un nuevo usuario debe tener permisos en la empresa, en la hoja cb y en la bodega.</t>
  </si>
  <si>
    <t>Actualizar tránsitos, backorders y comprometidos antes de crear una transferencia.</t>
  </si>
  <si>
    <t>¿Ya llegó una transferencia? No olvidarse de darla de baja.</t>
  </si>
  <si>
    <t>Los parámetros son los datos que el Controlador de Buffers llena en las Hojas CB.</t>
  </si>
  <si>
    <t>¿Se están posponiendo muchas alertas? Comunicar las causas.</t>
  </si>
  <si>
    <t>¿Se están creando procesos fuera de la disciplina del buffer? Comunicar las causas.</t>
  </si>
  <si>
    <t>¿Un proveedor se demora mucho en entregar? Buscar alternativas.</t>
  </si>
  <si>
    <t>A más tiempo de reposición, se necesitará un buffer más grande.</t>
  </si>
  <si>
    <t>Buffers más grandes significa una mayor inversión para la empresa en ese ítem.</t>
  </si>
  <si>
    <t>Al presentarse un problema, comunicarlo inmediatamente antes que éste crezca.</t>
  </si>
  <si>
    <t>¿Ha cambiado la frecuencia de reposición? Cambiarlo inmediatamente en el perfil.</t>
  </si>
  <si>
    <t>¿Ha cambiado el tiempo de suministro? Cambiarlo inmediatamente en el perfil.</t>
  </si>
  <si>
    <t>¿La GDB no estabiliza adecuadamente un buffer? Recalcular el buffer simulando.</t>
  </si>
  <si>
    <t>El buffer da mucha información siempre y cuando se mantenga la disciplina.</t>
  </si>
  <si>
    <t>El tamaño del buffer es el punto de control para definir el tamaño de las reposiciones.</t>
  </si>
  <si>
    <t>¿Se están haciendo muchas reposiciones fuera de la necesidad del buffer? Alerta.</t>
  </si>
  <si>
    <t>¿Se están haciendo caso a las Alertas de las Hojas CB?</t>
  </si>
  <si>
    <t>¿Se están utilizando los botones de desplazamiento para recorrer fácilmente las hojas?</t>
  </si>
  <si>
    <t>La descripción de cada campo de la Hoja CB se encuentra en un comentario en las cabeceras.</t>
  </si>
  <si>
    <t>¿Hay medidas en la empresa que dañen la disponibilidad? Comunicar inmediatamente.</t>
  </si>
  <si>
    <t>¿Hay medidas en la empresa que provoquen sobre inventario? Comunicar inmediatamente.</t>
  </si>
  <si>
    <t xml:space="preserve">Un buen Controlador de Buffers mantiene una correcta Disponibilidad de los ítems. </t>
  </si>
  <si>
    <t>¿No se puede cumplir con la frecuencia de reposición establecida? Comunicar.</t>
  </si>
  <si>
    <t>Cuando ya una transferencia llegue y forme parte del inventario físico, darla de baja.</t>
  </si>
  <si>
    <t>La prioridad de gestión del Controlador de Buffers es el FLUJO continuo de inventario.</t>
  </si>
  <si>
    <t>Atajo para ir a las Transferencias Activas.</t>
  </si>
  <si>
    <t>Panel con mensajes educativos para guiar al Controlador de Buffers en su gestión.</t>
  </si>
  <si>
    <t xml:space="preserve">El efecto de una decisión tomada hoy sobre los buffers no se verá inmediatamente. </t>
  </si>
  <si>
    <t>BASE DATOS</t>
  </si>
  <si>
    <t>-</t>
  </si>
  <si>
    <t>Usuario: admin</t>
  </si>
  <si>
    <t>admin</t>
  </si>
  <si>
    <t>AGROTA BODEGA  YAMABIKO</t>
  </si>
  <si>
    <t>Bodega Central Agrota</t>
  </si>
  <si>
    <t>AGROTA BODEGA SUCRE</t>
  </si>
  <si>
    <t>AGROTA SUKAMPO FERIA LIBRE</t>
  </si>
  <si>
    <t>BODEGA CENTRAL MAQUINAS</t>
  </si>
  <si>
    <t>AGROTA SUKAMPO GUAYAQUIL</t>
  </si>
  <si>
    <t>BODEGA CENTRAL</t>
  </si>
  <si>
    <t>AGROTA SUKAMPO MILAGRO</t>
  </si>
  <si>
    <t>AGROTA SUKAMPO QUEVEDO</t>
  </si>
  <si>
    <t>AGROTA SUKAMPO UNIDAD NACIONAL</t>
  </si>
  <si>
    <t>AGROTA TALLER SUKAMPO MILAGRO</t>
  </si>
  <si>
    <t>AGROTA TALLER SUKAMPO QUEVEDO</t>
  </si>
  <si>
    <t>AGROTA TALLER SUKAMPO UNIDAD NACIONAL</t>
  </si>
  <si>
    <t>BCS</t>
  </si>
  <si>
    <t>Chatani</t>
  </si>
  <si>
    <t>Compra Local Maquinas</t>
  </si>
  <si>
    <t>Echo</t>
  </si>
  <si>
    <t>Ikra</t>
  </si>
  <si>
    <t>Jf</t>
  </si>
  <si>
    <t>Patriot</t>
  </si>
  <si>
    <t>Duaja</t>
  </si>
  <si>
    <t>EUROLATTE</t>
  </si>
  <si>
    <t>INCOMAGRI</t>
  </si>
  <si>
    <t>BORALSAN</t>
  </si>
  <si>
    <t>MFW</t>
  </si>
  <si>
    <t>BODEGA CENTRAL MATERIA PRIMA</t>
  </si>
  <si>
    <t>JM ESTRADA</t>
  </si>
  <si>
    <t>COMERCIAL KYWI</t>
  </si>
  <si>
    <t>MIRAL</t>
  </si>
  <si>
    <t>Sirfran</t>
  </si>
  <si>
    <t>FORD</t>
  </si>
  <si>
    <t>Sinochem</t>
  </si>
  <si>
    <t>Compra Local Quimicos</t>
  </si>
  <si>
    <t>MATERIA PRIMA</t>
  </si>
  <si>
    <t>BODEGA DUPOCSA ARENAL</t>
  </si>
  <si>
    <t>BODEGA DUPOCSA CONCORDIA</t>
  </si>
  <si>
    <t>BODEGA DUPOCSA QUEVEDO</t>
  </si>
  <si>
    <t>BODEGA MERCALIMSA</t>
  </si>
  <si>
    <t>BODEGA SATELITE AGROINSUMOS RIERA</t>
  </si>
  <si>
    <t>BODEGA SATELITE COMERCIAL COCA</t>
  </si>
  <si>
    <t>BODEGA SUKAMPO</t>
  </si>
  <si>
    <t>GUAYAQUIL SUKAMPO</t>
  </si>
  <si>
    <t>JAHER REGIONAL CDR BABAHOYO</t>
  </si>
  <si>
    <t>JAHER REGIONAL CDR. CUENCA</t>
  </si>
  <si>
    <t>MARCIMEX REGIONAL CUENCA</t>
  </si>
  <si>
    <t>Agroenzimas</t>
  </si>
  <si>
    <t xml:space="preserve">MIO CHEMICAL </t>
  </si>
  <si>
    <t>Mercalimsa</t>
  </si>
  <si>
    <t>SHARDA</t>
  </si>
  <si>
    <t>PRODUCTO TERMINADO</t>
  </si>
  <si>
    <t>Agrosad</t>
  </si>
  <si>
    <t>Agroprocesos</t>
  </si>
  <si>
    <t>ARS</t>
  </si>
  <si>
    <t>AGROTA BODEGA INCOP</t>
  </si>
  <si>
    <t>Maquinas ECHO - SHINDAIWA.xlsm</t>
  </si>
  <si>
    <t>O:\Maquinas ECHO - SHINDAIWA.xlsm</t>
  </si>
  <si>
    <t>Hojas CB</t>
  </si>
  <si>
    <t>Accesorios.xlsm</t>
  </si>
  <si>
    <t>CAFE MATERIA PRIMA.xlsm</t>
  </si>
  <si>
    <t>HOJAS</t>
  </si>
  <si>
    <t>ÍTEMS TOTALES</t>
  </si>
  <si>
    <t>ÍTEMS CON BUFFER</t>
  </si>
  <si>
    <t>COSTO FÍSICO</t>
  </si>
  <si>
    <t>COSTO PROYECTADO</t>
  </si>
  <si>
    <t>COSTO TRÁNSITO</t>
  </si>
  <si>
    <t>DÍAS PERÍODO</t>
  </si>
  <si>
    <t>COSTO COMPROM</t>
  </si>
  <si>
    <t>COSTO BACKORDER</t>
  </si>
  <si>
    <t>GUARDADO</t>
  </si>
  <si>
    <t>REFRESCADO_INI</t>
  </si>
  <si>
    <t>REFRESCADO_FIN</t>
  </si>
  <si>
    <t>REFRESCADA</t>
  </si>
  <si>
    <t>empresa</t>
  </si>
  <si>
    <t>hoja_cb</t>
  </si>
  <si>
    <t>refrescada</t>
  </si>
  <si>
    <t>base_datos</t>
  </si>
  <si>
    <t>inicio_refrescado</t>
  </si>
  <si>
    <t>fin_refrescado</t>
  </si>
  <si>
    <t>guardado</t>
  </si>
  <si>
    <t>razon</t>
  </si>
  <si>
    <t>dias_periodo</t>
  </si>
  <si>
    <t>duplicados</t>
  </si>
  <si>
    <t>sku_totales</t>
  </si>
  <si>
    <t>sku_buffer</t>
  </si>
  <si>
    <t>costo_buffer</t>
  </si>
  <si>
    <t>costo_fisico</t>
  </si>
  <si>
    <t>costo_transito</t>
  </si>
  <si>
    <t>costo_comprometido</t>
  </si>
  <si>
    <t>costo_backorder</t>
  </si>
  <si>
    <t>costo_proyectado</t>
  </si>
  <si>
    <t>costo_total</t>
  </si>
  <si>
    <t>empresa_hoja</t>
  </si>
  <si>
    <t>COSTO TOTAL</t>
  </si>
  <si>
    <t>Coincidir</t>
  </si>
  <si>
    <t>ALERTAS</t>
  </si>
  <si>
    <t>Refrescado Total</t>
  </si>
  <si>
    <t>Repuestos ECHO.xlsm</t>
  </si>
  <si>
    <t>TABLA</t>
  </si>
  <si>
    <t>FECHA</t>
  </si>
  <si>
    <t>Producto</t>
  </si>
  <si>
    <t>Inventario</t>
  </si>
  <si>
    <t>Consumo</t>
  </si>
  <si>
    <t>¿Cómo logramos pedir reposiciones más frecuentes a los proveedores?</t>
  </si>
  <si>
    <t>¿Cómo logramos reducir al máximo el tiempo de suministro de los proveedores?</t>
  </si>
  <si>
    <t>¿Están correctamente ingresados todos los parámetros en las Hojas CB? Revisarlos frecuentemente.</t>
  </si>
  <si>
    <t>Están revisadas y gestionadas correctamente todas las Alertas de las Hojas CB.</t>
  </si>
  <si>
    <t>¿Cómo está la disponibilidad del inventario? ¿Hay mucho o muy poco inventario?</t>
  </si>
  <si>
    <t>¿Están dentro de RAMCAS todos los ítems activos de la empresa?</t>
  </si>
  <si>
    <t>Los cambios estructurales de RAMCAS se hacen en RAMCAS Web.</t>
  </si>
  <si>
    <t>El Simulador de Buffers me permite encontrar un buffer adecuado.</t>
  </si>
  <si>
    <t>A un buffer hay que atenderlo bien en cantidad de reposición y tiempos de reposición.</t>
  </si>
  <si>
    <t>Un cambio hoy en un buffer se verá sólo cuando llegue la mercadería pedida por ese buffer.</t>
  </si>
  <si>
    <t>Un buffer no es una cantidad exacta, es un rango lo suficientemente bueno.</t>
  </si>
  <si>
    <t>La incertidumbre en venta y reposición obliga a tener un buffer.</t>
  </si>
  <si>
    <t>¿Muchos buffers por revisar? Enfocarse por medio de las alertas de las Hojas CB.</t>
  </si>
  <si>
    <t>¿Hay demasiadas alertas activas? Empezar a gestionarlas cuanto antes.</t>
  </si>
  <si>
    <t>Los datos con los que trabaja RAMCAS son los datos que arroja el sistema de la empresa.</t>
  </si>
  <si>
    <t>Si Excel se vuelve inestable, es mejor reiniciar el servidor.</t>
  </si>
  <si>
    <t>¿Se posponen demasiado las alertas? Algo malo está pasando. Comunicar inmediatamente.</t>
  </si>
  <si>
    <t>Siempre preguntarse: ¿Cómo podemos mejorar el FLUJO?</t>
  </si>
  <si>
    <t>¿Estamos aceptando tiempos y frecuencias de reposición demasiado altos? Buscar opciones.</t>
  </si>
  <si>
    <t>¿Sabe que algo va a suceder en el futuro? Reestimar el buffer antes que llegue el cambio.</t>
  </si>
  <si>
    <t>¿Tiene ítems con demanda estacional? Usar el módulo de Estacionalidad.</t>
  </si>
  <si>
    <t>Proyectado=Físico+Tránsito-Comprometido+Backorder</t>
  </si>
  <si>
    <t>PRODUCTO</t>
  </si>
  <si>
    <t>INVENTARIO</t>
  </si>
  <si>
    <t>CONSUMO</t>
  </si>
  <si>
    <t>Milagro Sukampo.xlsm</t>
  </si>
  <si>
    <t>alertas</t>
  </si>
  <si>
    <t>O:\Milagro Sukampo.xlsm</t>
  </si>
  <si>
    <t>5 Sugerencia GDB</t>
  </si>
  <si>
    <t>3 Sin reposiciones</t>
  </si>
  <si>
    <t>Completo</t>
  </si>
  <si>
    <t>completo</t>
  </si>
  <si>
    <t>23 Comportamiento</t>
  </si>
  <si>
    <t>1 Buffer no inicializado</t>
  </si>
  <si>
    <t>2 Buffers vacíos</t>
  </si>
  <si>
    <t>2 Buffers por efectivizar</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</si>
</sst>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164" formatCode="_(&quot;$&quot;* #,##0_);_(&quot;$&quot;* \(#,##0\);_(&quot;$&quot;* &quot;-&quot;_);_(@_)"/>
    <numFmt numFmtId="165" formatCode="[$-300A]d&quot; de &quot;mmmm&quot; de &quot;yyyy;@"/>
    <numFmt numFmtId="166" formatCode="[$-F400]h:mm:ss\ AM/PM"/>
    <numFmt numFmtId="167" formatCode="hh:mm:ss;@"/>
    <numFmt numFmtId="168" formatCode="&quot;$&quot;\ #,##0.00"/>
    <numFmt numFmtId="169" formatCode="dd/mm/yyyy\ hh:mm"/>
    <numFmt numFmtId="170" formatCode="dd/mmm\ hh:mm"/>
    <numFmt numFmtId="171" formatCode="[h]&quot;h&quot;:mm&quot;m&quot;:ss&quot;s&quot;"/>
    <numFmt numFmtId="172" formatCode="h:mm:ss;@"/>
    <numFmt numFmtId="173" formatCode="ddd\ dd\ mmm"/>
    <numFmt numFmtId="174" formatCode="mmmm\-yy"/>
  </numFmts>
  <fonts count="28"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
      <sz val="11"/>
      <color rgb="FF000000"/>
      <name val="Calibri"/>
      <family val="2"/>
    </font>
    <font>
      <sz val="11"/>
      <color rgb="FFFF0000"/>
      <name val="Calibri"/>
      <family val="2"/>
      <scheme val="minor"/>
    </font>
    <font>
      <sz val="10"/>
      <color theme="1"/>
      <name val="Calibri"/>
      <family val="2"/>
      <scheme val="minor"/>
    </font>
    <font>
      <sz val="11"/>
      <color rgb="FF0070C0"/>
      <name val="Calibri"/>
      <family val="2"/>
      <scheme val="minor"/>
    </font>
    <font>
      <sz val="11"/>
      <color rgb="FF002060"/>
      <name val="Calibri"/>
      <family val="2"/>
      <scheme val="minor"/>
    </font>
    <font>
      <sz val="11"/>
      <color rgb="FF800080"/>
      <name val="Calibri"/>
      <family val="2"/>
      <scheme val="minor"/>
    </font>
    <font>
      <sz val="11"/>
      <color theme="4" tint="0.79998168889431442"/>
      <name val="Calibri"/>
      <family val="2"/>
      <scheme val="minor"/>
    </font>
  </fonts>
  <fills count="6">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4" tint="0.79998168889431442"/>
        <bgColor indexed="64"/>
      </patternFill>
    </fill>
  </fills>
  <borders count="11">
    <border>
      <left/>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3">
    <xf numFmtId="0" fontId="0" fillId="0" borderId="0"/>
    <xf numFmtId="0" fontId="17" fillId="0" borderId="0"/>
    <xf numFmtId="0" fontId="18" fillId="0" borderId="0" applyNumberFormat="0" applyFill="0" applyBorder="0" applyAlignment="0" applyProtection="0"/>
  </cellStyleXfs>
  <cellXfs count="87">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5" fontId="0" fillId="0" borderId="0" xfId="0" applyNumberFormat="1" applyBorder="1" applyAlignment="1">
      <alignment horizontal="center"/>
    </xf>
    <xf numFmtId="22" fontId="0" fillId="0" borderId="0" xfId="0" applyNumberFormat="1"/>
    <xf numFmtId="166"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8" fontId="0" fillId="0" borderId="0" xfId="0" applyNumberFormat="1"/>
    <xf numFmtId="14" fontId="0" fillId="0" borderId="0" xfId="0" applyNumberFormat="1"/>
    <xf numFmtId="167" fontId="0" fillId="0" borderId="0" xfId="0" applyNumberFormat="1" applyAlignment="1">
      <alignment horizontal="center"/>
    </xf>
    <xf numFmtId="169" fontId="0" fillId="0" borderId="0" xfId="0" applyNumberFormat="1" applyAlignment="1">
      <alignment horizontal="center"/>
    </xf>
    <xf numFmtId="0" fontId="18" fillId="0" borderId="0" xfId="2"/>
    <xf numFmtId="0" fontId="19" fillId="0" borderId="0" xfId="0" applyFont="1"/>
    <xf numFmtId="0" fontId="20" fillId="4" borderId="0" xfId="0" applyFont="1" applyFill="1"/>
    <xf numFmtId="0" fontId="5" fillId="5" borderId="4" xfId="0" applyFont="1" applyFill="1" applyBorder="1"/>
    <xf numFmtId="0" fontId="0" fillId="5" borderId="3" xfId="0" applyFill="1" applyBorder="1"/>
    <xf numFmtId="0" fontId="0" fillId="5" borderId="0" xfId="0" applyFill="1" applyBorder="1"/>
    <xf numFmtId="0" fontId="0" fillId="5" borderId="0" xfId="0" applyFill="1"/>
    <xf numFmtId="0" fontId="22" fillId="5" borderId="0" xfId="0" applyFont="1" applyFill="1" applyBorder="1"/>
    <xf numFmtId="0" fontId="1" fillId="5" borderId="0" xfId="0" applyFont="1" applyFill="1" applyBorder="1" applyAlignment="1">
      <alignment horizontal="centerContinuous"/>
    </xf>
    <xf numFmtId="0" fontId="0" fillId="5" borderId="0" xfId="0" applyFill="1" applyBorder="1" applyAlignment="1">
      <alignment horizontal="centerContinuous"/>
    </xf>
    <xf numFmtId="0" fontId="2" fillId="5" borderId="0" xfId="0" applyFont="1" applyFill="1" applyBorder="1" applyAlignment="1">
      <alignment horizontal="left"/>
    </xf>
    <xf numFmtId="0" fontId="6" fillId="5" borderId="1" xfId="0" applyFont="1" applyFill="1" applyBorder="1"/>
    <xf numFmtId="0" fontId="0" fillId="5" borderId="1" xfId="0" applyFill="1" applyBorder="1"/>
    <xf numFmtId="0" fontId="14" fillId="5" borderId="5" xfId="0" applyFont="1" applyFill="1" applyBorder="1"/>
    <xf numFmtId="0" fontId="0" fillId="5" borderId="0" xfId="0" applyFill="1" applyAlignment="1">
      <alignment horizontal="center" vertical="center" wrapText="1"/>
    </xf>
    <xf numFmtId="0" fontId="0" fillId="5" borderId="0" xfId="0" applyFill="1" applyBorder="1" applyAlignment="1">
      <alignment horizontal="center" vertical="center" wrapText="1"/>
    </xf>
    <xf numFmtId="164" fontId="0" fillId="5" borderId="0" xfId="0" applyNumberFormat="1" applyFill="1"/>
    <xf numFmtId="170" fontId="0" fillId="5" borderId="0" xfId="0" applyNumberFormat="1" applyFill="1" applyAlignment="1">
      <alignment horizontal="center"/>
    </xf>
    <xf numFmtId="0" fontId="0" fillId="5" borderId="0" xfId="0" applyFill="1" applyAlignment="1">
      <alignment horizontal="center"/>
    </xf>
    <xf numFmtId="3" fontId="0" fillId="5" borderId="0" xfId="0" applyNumberFormat="1" applyFill="1" applyAlignment="1">
      <alignment horizontal="center"/>
    </xf>
    <xf numFmtId="0" fontId="12" fillId="5" borderId="0" xfId="0" applyFont="1" applyFill="1" applyBorder="1"/>
    <xf numFmtId="0" fontId="0" fillId="5" borderId="7" xfId="0" applyFill="1" applyBorder="1"/>
    <xf numFmtId="0" fontId="0" fillId="5" borderId="9" xfId="0" applyFill="1" applyBorder="1"/>
    <xf numFmtId="167" fontId="0" fillId="5" borderId="8" xfId="0" applyNumberFormat="1" applyFill="1" applyBorder="1" applyAlignment="1" applyProtection="1">
      <alignment horizontal="center"/>
      <protection locked="0"/>
    </xf>
    <xf numFmtId="167" fontId="0" fillId="5" borderId="10" xfId="0" applyNumberFormat="1" applyFill="1" applyBorder="1" applyAlignment="1" applyProtection="1">
      <alignment horizontal="center"/>
      <protection locked="0"/>
    </xf>
    <xf numFmtId="0" fontId="14" fillId="5" borderId="2" xfId="0" applyFont="1" applyFill="1" applyBorder="1" applyAlignment="1">
      <alignment horizontal="centerContinuous"/>
    </xf>
    <xf numFmtId="0" fontId="0" fillId="5" borderId="1" xfId="0" applyFill="1" applyBorder="1" applyAlignment="1">
      <alignment horizontal="center"/>
    </xf>
    <xf numFmtId="0" fontId="25" fillId="5" borderId="2" xfId="0" applyFont="1" applyFill="1" applyBorder="1" applyAlignment="1">
      <alignment vertical="center"/>
    </xf>
    <xf numFmtId="0" fontId="25" fillId="5" borderId="6" xfId="0" applyFont="1" applyFill="1" applyBorder="1" applyAlignment="1">
      <alignment vertical="center"/>
    </xf>
    <xf numFmtId="0" fontId="24" fillId="5" borderId="2" xfId="0" applyFont="1" applyFill="1" applyBorder="1" applyAlignment="1">
      <alignment vertical="center"/>
    </xf>
    <xf numFmtId="0" fontId="24" fillId="5" borderId="6" xfId="0" applyFont="1" applyFill="1" applyBorder="1" applyAlignment="1">
      <alignment vertical="center"/>
    </xf>
    <xf numFmtId="171" fontId="0" fillId="5" borderId="0" xfId="0" applyNumberFormat="1" applyFill="1" applyAlignment="1">
      <alignment horizontal="center"/>
    </xf>
    <xf numFmtId="0" fontId="7" fillId="5" borderId="2" xfId="0" applyFont="1" applyFill="1" applyBorder="1" applyProtection="1">
      <protection hidden="1"/>
    </xf>
    <xf numFmtId="0" fontId="0" fillId="5" borderId="2" xfId="0" applyFill="1" applyBorder="1" applyProtection="1">
      <protection hidden="1"/>
    </xf>
    <xf numFmtId="0" fontId="6" fillId="5" borderId="1" xfId="0" applyFont="1" applyFill="1" applyBorder="1" applyProtection="1">
      <protection hidden="1"/>
    </xf>
    <xf numFmtId="0" fontId="11" fillId="5" borderId="0" xfId="0" applyFont="1" applyFill="1" applyProtection="1">
      <protection hidden="1"/>
    </xf>
    <xf numFmtId="0" fontId="11" fillId="5" borderId="0" xfId="0" applyNumberFormat="1" applyFont="1" applyFill="1" applyAlignment="1" applyProtection="1">
      <alignment horizontal="center"/>
      <protection hidden="1"/>
    </xf>
    <xf numFmtId="164" fontId="0" fillId="5" borderId="0" xfId="0" applyNumberFormat="1" applyFill="1" applyProtection="1">
      <protection hidden="1"/>
    </xf>
    <xf numFmtId="1" fontId="0" fillId="5" borderId="0" xfId="0" applyNumberFormat="1" applyFill="1" applyAlignment="1" applyProtection="1">
      <alignment horizontal="center"/>
      <protection hidden="1"/>
    </xf>
    <xf numFmtId="0" fontId="0" fillId="5" borderId="0" xfId="0" applyNumberFormat="1" applyFill="1" applyAlignment="1" applyProtection="1">
      <alignment horizontal="center"/>
      <protection hidden="1"/>
    </xf>
    <xf numFmtId="170" fontId="0" fillId="5" borderId="0" xfId="0" applyNumberFormat="1" applyFill="1" applyAlignment="1" applyProtection="1">
      <alignment horizontal="center"/>
      <protection hidden="1"/>
    </xf>
    <xf numFmtId="171" fontId="0" fillId="5" borderId="0" xfId="0" applyNumberFormat="1" applyFill="1" applyAlignment="1" applyProtection="1">
      <alignment horizontal="center"/>
      <protection hidden="1"/>
    </xf>
    <xf numFmtId="0" fontId="0" fillId="5" borderId="0" xfId="0" applyNumberFormat="1" applyFill="1" applyProtection="1">
      <protection hidden="1"/>
    </xf>
    <xf numFmtId="0" fontId="27" fillId="5" borderId="3" xfId="0" applyFont="1" applyFill="1" applyBorder="1" applyProtection="1">
      <protection hidden="1"/>
    </xf>
    <xf numFmtId="14" fontId="0" fillId="5" borderId="0" xfId="0" applyNumberFormat="1" applyFill="1" applyBorder="1"/>
    <xf numFmtId="14" fontId="26" fillId="5" borderId="2" xfId="0" applyNumberFormat="1" applyFont="1" applyFill="1" applyBorder="1" applyAlignment="1">
      <alignment vertical="center"/>
    </xf>
    <xf numFmtId="14" fontId="22" fillId="5" borderId="0" xfId="0" applyNumberFormat="1" applyFont="1" applyFill="1" applyBorder="1"/>
    <xf numFmtId="14" fontId="26" fillId="5" borderId="6" xfId="0" applyNumberFormat="1" applyFont="1" applyFill="1" applyBorder="1" applyAlignment="1">
      <alignment vertical="center"/>
    </xf>
    <xf numFmtId="14" fontId="0" fillId="5" borderId="0" xfId="0" applyNumberFormat="1" applyFill="1" applyBorder="1" applyAlignment="1">
      <alignment horizontal="centerContinuous"/>
    </xf>
    <xf numFmtId="14" fontId="0" fillId="5" borderId="0" xfId="0" applyNumberFormat="1" applyFill="1"/>
    <xf numFmtId="14" fontId="0" fillId="5" borderId="9" xfId="0" applyNumberFormat="1" applyFill="1" applyBorder="1" applyAlignment="1">
      <alignment vertical="center"/>
    </xf>
    <xf numFmtId="14" fontId="0" fillId="5" borderId="8" xfId="0" applyNumberFormat="1" applyFill="1" applyBorder="1" applyAlignment="1" applyProtection="1">
      <alignment horizontal="center" vertical="center"/>
      <protection hidden="1"/>
    </xf>
    <xf numFmtId="14" fontId="0" fillId="5" borderId="7" xfId="0" applyNumberFormat="1" applyFill="1" applyBorder="1"/>
    <xf numFmtId="14" fontId="11" fillId="5" borderId="0" xfId="0" applyNumberFormat="1" applyFont="1" applyFill="1"/>
    <xf numFmtId="14" fontId="25" fillId="5" borderId="2" xfId="0" applyNumberFormat="1" applyFont="1" applyFill="1" applyBorder="1" applyAlignment="1">
      <alignment vertical="center"/>
    </xf>
    <xf numFmtId="14" fontId="0" fillId="5" borderId="9" xfId="0" applyNumberFormat="1" applyFill="1" applyBorder="1"/>
    <xf numFmtId="14" fontId="25" fillId="5" borderId="6" xfId="0" applyNumberFormat="1" applyFont="1" applyFill="1" applyBorder="1" applyAlignment="1">
      <alignment vertical="center"/>
    </xf>
    <xf numFmtId="172" fontId="23" fillId="5" borderId="10" xfId="0" applyNumberFormat="1" applyFont="1" applyFill="1" applyBorder="1" applyAlignment="1" applyProtection="1">
      <alignment horizontal="center" vertical="center"/>
      <protection locked="0" hidden="1"/>
    </xf>
    <xf numFmtId="173" fontId="23" fillId="5" borderId="10" xfId="0" applyNumberFormat="1" applyFont="1" applyFill="1" applyBorder="1" applyAlignment="1" applyProtection="1">
      <alignment horizontal="center" vertical="center"/>
      <protection hidden="1"/>
    </xf>
    <xf numFmtId="174" fontId="11" fillId="5" borderId="0" xfId="0" applyNumberFormat="1" applyFont="1" applyFill="1" applyBorder="1" applyAlignment="1">
      <alignment horizontal="left"/>
    </xf>
  </cellXfs>
  <cellStyles count="3">
    <cellStyle name="Normal" xfId="0" builtinId="0"/>
    <cellStyle name="Normal 2" xfId="1"/>
    <cellStyle name="Título" xfId="2" builtinId="15"/>
  </cellStyles>
  <dxfs count="132">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ont>
        <color theme="0"/>
      </font>
      <fill>
        <patternFill>
          <bgColor rgb="FFFF0000"/>
        </patternFill>
      </fill>
    </dxf>
    <dxf>
      <fill>
        <patternFill>
          <bgColor rgb="FFFFFF00"/>
        </patternFill>
      </fill>
    </dxf>
    <dxf>
      <font>
        <color theme="0"/>
      </font>
      <fill>
        <patternFill>
          <bgColor rgb="FFC00000"/>
        </patternFill>
      </fill>
    </dxf>
    <dxf>
      <font>
        <b/>
        <i val="0"/>
        <color rgb="FFFF0000"/>
      </font>
      <fill>
        <patternFill patternType="none">
          <bgColor auto="1"/>
        </patternFill>
      </fill>
    </dxf>
    <dxf>
      <fill>
        <patternFill>
          <bgColor theme="2" tint="-0.24994659260841701"/>
        </patternFill>
      </fill>
    </dxf>
    <dxf>
      <fill>
        <patternFill>
          <bgColor theme="2" tint="-0.24994659260841701"/>
        </patternFill>
      </fill>
    </dxf>
    <dxf>
      <fill>
        <patternFill>
          <bgColor theme="2" tint="-0.24994659260841701"/>
        </patternFill>
      </fill>
    </dxf>
    <dxf>
      <fill>
        <patternFill>
          <bgColor theme="2" tint="-0.24994659260841701"/>
        </patternFill>
      </fill>
    </dxf>
    <dxf>
      <font>
        <color auto="1"/>
      </font>
      <fill>
        <patternFill>
          <bgColor rgb="FFFFFF00"/>
        </patternFill>
      </fill>
    </dxf>
    <dxf>
      <font>
        <color theme="0"/>
      </font>
      <fill>
        <patternFill>
          <bgColor rgb="FFFF000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dxf>
    <dxf>
      <fill>
        <patternFill patternType="solid">
          <fgColor indexed="64"/>
          <bgColor theme="4" tint="0.79998168889431442"/>
        </patternFill>
      </fill>
      <alignment horizontal="center" vertical="bottom" textRotation="0" wrapText="0" indent="0" justifyLastLine="0" shrinkToFit="0" readingOrder="0"/>
    </dxf>
    <dxf>
      <numFmt numFmtId="171" formatCode="[h]&quot;h&quot;:mm&quot;m&quot;:ss&quot;s&quot;"/>
      <fill>
        <patternFill patternType="solid">
          <fgColor indexed="64"/>
          <bgColor theme="4" tint="0.79998168889431442"/>
        </patternFill>
      </fill>
      <alignment horizontal="center" vertical="bottom" textRotation="0" wrapText="0" indent="0" justifyLastLine="0" shrinkToFit="0" readingOrder="0"/>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5"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8" formatCode="&quot;$&quot;\ #,##0.00"/>
    </dxf>
    <dxf>
      <numFmt numFmtId="168" formatCode="&quot;$&quot;\ #,##0.00"/>
    </dxf>
    <dxf>
      <numFmt numFmtId="168" formatCode="&quot;$&quot;\ #,##0.00"/>
    </dxf>
    <dxf>
      <numFmt numFmtId="168" formatCode="&quot;$&quot;\ #,##0.00"/>
    </dxf>
    <dxf>
      <numFmt numFmtId="168" formatCode="&quot;$&quot;\ #,##0.00"/>
    </dxf>
    <dxf>
      <numFmt numFmtId="168" formatCode="&quot;$&quot;\ #,##0.0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dxf>
    <dxf>
      <numFmt numFmtId="0" formatCode="General"/>
    </dxf>
    <dxf>
      <numFmt numFmtId="0" formatCode="General"/>
      <fill>
        <patternFill patternType="solid">
          <fgColor indexed="64"/>
          <bgColor theme="4" tint="0.79998168889431442"/>
        </patternFill>
      </fill>
      <alignment horizontal="center" vertical="bottom" textRotation="0" wrapText="0" indent="0" justifyLastLine="0" shrinkToFit="0" readingOrder="0"/>
      <protection locked="1" hidden="1"/>
    </dxf>
    <dxf>
      <numFmt numFmtId="0" formatCode="General"/>
      <fill>
        <patternFill patternType="solid">
          <fgColor indexed="64"/>
          <bgColor theme="4" tint="0.79998168889431442"/>
        </patternFill>
      </fill>
      <protection locked="1" hidden="1"/>
    </dxf>
    <dxf>
      <numFmt numFmtId="170" formatCode="dd/mmm\ hh:mm"/>
      <fill>
        <patternFill patternType="solid">
          <fgColor indexed="64"/>
          <bgColor theme="4" tint="0.79998168889431442"/>
        </patternFill>
      </fill>
      <alignment horizontal="center" vertical="bottom" textRotation="0" wrapText="0" indent="0" justifyLastLine="0" shrinkToFit="0" readingOrder="0"/>
      <protection locked="1" hidden="1"/>
    </dxf>
    <dxf>
      <numFmt numFmtId="171" formatCode="[h]&quot;h&quot;:mm&quot;m&quot;:ss&quot;s&quot;"/>
      <fill>
        <patternFill patternType="solid">
          <fgColor indexed="64"/>
          <bgColor theme="4" tint="0.79998168889431442"/>
        </patternFill>
      </fill>
      <alignment horizontal="center" vertical="bottom" textRotation="0" wrapText="0" indent="0" justifyLastLine="0" shrinkToFit="0" readingOrder="0"/>
      <protection locked="1" hidden="1"/>
    </dxf>
    <dxf>
      <numFmt numFmtId="170" formatCode="dd/mmm\ hh:mm"/>
      <fill>
        <patternFill patternType="solid">
          <fgColor indexed="64"/>
          <bgColor theme="4" tint="0.79998168889431442"/>
        </patternFill>
      </fill>
      <alignment horizontal="center" vertical="bottom" textRotation="0" wrapText="0" indent="0" justifyLastLine="0" shrinkToFit="0" readingOrder="0"/>
      <protection locked="1" hidden="1"/>
    </dxf>
    <dxf>
      <numFmt numFmtId="170" formatCode="dd/mmm\ hh:mm"/>
      <fill>
        <patternFill patternType="solid">
          <fgColor indexed="64"/>
          <bgColor theme="4" tint="0.79998168889431442"/>
        </patternFill>
      </fill>
      <alignment horizontal="center" vertical="bottom" textRotation="0" wrapText="0" indent="0" justifyLastLine="0" shrinkToFit="0" readingOrder="0"/>
      <protection locked="1" hidden="1"/>
    </dxf>
    <dxf>
      <numFmt numFmtId="0" formatCode="General"/>
      <fill>
        <patternFill patternType="solid">
          <fgColor indexed="64"/>
          <bgColor theme="4" tint="0.79998168889431442"/>
        </patternFill>
      </fill>
      <alignment horizontal="center" vertical="bottom" textRotation="0" wrapText="0" indent="0" justifyLastLine="0" shrinkToFit="0" readingOrder="0"/>
      <protection locked="1" hidden="1"/>
    </dxf>
    <dxf>
      <numFmt numFmtId="1" formatCode="0"/>
      <fill>
        <patternFill patternType="solid">
          <fgColor indexed="64"/>
          <bgColor theme="4" tint="0.79998168889431442"/>
        </patternFill>
      </fill>
      <alignment horizontal="center" vertical="bottom" textRotation="0" wrapText="0" indent="0" justifyLastLine="0" shrinkToFit="0" readingOrder="0"/>
      <protection locked="1" hidden="1"/>
    </dxf>
    <dxf>
      <numFmt numFmtId="1" formatCode="0"/>
      <fill>
        <patternFill patternType="solid">
          <fgColor indexed="64"/>
          <bgColor theme="4" tint="0.79998168889431442"/>
        </patternFill>
      </fill>
      <alignment horizontal="center" vertical="bottom" textRotation="0" wrapText="0" indent="0" justifyLastLine="0" shrinkToFit="0" readingOrder="0"/>
      <protection locked="1" hidden="1"/>
    </dxf>
    <dxf>
      <numFmt numFmtId="1" formatCode="0"/>
      <fill>
        <patternFill patternType="solid">
          <fgColor indexed="64"/>
          <bgColor theme="4" tint="0.79998168889431442"/>
        </patternFill>
      </fill>
      <alignment horizontal="center" vertical="bottom" textRotation="0" wrapText="0" indent="0" justifyLastLine="0" shrinkToFit="0" readingOrder="0"/>
      <protection locked="1" hidden="1"/>
    </dxf>
    <dxf>
      <numFmt numFmtId="1" formatCode="0"/>
      <fill>
        <patternFill patternType="solid">
          <fgColor indexed="64"/>
          <bgColor theme="4" tint="0.79998168889431442"/>
        </patternFill>
      </fill>
      <alignment horizontal="center" vertical="bottom" textRotation="0" wrapText="0" indent="0" justifyLastLine="0" shrinkToFit="0" readingOrder="0"/>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font>
        <b/>
        <i val="0"/>
        <strike val="0"/>
        <condense val="0"/>
        <extend val="0"/>
        <outline val="0"/>
        <shadow val="0"/>
        <u val="none"/>
        <vertAlign val="baseline"/>
        <sz val="11"/>
        <color theme="1"/>
        <name val="Calibri"/>
        <scheme val="minor"/>
      </font>
      <numFmt numFmtId="0" formatCode="General"/>
      <fill>
        <patternFill patternType="solid">
          <fgColor indexed="64"/>
          <bgColor theme="4" tint="0.79998168889431442"/>
        </patternFill>
      </fill>
      <alignment horizontal="center" vertical="bottom" textRotation="0" wrapText="0" indent="0" justifyLastLine="0" shrinkToFit="0" readingOrder="0"/>
      <protection locked="1" hidden="1"/>
    </dxf>
    <dxf>
      <font>
        <b/>
      </font>
      <fill>
        <patternFill patternType="solid">
          <fgColor indexed="64"/>
          <bgColor theme="4" tint="0.79998168889431442"/>
        </patternFill>
      </fill>
      <protection locked="1" hidden="1"/>
    </dxf>
    <dxf>
      <fill>
        <patternFill patternType="solid">
          <fgColor indexed="64"/>
          <bgColor theme="4" tint="0.79998168889431442"/>
        </patternFill>
      </fill>
    </dxf>
    <dxf>
      <fill>
        <patternFill patternType="solid">
          <fgColor indexed="64"/>
          <bgColor theme="4" tint="0.79998168889431442"/>
        </patternFill>
      </fill>
      <protection locked="1" hidden="1"/>
    </dxf>
    <dxf>
      <fill>
        <patternFill patternType="solid">
          <fgColor indexed="64"/>
          <bgColor theme="4" tint="0.79998168889431442"/>
        </patternFill>
      </fill>
      <alignment horizontal="center" vertical="center" textRotation="0" wrapText="1" indent="0" justifyLastLine="0" shrinkToFit="0" readingOrder="0"/>
    </dxf>
  </dxfs>
  <tableStyles count="0" defaultTableStyle="TableStyleMedium9" defaultPivotStyle="PivotStyleLight16"/>
  <colors>
    <mruColors>
      <color rgb="FF800080"/>
      <color rgb="FF99CCFF"/>
      <color rgb="FFCCECFF"/>
      <color rgb="FFCCFFCC"/>
      <color rgb="FF0099FF"/>
      <color rgb="FFCDCEFF"/>
      <color rgb="FFFF5050"/>
      <color rgb="FFECF1F8"/>
      <color rgb="FFAFC2FF"/>
      <color rgb="FF8FAA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checked="Checked" fmlaLink="trae_Bodega" lockText="1" noThreeD="1"/>
</file>

<file path=xl/ctrlProps/ctrlProp5.xml><?xml version="1.0" encoding="utf-8"?>
<formControlPr xmlns="http://schemas.microsoft.com/office/spreadsheetml/2009/9/main" objectType="CheckBox" checked="Checked" fmlaLink="trae_Inventario" lockText="1" noThreeD="1"/>
</file>

<file path=xl/ctrlProps/ctrlProp6.xml><?xml version="1.0" encoding="utf-8"?>
<formControlPr xmlns="http://schemas.microsoft.com/office/spreadsheetml/2009/9/main" objectType="CheckBox" checked="Checked" fmlaLink="trae_Producto" lockText="1" noThreeD="1"/>
</file>

<file path=xl/ctrlProps/ctrlProp7.xml><?xml version="1.0" encoding="utf-8"?>
<formControlPr xmlns="http://schemas.microsoft.com/office/spreadsheetml/2009/9/main" objectType="CheckBox" checked="Checked" fmlaLink="trae_Consumo"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image" Target="../media/image11.png"/><Relationship Id="rId7" Type="http://schemas.openxmlformats.org/officeDocument/2006/relationships/image" Target="../media/image14.png"/><Relationship Id="rId2" Type="http://schemas.openxmlformats.org/officeDocument/2006/relationships/image" Target="../media/image10.png"/><Relationship Id="rId1" Type="http://schemas.openxmlformats.org/officeDocument/2006/relationships/image" Target="../media/image9.emf"/><Relationship Id="rId6" Type="http://schemas.openxmlformats.org/officeDocument/2006/relationships/image" Target="../media/image13.png"/><Relationship Id="rId5" Type="http://schemas.microsoft.com/office/2007/relationships/hdphoto" Target="../media/hdphoto1.wdp"/><Relationship Id="rId4" Type="http://schemas.openxmlformats.org/officeDocument/2006/relationships/image" Target="../media/image1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6.emf"/><Relationship Id="rId7" Type="http://schemas.openxmlformats.org/officeDocument/2006/relationships/image" Target="../media/image2.emf"/><Relationship Id="rId2" Type="http://schemas.openxmlformats.org/officeDocument/2006/relationships/image" Target="../media/image7.emf"/><Relationship Id="rId1" Type="http://schemas.openxmlformats.org/officeDocument/2006/relationships/image" Target="../media/image5.emf"/><Relationship Id="rId6" Type="http://schemas.openxmlformats.org/officeDocument/2006/relationships/image" Target="../media/image4.emf"/><Relationship Id="rId5" Type="http://schemas.openxmlformats.org/officeDocument/2006/relationships/image" Target="../media/image8.emf"/><Relationship Id="rId4" Type="http://schemas.openxmlformats.org/officeDocument/2006/relationships/image" Target="../media/image3.emf"/><Relationship Id="rId9" Type="http://schemas.openxmlformats.org/officeDocument/2006/relationships/image" Target="../media/image1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0.emf"/><Relationship Id="rId1" Type="http://schemas.openxmlformats.org/officeDocument/2006/relationships/image" Target="../media/image21.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2.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3.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5.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6.emf"/><Relationship Id="rId1" Type="http://schemas.openxmlformats.org/officeDocument/2006/relationships/image" Target="../media/image27.emf"/></Relationships>
</file>

<file path=xl/drawings/drawing1.xml><?xml version="1.0" encoding="utf-8"?>
<xdr:wsDr xmlns:xdr="http://schemas.openxmlformats.org/drawingml/2006/spreadsheetDrawing" xmlns:a="http://schemas.openxmlformats.org/drawingml/2006/main">
  <xdr:twoCellAnchor editAs="absolute">
    <xdr:from>
      <xdr:col>0</xdr:col>
      <xdr:colOff>23813</xdr:colOff>
      <xdr:row>0</xdr:row>
      <xdr:rowOff>10583</xdr:rowOff>
    </xdr:from>
    <xdr:to>
      <xdr:col>8</xdr:col>
      <xdr:colOff>809626</xdr:colOff>
      <xdr:row>1</xdr:row>
      <xdr:rowOff>178594</xdr:rowOff>
    </xdr:to>
    <xdr:sp macro="[0]!Devuelve_Controles_Varias_Hojas_2" textlink="">
      <xdr:nvSpPr>
        <xdr:cNvPr id="2" name="rect_Titulo"/>
        <xdr:cNvSpPr/>
      </xdr:nvSpPr>
      <xdr:spPr>
        <a:xfrm>
          <a:off x="23813" y="10583"/>
          <a:ext cx="8751094" cy="358511"/>
        </a:xfrm>
        <a:prstGeom prst="rect">
          <a:avLst/>
        </a:prstGeom>
        <a:solidFill>
          <a:srgbClr val="0099FF"/>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v3.9.0</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38100</xdr:rowOff>
        </xdr:from>
        <xdr:to>
          <xdr:col>0</xdr:col>
          <xdr:colOff>1270000</xdr:colOff>
          <xdr:row>5</xdr:row>
          <xdr:rowOff>101600</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1314450</xdr:colOff>
          <xdr:row>4</xdr:row>
          <xdr:rowOff>19050</xdr:rowOff>
        </xdr:from>
        <xdr:to>
          <xdr:col>0</xdr:col>
          <xdr:colOff>2190750</xdr:colOff>
          <xdr:row>6</xdr:row>
          <xdr:rowOff>66675</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2219325</xdr:colOff>
          <xdr:row>4</xdr:row>
          <xdr:rowOff>19050</xdr:rowOff>
        </xdr:from>
        <xdr:to>
          <xdr:col>2</xdr:col>
          <xdr:colOff>276225</xdr:colOff>
          <xdr:row>6</xdr:row>
          <xdr:rowOff>66675</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476250</xdr:colOff>
          <xdr:row>2</xdr:row>
          <xdr:rowOff>28575</xdr:rowOff>
        </xdr:from>
        <xdr:to>
          <xdr:col>5</xdr:col>
          <xdr:colOff>819150</xdr:colOff>
          <xdr:row>3</xdr:row>
          <xdr:rowOff>104775</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504825</xdr:colOff>
          <xdr:row>9</xdr:row>
          <xdr:rowOff>9525</xdr:rowOff>
        </xdr:from>
        <xdr:to>
          <xdr:col>5</xdr:col>
          <xdr:colOff>0</xdr:colOff>
          <xdr:row>9</xdr:row>
          <xdr:rowOff>180975</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119062</xdr:rowOff>
        </xdr:from>
        <xdr:to>
          <xdr:col>0</xdr:col>
          <xdr:colOff>1654969</xdr:colOff>
          <xdr:row>3</xdr:row>
          <xdr:rowOff>147143</xdr:rowOff>
        </xdr:to>
        <xdr:pic macro="[0]!Guarda_Controles_Varias_Hojas">
          <xdr:nvPicPr>
            <xdr:cNvPr id="28" name="fotUsuario"/>
            <xdr:cNvPicPr>
              <a:picLocks noChangeAspect="1" noChangeArrowheads="1"/>
              <a:extLst>
                <a:ext uri="{84589F7E-364E-4C9E-8A38-B11213B215E9}">
                  <a14:cameraTool cellRange="USUARIO" spid="_x0000_s224421"/>
                </a:ext>
              </a:extLst>
            </xdr:cNvPicPr>
          </xdr:nvPicPr>
          <xdr:blipFill>
            <a:blip xmlns:r="http://schemas.openxmlformats.org/officeDocument/2006/relationships" r:embed="rId1"/>
            <a:srcRect/>
            <a:stretch>
              <a:fillRect/>
            </a:stretch>
          </xdr:blipFill>
          <xdr:spPr bwMode="auto">
            <a:xfrm>
              <a:off x="0" y="500062"/>
              <a:ext cx="1654969" cy="21858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638175</xdr:colOff>
          <xdr:row>4</xdr:row>
          <xdr:rowOff>19050</xdr:rowOff>
        </xdr:from>
        <xdr:to>
          <xdr:col>3</xdr:col>
          <xdr:colOff>752475</xdr:colOff>
          <xdr:row>6</xdr:row>
          <xdr:rowOff>66675</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4</xdr:row>
          <xdr:rowOff>19050</xdr:rowOff>
        </xdr:from>
        <xdr:to>
          <xdr:col>2</xdr:col>
          <xdr:colOff>628650</xdr:colOff>
          <xdr:row>5</xdr:row>
          <xdr:rowOff>114300</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5</xdr:row>
          <xdr:rowOff>123825</xdr:rowOff>
        </xdr:from>
        <xdr:to>
          <xdr:col>2</xdr:col>
          <xdr:colOff>628650</xdr:colOff>
          <xdr:row>7</xdr:row>
          <xdr:rowOff>28575</xdr:rowOff>
        </xdr:to>
        <xdr:sp macro="" textlink="">
          <xdr:nvSpPr>
            <xdr:cNvPr id="97019" name="cmdTransferenciasActivas" hidden="1">
              <a:extLst>
                <a:ext uri="{63B3BB69-23CF-44E3-9099-C40C66FF867C}">
                  <a14:compatExt spid="_x0000_s97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4</xdr:row>
          <xdr:rowOff>19050</xdr:rowOff>
        </xdr:from>
        <xdr:to>
          <xdr:col>5</xdr:col>
          <xdr:colOff>819150</xdr:colOff>
          <xdr:row>6</xdr:row>
          <xdr:rowOff>66675</xdr:rowOff>
        </xdr:to>
        <xdr:sp macro="" textlink="">
          <xdr:nvSpPr>
            <xdr:cNvPr id="170283" name="cmd_Importa_Datos_ERP" hidden="1">
              <a:extLst>
                <a:ext uri="{63B3BB69-23CF-44E3-9099-C40C66FF867C}">
                  <a14:compatExt spid="_x0000_s1702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Importa Datos ERP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0</xdr:rowOff>
        </xdr:from>
        <xdr:to>
          <xdr:col>0</xdr:col>
          <xdr:colOff>1000125</xdr:colOff>
          <xdr:row>2</xdr:row>
          <xdr:rowOff>152400</xdr:rowOff>
        </xdr:to>
        <xdr:sp macro="" textlink="">
          <xdr:nvSpPr>
            <xdr:cNvPr id="170298" name="cmd_Cambia_Usuario" hidden="1">
              <a:extLst>
                <a:ext uri="{63B3BB69-23CF-44E3-9099-C40C66FF867C}">
                  <a14:compatExt spid="_x0000_s1702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Cambia usuario</a:t>
              </a:r>
            </a:p>
          </xdr:txBody>
        </xdr:sp>
        <xdr:clientData fPrintsWithSheet="0"/>
      </xdr:twoCellAnchor>
    </mc:Choice>
    <mc:Fallback/>
  </mc:AlternateContent>
  <xdr:twoCellAnchor editAs="absolute">
    <xdr:from>
      <xdr:col>0</xdr:col>
      <xdr:colOff>1302543</xdr:colOff>
      <xdr:row>2</xdr:row>
      <xdr:rowOff>26194</xdr:rowOff>
    </xdr:from>
    <xdr:to>
      <xdr:col>1</xdr:col>
      <xdr:colOff>636262</xdr:colOff>
      <xdr:row>3</xdr:row>
      <xdr:rowOff>51694</xdr:rowOff>
    </xdr:to>
    <xdr:sp macro="[0]!Abre_Formulario_Refrescado_Global" textlink="">
      <xdr:nvSpPr>
        <xdr:cNvPr id="32" name="rect_Refrescar"/>
        <xdr:cNvSpPr/>
      </xdr:nvSpPr>
      <xdr:spPr>
        <a:xfrm>
          <a:off x="1302543" y="407194"/>
          <a:ext cx="1584000" cy="216000"/>
        </a:xfrm>
        <a:prstGeom prst="rect">
          <a:avLst/>
        </a:prstGeom>
        <a:solidFill>
          <a:schemeClr val="accent5">
            <a:lumMod val="75000"/>
          </a:schemeClr>
        </a:solidFill>
        <a:ln>
          <a:solidFill>
            <a:schemeClr val="tx2">
              <a:lumMod val="20000"/>
              <a:lumOff val="80000"/>
            </a:schemeClr>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1800" b="1" cap="none" spc="150">
              <a:ln w="11430"/>
              <a:solidFill>
                <a:srgbClr val="ECF1F8"/>
              </a:solidFill>
              <a:effectLst>
                <a:outerShdw blurRad="25400" algn="tl" rotWithShape="0">
                  <a:srgbClr val="000000">
                    <a:alpha val="43000"/>
                  </a:srgbClr>
                </a:outerShdw>
              </a:effectLst>
            </a:rPr>
            <a:t>REFRESCAR</a:t>
          </a:r>
        </a:p>
      </xdr:txBody>
    </xdr:sp>
    <xdr:clientData/>
  </xdr:twoCellAnchor>
  <mc:AlternateContent xmlns:mc="http://schemas.openxmlformats.org/markup-compatibility/2006">
    <mc:Choice xmlns:a14="http://schemas.microsoft.com/office/drawing/2010/main" Requires="a14">
      <xdr:twoCellAnchor editAs="absolute">
        <xdr:from>
          <xdr:col>2</xdr:col>
          <xdr:colOff>571500</xdr:colOff>
          <xdr:row>2</xdr:row>
          <xdr:rowOff>28575</xdr:rowOff>
        </xdr:from>
        <xdr:to>
          <xdr:col>3</xdr:col>
          <xdr:colOff>771525</xdr:colOff>
          <xdr:row>3</xdr:row>
          <xdr:rowOff>85725</xdr:rowOff>
        </xdr:to>
        <xdr:sp macro="" textlink="">
          <xdr:nvSpPr>
            <xdr:cNvPr id="170700" name="cmd_Refresca_Items" hidden="1">
              <a:extLst>
                <a:ext uri="{63B3BB69-23CF-44E3-9099-C40C66FF867C}">
                  <a14:compatExt spid="_x0000_s17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Sincroniza Ítems</a:t>
              </a:r>
            </a:p>
          </xdr:txBody>
        </xdr:sp>
        <xdr:clientData fPrintsWithSheet="0"/>
      </xdr:twoCellAnchor>
    </mc:Choice>
    <mc:Fallback/>
  </mc:AlternateContent>
  <xdr:twoCellAnchor editAs="oneCell">
    <xdr:from>
      <xdr:col>0</xdr:col>
      <xdr:colOff>1643723</xdr:colOff>
      <xdr:row>10</xdr:row>
      <xdr:rowOff>23695</xdr:rowOff>
    </xdr:from>
    <xdr:to>
      <xdr:col>0</xdr:col>
      <xdr:colOff>1906322</xdr:colOff>
      <xdr:row>11</xdr:row>
      <xdr:rowOff>105179</xdr:rowOff>
    </xdr:to>
    <xdr:pic macro="[0]!Abre_HojasCB_ejecuta_Refrescado">
      <xdr:nvPicPr>
        <xdr:cNvPr id="4" name="Imagen 3"/>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7348" t="17754" r="17345" b="12858"/>
        <a:stretch/>
      </xdr:blipFill>
      <xdr:spPr>
        <a:xfrm>
          <a:off x="1643723" y="1928695"/>
          <a:ext cx="262599" cy="271984"/>
        </a:xfrm>
        <a:prstGeom prst="rect">
          <a:avLst/>
        </a:prstGeom>
      </xdr:spPr>
    </xdr:pic>
    <xdr:clientData/>
  </xdr:twoCellAnchor>
  <xdr:twoCellAnchor editAs="oneCell">
    <xdr:from>
      <xdr:col>0</xdr:col>
      <xdr:colOff>308873</xdr:colOff>
      <xdr:row>10</xdr:row>
      <xdr:rowOff>21656</xdr:rowOff>
    </xdr:from>
    <xdr:to>
      <xdr:col>0</xdr:col>
      <xdr:colOff>692505</xdr:colOff>
      <xdr:row>11</xdr:row>
      <xdr:rowOff>119156</xdr:rowOff>
    </xdr:to>
    <xdr:pic macro="[0]!Abre_HojasCB_sin_ejecutar_nada">
      <xdr:nvPicPr>
        <xdr:cNvPr id="5" name="img_Abre_HojasCB"/>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a:ext>
          </a:extLst>
        </a:blip>
        <a:srcRect t="12178" b="13324"/>
        <a:stretch/>
      </xdr:blipFill>
      <xdr:spPr>
        <a:xfrm>
          <a:off x="308873" y="1926656"/>
          <a:ext cx="383632" cy="288000"/>
        </a:xfrm>
        <a:prstGeom prst="rect">
          <a:avLst/>
        </a:prstGeom>
      </xdr:spPr>
    </xdr:pic>
    <xdr:clientData/>
  </xdr:twoCellAnchor>
  <xdr:twoCellAnchor editAs="oneCell">
    <xdr:from>
      <xdr:col>0</xdr:col>
      <xdr:colOff>38961</xdr:colOff>
      <xdr:row>10</xdr:row>
      <xdr:rowOff>21656</xdr:rowOff>
    </xdr:from>
    <xdr:to>
      <xdr:col>0</xdr:col>
      <xdr:colOff>271849</xdr:colOff>
      <xdr:row>11</xdr:row>
      <xdr:rowOff>119156</xdr:rowOff>
    </xdr:to>
    <xdr:pic macro="[0]!Listado_Completo_HojasCB">
      <xdr:nvPicPr>
        <xdr:cNvPr id="3" name="img_Refresca_Listado_HojasCB"/>
        <xdr:cNvPicPr>
          <a:picLocks noChangeAspect="1"/>
        </xdr:cNvPicPr>
      </xdr:nvPicPr>
      <xdr:blipFill rotWithShape="1">
        <a:blip xmlns:r="http://schemas.openxmlformats.org/officeDocument/2006/relationships" r:embed="rId4" cstate="email">
          <a:biLevel thresh="75000"/>
          <a:extLst>
            <a:ext uri="{BEBA8EAE-BF5A-486C-A8C5-ECC9F3942E4B}">
              <a14:imgProps xmlns:a14="http://schemas.microsoft.com/office/drawing/2010/main">
                <a14:imgLayer r:embed="rId5">
                  <a14:imgEffect>
                    <a14:sharpenSoften amount="50000"/>
                  </a14:imgEffect>
                </a14:imgLayer>
              </a14:imgProps>
            </a:ext>
            <a:ext uri="{28A0092B-C50C-407E-A947-70E740481C1C}">
              <a14:useLocalDpi xmlns:a14="http://schemas.microsoft.com/office/drawing/2010/main"/>
            </a:ext>
          </a:extLst>
        </a:blip>
        <a:srcRect l="14160" t="4638" r="12598" b="4785"/>
        <a:stretch/>
      </xdr:blipFill>
      <xdr:spPr>
        <a:xfrm>
          <a:off x="38961" y="1926656"/>
          <a:ext cx="232888" cy="288000"/>
        </a:xfrm>
        <a:prstGeom prst="rect">
          <a:avLst/>
        </a:prstGeom>
      </xdr:spPr>
    </xdr:pic>
    <xdr:clientData/>
  </xdr:twoCellAnchor>
  <xdr:twoCellAnchor editAs="oneCell">
    <xdr:from>
      <xdr:col>0</xdr:col>
      <xdr:colOff>729529</xdr:colOff>
      <xdr:row>10</xdr:row>
      <xdr:rowOff>21656</xdr:rowOff>
    </xdr:from>
    <xdr:to>
      <xdr:col>0</xdr:col>
      <xdr:colOff>945529</xdr:colOff>
      <xdr:row>11</xdr:row>
      <xdr:rowOff>119156</xdr:rowOff>
    </xdr:to>
    <xdr:pic macro="[0]!Ordena_Ascendente_Tabla_Hojas">
      <xdr:nvPicPr>
        <xdr:cNvPr id="23" name="Imagen 22"/>
        <xdr:cNvPicPr>
          <a:picLocks/>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l="30166" t="9314" r="30229" b="56164"/>
        <a:stretch/>
      </xdr:blipFill>
      <xdr:spPr>
        <a:xfrm>
          <a:off x="729529" y="1926656"/>
          <a:ext cx="216000" cy="288000"/>
        </a:xfrm>
        <a:prstGeom prst="rect">
          <a:avLst/>
        </a:prstGeom>
      </xdr:spPr>
    </xdr:pic>
    <xdr:clientData/>
  </xdr:twoCellAnchor>
  <xdr:twoCellAnchor editAs="oneCell">
    <xdr:from>
      <xdr:col>0</xdr:col>
      <xdr:colOff>1148292</xdr:colOff>
      <xdr:row>10</xdr:row>
      <xdr:rowOff>57656</xdr:rowOff>
    </xdr:from>
    <xdr:to>
      <xdr:col>0</xdr:col>
      <xdr:colOff>1562076</xdr:colOff>
      <xdr:row>11</xdr:row>
      <xdr:rowOff>119156</xdr:rowOff>
    </xdr:to>
    <xdr:pic macro="[0]!Abre_HojasCB_ejecuta_Cambio_Vista">
      <xdr:nvPicPr>
        <xdr:cNvPr id="8" name="cmd_Cambio_Vistas"/>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l="-481" t="19414" r="-72" b="19594"/>
        <a:stretch/>
      </xdr:blipFill>
      <xdr:spPr>
        <a:xfrm>
          <a:off x="1148292" y="1962656"/>
          <a:ext cx="413784" cy="252000"/>
        </a:xfrm>
        <a:prstGeom prst="rect">
          <a:avLst/>
        </a:prstGeom>
      </xdr:spPr>
    </xdr:pic>
    <xdr:clientData/>
  </xdr:twoCellAnchor>
  <xdr:twoCellAnchor editAs="oneCell">
    <xdr:from>
      <xdr:col>0</xdr:col>
      <xdr:colOff>905742</xdr:colOff>
      <xdr:row>10</xdr:row>
      <xdr:rowOff>21656</xdr:rowOff>
    </xdr:from>
    <xdr:to>
      <xdr:col>0</xdr:col>
      <xdr:colOff>1121742</xdr:colOff>
      <xdr:row>11</xdr:row>
      <xdr:rowOff>119156</xdr:rowOff>
    </xdr:to>
    <xdr:pic macro="[0]!Ordena_Descendentemente_Tabla_Hojas">
      <xdr:nvPicPr>
        <xdr:cNvPr id="27" name="Imagen 26"/>
        <xdr:cNvPicPr>
          <a:picLocks/>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l="30166" t="9314" r="30229" b="56164"/>
        <a:stretch/>
      </xdr:blipFill>
      <xdr:spPr>
        <a:xfrm rot="10800000">
          <a:off x="905742" y="1926656"/>
          <a:ext cx="216000" cy="2880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7</xdr:col>
          <xdr:colOff>647700</xdr:colOff>
          <xdr:row>3</xdr:row>
          <xdr:rowOff>161925</xdr:rowOff>
        </xdr:from>
        <xdr:to>
          <xdr:col>8</xdr:col>
          <xdr:colOff>180975</xdr:colOff>
          <xdr:row>5</xdr:row>
          <xdr:rowOff>0</xdr:rowOff>
        </xdr:to>
        <xdr:sp macro="" textlink="">
          <xdr:nvSpPr>
            <xdr:cNvPr id="170964" name="cas_Bodega" hidden="1">
              <a:extLst>
                <a:ext uri="{63B3BB69-23CF-44E3-9099-C40C66FF867C}">
                  <a14:compatExt spid="_x0000_s170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647700</xdr:colOff>
          <xdr:row>5</xdr:row>
          <xdr:rowOff>180975</xdr:rowOff>
        </xdr:from>
        <xdr:to>
          <xdr:col>8</xdr:col>
          <xdr:colOff>180975</xdr:colOff>
          <xdr:row>7</xdr:row>
          <xdr:rowOff>19050</xdr:rowOff>
        </xdr:to>
        <xdr:sp macro="" textlink="">
          <xdr:nvSpPr>
            <xdr:cNvPr id="170965" name="cas_Inventario" hidden="1">
              <a:extLst>
                <a:ext uri="{63B3BB69-23CF-44E3-9099-C40C66FF867C}">
                  <a14:compatExt spid="_x0000_s170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647700</xdr:colOff>
          <xdr:row>4</xdr:row>
          <xdr:rowOff>180975</xdr:rowOff>
        </xdr:from>
        <xdr:to>
          <xdr:col>8</xdr:col>
          <xdr:colOff>190500</xdr:colOff>
          <xdr:row>6</xdr:row>
          <xdr:rowOff>19050</xdr:rowOff>
        </xdr:to>
        <xdr:sp macro="" textlink="">
          <xdr:nvSpPr>
            <xdr:cNvPr id="170966" name="cas_Producto" hidden="1">
              <a:extLst>
                <a:ext uri="{63B3BB69-23CF-44E3-9099-C40C66FF867C}">
                  <a14:compatExt spid="_x0000_s170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647700</xdr:colOff>
          <xdr:row>6</xdr:row>
          <xdr:rowOff>180975</xdr:rowOff>
        </xdr:from>
        <xdr:to>
          <xdr:col>8</xdr:col>
          <xdr:colOff>190500</xdr:colOff>
          <xdr:row>8</xdr:row>
          <xdr:rowOff>19050</xdr:rowOff>
        </xdr:to>
        <xdr:sp macro="" textlink="">
          <xdr:nvSpPr>
            <xdr:cNvPr id="170967" name="cas_Consumo" hidden="1">
              <a:extLst>
                <a:ext uri="{63B3BB69-23CF-44E3-9099-C40C66FF867C}">
                  <a14:compatExt spid="_x0000_s170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absolute">
    <xdr:from>
      <xdr:col>0</xdr:col>
      <xdr:colOff>1964532</xdr:colOff>
      <xdr:row>10</xdr:row>
      <xdr:rowOff>23695</xdr:rowOff>
    </xdr:from>
    <xdr:to>
      <xdr:col>1</xdr:col>
      <xdr:colOff>2251</xdr:colOff>
      <xdr:row>11</xdr:row>
      <xdr:rowOff>121195</xdr:rowOff>
    </xdr:to>
    <xdr:pic macro="[0]!Abre_Ayuda_de_Centrocontrol">
      <xdr:nvPicPr>
        <xdr:cNvPr id="6" name="Imagen 5"/>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964532" y="1928695"/>
          <a:ext cx="288000" cy="288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xdr:colOff>
      <xdr:row>0</xdr:row>
      <xdr:rowOff>9526</xdr:rowOff>
    </xdr:from>
    <xdr:to>
      <xdr:col>9</xdr:col>
      <xdr:colOff>76201</xdr:colOff>
      <xdr:row>8</xdr:row>
      <xdr:rowOff>85726</xdr:rowOff>
    </xdr:to>
    <xdr:sp macro="" textlink="">
      <xdr:nvSpPr>
        <xdr:cNvPr id="2" name="rect_Titulo"/>
        <xdr:cNvSpPr/>
      </xdr:nvSpPr>
      <xdr:spPr>
        <a:xfrm>
          <a:off x="1" y="9526"/>
          <a:ext cx="6934200" cy="1600200"/>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3600" b="1" cap="none" spc="150">
              <a:ln w="11430"/>
              <a:solidFill>
                <a:srgbClr val="F8F8F8"/>
              </a:solidFill>
              <a:effectLst>
                <a:outerShdw blurRad="25400" algn="tl" rotWithShape="0">
                  <a:srgbClr val="000000">
                    <a:alpha val="43000"/>
                  </a:srgbClr>
                </a:outerShdw>
              </a:effectLst>
            </a:rPr>
            <a:t>RAMCA</a:t>
          </a:r>
          <a:r>
            <a:rPr lang="en-US" sz="3600" b="1" cap="none" spc="150" baseline="0">
              <a:ln w="11430"/>
              <a:solidFill>
                <a:srgbClr val="F8F8F8"/>
              </a:solidFill>
              <a:effectLst>
                <a:outerShdw blurRad="25400" algn="tl" rotWithShape="0">
                  <a:srgbClr val="000000">
                    <a:alpha val="43000"/>
                  </a:srgbClr>
                </a:outerShdw>
              </a:effectLst>
            </a:rPr>
            <a:t>S</a:t>
          </a:r>
          <a:endParaRPr lang="en-US" sz="2800" b="1" cap="none" spc="150" baseline="0">
            <a:ln w="11430"/>
            <a:solidFill>
              <a:srgbClr val="F8F8F8"/>
            </a:solidFill>
            <a:effectLst>
              <a:outerShdw blurRad="25400" algn="tl" rotWithShape="0">
                <a:srgbClr val="000000">
                  <a:alpha val="43000"/>
                </a:srgbClr>
              </a:outerShdw>
            </a:effectLst>
          </a:endParaRPr>
        </a:p>
        <a:p>
          <a:pPr algn="ctr"/>
          <a:endParaRPr lang="en-US" sz="1800" b="1" cap="none" spc="150" baseline="0">
            <a:ln w="11430"/>
            <a:solidFill>
              <a:srgbClr val="F8F8F8"/>
            </a:solidFill>
            <a:effectLst>
              <a:outerShdw blurRad="25400" algn="tl" rotWithShape="0">
                <a:srgbClr val="000000">
                  <a:alpha val="43000"/>
                </a:srgbClr>
              </a:outerShdw>
            </a:effectLst>
          </a:endParaRPr>
        </a:p>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4</xdr:row>
          <xdr:rowOff>85725</xdr:rowOff>
        </xdr:from>
        <xdr:to>
          <xdr:col>2</xdr:col>
          <xdr:colOff>495300</xdr:colOff>
          <xdr:row>7</xdr:row>
          <xdr:rowOff>38100</xdr:rowOff>
        </xdr:to>
        <xdr:sp macro="" textlink="">
          <xdr:nvSpPr>
            <xdr:cNvPr id="120834" name="btnSalir" hidden="1">
              <a:extLst>
                <a:ext uri="{63B3BB69-23CF-44E3-9099-C40C66FF867C}">
                  <a14:compatExt spid="_x0000_s1208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Cerrar 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47625</xdr:rowOff>
        </xdr:from>
        <xdr:to>
          <xdr:col>2</xdr:col>
          <xdr:colOff>495300</xdr:colOff>
          <xdr:row>4</xdr:row>
          <xdr:rowOff>0</xdr:rowOff>
        </xdr:to>
        <xdr:sp macro="" textlink="">
          <xdr:nvSpPr>
            <xdr:cNvPr id="120835" name="btnSalir" hidden="1">
              <a:extLst>
                <a:ext uri="{63B3BB69-23CF-44E3-9099-C40C66FF867C}">
                  <a14:compatExt spid="_x0000_s1208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Reintentar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527844</xdr:colOff>
          <xdr:row>21</xdr:row>
          <xdr:rowOff>130174</xdr:rowOff>
        </xdr:to>
        <xdr:pic>
          <xdr:nvPicPr>
            <xdr:cNvPr id="2" name="imgAyuda"/>
            <xdr:cNvPicPr>
              <a:picLocks noChangeAspect="1" noChangeArrowheads="1"/>
              <a:extLst>
                <a:ext uri="{84589F7E-364E-4C9E-8A38-B11213B215E9}">
                  <a14:cameraTool cellRange="CENTROCONTROL!$A$1:$J$14" spid="_x0000_s199185"/>
                </a:ext>
              </a:extLst>
            </xdr:cNvPicPr>
          </xdr:nvPicPr>
          <xdr:blipFill>
            <a:blip xmlns:r="http://schemas.openxmlformats.org/officeDocument/2006/relationships" r:embed="rId1"/>
            <a:srcRect/>
            <a:stretch>
              <a:fillRect/>
            </a:stretch>
          </xdr:blipFill>
          <xdr:spPr bwMode="auto">
            <a:xfrm>
              <a:off x="0" y="388143"/>
              <a:ext cx="8909844" cy="39092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447675</xdr:colOff>
      <xdr:row>5</xdr:row>
      <xdr:rowOff>30958</xdr:rowOff>
    </xdr:from>
    <xdr:to>
      <xdr:col>3</xdr:col>
      <xdr:colOff>657225</xdr:colOff>
      <xdr:row>6</xdr:row>
      <xdr:rowOff>59533</xdr:rowOff>
    </xdr:to>
    <xdr:sp macro="" textlink="">
      <xdr:nvSpPr>
        <xdr:cNvPr id="8" name="Llamada con línea 1 (sin borde) 7"/>
        <xdr:cNvSpPr/>
      </xdr:nvSpPr>
      <xdr:spPr>
        <a:xfrm>
          <a:off x="2733675" y="11501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445296</xdr:colOff>
      <xdr:row>7</xdr:row>
      <xdr:rowOff>16671</xdr:rowOff>
    </xdr:from>
    <xdr:to>
      <xdr:col>4</xdr:col>
      <xdr:colOff>654846</xdr:colOff>
      <xdr:row>8</xdr:row>
      <xdr:rowOff>45246</xdr:rowOff>
    </xdr:to>
    <xdr:sp macro="" textlink="">
      <xdr:nvSpPr>
        <xdr:cNvPr id="9" name="Llamada con línea 1 (sin borde) 8"/>
        <xdr:cNvSpPr/>
      </xdr:nvSpPr>
      <xdr:spPr>
        <a:xfrm>
          <a:off x="3493296" y="1516859"/>
          <a:ext cx="209550" cy="219075"/>
        </a:xfrm>
        <a:prstGeom prst="callout1">
          <a:avLst>
            <a:gd name="adj1" fmla="val 49184"/>
            <a:gd name="adj2" fmla="val 14393"/>
            <a:gd name="adj3" fmla="val -34240"/>
            <a:gd name="adj4" fmla="val -74698"/>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347664</xdr:colOff>
      <xdr:row>7</xdr:row>
      <xdr:rowOff>97633</xdr:rowOff>
    </xdr:from>
    <xdr:to>
      <xdr:col>5</xdr:col>
      <xdr:colOff>557214</xdr:colOff>
      <xdr:row>8</xdr:row>
      <xdr:rowOff>126208</xdr:rowOff>
    </xdr:to>
    <xdr:sp macro="" textlink="">
      <xdr:nvSpPr>
        <xdr:cNvPr id="10" name="Llamada con línea 1 (sin borde) 9"/>
        <xdr:cNvSpPr/>
      </xdr:nvSpPr>
      <xdr:spPr>
        <a:xfrm>
          <a:off x="4157664" y="1597821"/>
          <a:ext cx="209550" cy="219075"/>
        </a:xfrm>
        <a:prstGeom prst="callout1">
          <a:avLst>
            <a:gd name="adj1" fmla="val 49184"/>
            <a:gd name="adj2" fmla="val 14393"/>
            <a:gd name="adj3" fmla="val -94023"/>
            <a:gd name="adj4" fmla="val -11447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5</xdr:col>
      <xdr:colOff>678657</xdr:colOff>
      <xdr:row>5</xdr:row>
      <xdr:rowOff>95252</xdr:rowOff>
    </xdr:from>
    <xdr:to>
      <xdr:col>6</xdr:col>
      <xdr:colOff>126207</xdr:colOff>
      <xdr:row>6</xdr:row>
      <xdr:rowOff>123827</xdr:rowOff>
    </xdr:to>
    <xdr:sp macro="" textlink="">
      <xdr:nvSpPr>
        <xdr:cNvPr id="11" name="Llamada con línea 1 (sin borde) 10"/>
        <xdr:cNvSpPr/>
      </xdr:nvSpPr>
      <xdr:spPr>
        <a:xfrm>
          <a:off x="4488657" y="1214440"/>
          <a:ext cx="209550" cy="219075"/>
        </a:xfrm>
        <a:prstGeom prst="callout1">
          <a:avLst>
            <a:gd name="adj1" fmla="val 60054"/>
            <a:gd name="adj2" fmla="val 110984"/>
            <a:gd name="adj3" fmla="val 74455"/>
            <a:gd name="adj4" fmla="val 21507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64292</xdr:colOff>
      <xdr:row>6</xdr:row>
      <xdr:rowOff>171452</xdr:rowOff>
    </xdr:from>
    <xdr:to>
      <xdr:col>2</xdr:col>
      <xdr:colOff>404811</xdr:colOff>
      <xdr:row>8</xdr:row>
      <xdr:rowOff>-1</xdr:rowOff>
    </xdr:to>
    <xdr:sp macro="" textlink="">
      <xdr:nvSpPr>
        <xdr:cNvPr id="14" name="Llamada con línea 1 (sin borde) 13"/>
        <xdr:cNvSpPr/>
      </xdr:nvSpPr>
      <xdr:spPr>
        <a:xfrm>
          <a:off x="1588292" y="1481140"/>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4</xdr:col>
      <xdr:colOff>409575</xdr:colOff>
      <xdr:row>8</xdr:row>
      <xdr:rowOff>40484</xdr:rowOff>
    </xdr:from>
    <xdr:to>
      <xdr:col>4</xdr:col>
      <xdr:colOff>750094</xdr:colOff>
      <xdr:row>9</xdr:row>
      <xdr:rowOff>59531</xdr:rowOff>
    </xdr:to>
    <xdr:sp macro="" textlink="">
      <xdr:nvSpPr>
        <xdr:cNvPr id="16" name="Llamada con línea 1 (sin borde) 15"/>
        <xdr:cNvSpPr/>
      </xdr:nvSpPr>
      <xdr:spPr>
        <a:xfrm>
          <a:off x="3457575" y="1731172"/>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285747</xdr:colOff>
      <xdr:row>18</xdr:row>
      <xdr:rowOff>130966</xdr:rowOff>
    </xdr:from>
    <xdr:to>
      <xdr:col>10</xdr:col>
      <xdr:colOff>626266</xdr:colOff>
      <xdr:row>19</xdr:row>
      <xdr:rowOff>150013</xdr:rowOff>
    </xdr:to>
    <xdr:sp macro="" textlink="">
      <xdr:nvSpPr>
        <xdr:cNvPr id="33" name="Llamada con línea 1 (sin borde) 32"/>
        <xdr:cNvSpPr/>
      </xdr:nvSpPr>
      <xdr:spPr>
        <a:xfrm>
          <a:off x="7905747" y="372665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752474</xdr:colOff>
      <xdr:row>6</xdr:row>
      <xdr:rowOff>157165</xdr:rowOff>
    </xdr:from>
    <xdr:to>
      <xdr:col>3</xdr:col>
      <xdr:colOff>428625</xdr:colOff>
      <xdr:row>8</xdr:row>
      <xdr:rowOff>23812</xdr:rowOff>
    </xdr:to>
    <xdr:sp macro="" textlink="">
      <xdr:nvSpPr>
        <xdr:cNvPr id="35" name="Llamada con línea 1 (sin borde) 34"/>
        <xdr:cNvSpPr/>
      </xdr:nvSpPr>
      <xdr:spPr>
        <a:xfrm>
          <a:off x="2276474" y="1466853"/>
          <a:ext cx="438151" cy="247647"/>
        </a:xfrm>
        <a:prstGeom prst="callout1">
          <a:avLst>
            <a:gd name="adj1" fmla="val 49184"/>
            <a:gd name="adj2" fmla="val 14393"/>
            <a:gd name="adj3" fmla="val 9125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twoCellAnchor>
    <xdr:from>
      <xdr:col>2</xdr:col>
      <xdr:colOff>523874</xdr:colOff>
      <xdr:row>10</xdr:row>
      <xdr:rowOff>23815</xdr:rowOff>
    </xdr:from>
    <xdr:to>
      <xdr:col>3</xdr:col>
      <xdr:colOff>200025</xdr:colOff>
      <xdr:row>11</xdr:row>
      <xdr:rowOff>80962</xdr:rowOff>
    </xdr:to>
    <xdr:sp macro="" textlink="">
      <xdr:nvSpPr>
        <xdr:cNvPr id="36" name="Llamada con línea 1 (sin borde) 35"/>
        <xdr:cNvSpPr/>
      </xdr:nvSpPr>
      <xdr:spPr>
        <a:xfrm>
          <a:off x="2047874" y="2095503"/>
          <a:ext cx="438151" cy="247647"/>
        </a:xfrm>
        <a:prstGeom prst="callout1">
          <a:avLst>
            <a:gd name="adj1" fmla="val 49184"/>
            <a:gd name="adj2" fmla="val 14393"/>
            <a:gd name="adj3" fmla="val -1932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10.2</a:t>
          </a:r>
        </a:p>
      </xdr:txBody>
    </xdr:sp>
    <xdr:clientData/>
  </xdr:twoCellAnchor>
  <xdr:twoCellAnchor>
    <xdr:from>
      <xdr:col>9</xdr:col>
      <xdr:colOff>547684</xdr:colOff>
      <xdr:row>3</xdr:row>
      <xdr:rowOff>47624</xdr:rowOff>
    </xdr:from>
    <xdr:to>
      <xdr:col>10</xdr:col>
      <xdr:colOff>126203</xdr:colOff>
      <xdr:row>4</xdr:row>
      <xdr:rowOff>66671</xdr:rowOff>
    </xdr:to>
    <xdr:sp macro="" textlink="">
      <xdr:nvSpPr>
        <xdr:cNvPr id="37" name="Llamada con línea 1 (sin borde) 36"/>
        <xdr:cNvSpPr/>
      </xdr:nvSpPr>
      <xdr:spPr>
        <a:xfrm>
          <a:off x="7405684" y="785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29</a:t>
          </a:r>
        </a:p>
      </xdr:txBody>
    </xdr:sp>
    <xdr:clientData/>
  </xdr:twoCellAnchor>
  <mc:AlternateContent xmlns:mc="http://schemas.openxmlformats.org/markup-compatibility/2006">
    <mc:Choice xmlns:a14="http://schemas.microsoft.com/office/drawing/2010/main" Requires="a14">
      <xdr:twoCellAnchor editAs="absolute">
        <xdr:from>
          <xdr:col>1</xdr:col>
          <xdr:colOff>666750</xdr:colOff>
          <xdr:row>0</xdr:row>
          <xdr:rowOff>47625</xdr:rowOff>
        </xdr:from>
        <xdr:to>
          <xdr:col>2</xdr:col>
          <xdr:colOff>609600</xdr:colOff>
          <xdr:row>0</xdr:row>
          <xdr:rowOff>342900</xdr:rowOff>
        </xdr:to>
        <xdr:sp macro="" textlink="">
          <xdr:nvSpPr>
            <xdr:cNvPr id="146222" name="cmd_Centrocontrol_de_ayuda" hidden="1">
              <a:extLst>
                <a:ext uri="{63B3BB69-23CF-44E3-9099-C40C66FF867C}">
                  <a14:compatExt spid="_x0000_s1462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Volver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171450</xdr:colOff>
          <xdr:row>0</xdr:row>
          <xdr:rowOff>371475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9525</xdr:rowOff>
        </xdr:from>
        <xdr:to>
          <xdr:col>0</xdr:col>
          <xdr:colOff>733425</xdr:colOff>
          <xdr:row>0</xdr:row>
          <xdr:rowOff>257175</xdr:rowOff>
        </xdr:to>
        <xdr:sp macro="" textlink="">
          <xdr:nvSpPr>
            <xdr:cNvPr id="12290" name="cmd_Irdea_Alertas_CCB"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Volver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21" name="tbl_HojasCB" displayName="tbl_HojasCB" ref="A13:T16" totalsRowCount="1" headerRowDxfId="131" dataDxfId="130" totalsRowDxfId="129">
  <autoFilter ref="A13:T14"/>
  <sortState ref="A16:T17">
    <sortCondition ref="A15"/>
  </sortState>
  <tableColumns count="20">
    <tableColumn id="1" name="HOJAS" totalsRowFunction="custom" dataDxfId="128" totalsRowDxfId="50">
      <totalsRowFormula>"Total Hojas:  "&amp;SUBTOTAL(103,tbl_HojasCB[HOJAS])</totalsRowFormula>
    </tableColumn>
    <tableColumn id="20" name="ALERTAS" totalsRowFunction="sum" dataDxfId="127" totalsRowDxfId="49">
      <calculatedColumnFormula>IFERROR(INDEX(tbl_hojascb_estado_hoy[alertas],tbl_HojasCB[[#This Row],[Coincidir]]),"")</calculatedColumnFormula>
    </tableColumn>
    <tableColumn id="4" name="COSTO BUFFER" totalsRowFunction="sum" dataDxfId="126" totalsRowDxfId="48">
      <calculatedColumnFormula>IFERROR(INDEX(tbl_hojascb_estado_hoy[costo_buffer],tbl_HojasCB[[#This Row],[Coincidir]]),"")</calculatedColumnFormula>
    </tableColumn>
    <tableColumn id="5" name="COSTO FÍSICO" totalsRowFunction="sum" dataDxfId="125" totalsRowDxfId="47">
      <calculatedColumnFormula>IFERROR(INDEX(tbl_hojascb_estado_hoy[costo_fisico],tbl_HojasCB[[#This Row],[Coincidir]]),"")</calculatedColumnFormula>
    </tableColumn>
    <tableColumn id="6" name="COSTO TRÁNSITO" totalsRowFunction="sum" dataDxfId="124" totalsRowDxfId="46">
      <calculatedColumnFormula>IFERROR(INDEX(tbl_hojascb_estado_hoy[costo_transito],tbl_HojasCB[[#This Row],[Coincidir]]),"")</calculatedColumnFormula>
    </tableColumn>
    <tableColumn id="12" name="COSTO COMPROM" totalsRowFunction="sum" dataDxfId="123" totalsRowDxfId="45">
      <calculatedColumnFormula>IFERROR(INDEX(tbl_hojascb_estado_hoy[costo_comprometido],tbl_HojasCB[[#This Row],[Coincidir]]),"")</calculatedColumnFormula>
    </tableColumn>
    <tableColumn id="13" name="COSTO BACKORDER" totalsRowFunction="sum" dataDxfId="122" totalsRowDxfId="44">
      <calculatedColumnFormula>IFERROR(INDEX(tbl_hojascb_estado_hoy[costo_backorder],tbl_HojasCB[[#This Row],[Coincidir]]),"")</calculatedColumnFormula>
    </tableColumn>
    <tableColumn id="7" name="COSTO PROYECTADO" totalsRowFunction="sum" dataDxfId="121" totalsRowDxfId="43">
      <calculatedColumnFormula>IFERROR(INDEX(tbl_hojascb_estado_hoy[costo_proyectado],tbl_HojasCB[[#This Row],[Coincidir]]),"")</calculatedColumnFormula>
    </tableColumn>
    <tableColumn id="9" name="COSTO TOTAL" totalsRowFunction="sum" dataDxfId="120" totalsRowDxfId="42">
      <calculatedColumnFormula>IFERROR(INDEX(tbl_hojascb_estado_hoy[costo_total],tbl_HojasCB[[#This Row],[Coincidir]]),"")</calculatedColumnFormula>
    </tableColumn>
    <tableColumn id="2" name="ÍTEMS TOTALES" totalsRowFunction="sum" dataDxfId="119" totalsRowDxfId="41">
      <calculatedColumnFormula>IFERROR(INDEX(tbl_hojascb_estado_hoy[sku_totales],tbl_HojasCB[[#This Row],[Coincidir]]),"")</calculatedColumnFormula>
    </tableColumn>
    <tableColumn id="3" name="ÍTEMS CON BUFFER" totalsRowFunction="sum" dataDxfId="118" totalsRowDxfId="40">
      <calculatedColumnFormula>IFERROR(INDEX(tbl_hojascb_estado_hoy[sku_buffer],tbl_HojasCB[[#This Row],[Coincidir]]),"")</calculatedColumnFormula>
    </tableColumn>
    <tableColumn id="11" name="DÍAS PERÍODO" totalsRowFunction="sum" dataDxfId="117" totalsRowDxfId="39">
      <calculatedColumnFormula>IFERROR(INDEX(tbl_hojascb_estado_hoy[dias_periodo],tbl_HojasCB[[#This Row],[Coincidir]]),"")</calculatedColumnFormula>
    </tableColumn>
    <tableColumn id="10" name="DUPLICADOS" totalsRowFunction="sum" dataDxfId="116" totalsRowDxfId="38">
      <calculatedColumnFormula>IFERROR(INDEX(tbl_hojascb_estado_hoy[duplicados],tbl_HojasCB[[#This Row],[Coincidir]]),"")</calculatedColumnFormula>
    </tableColumn>
    <tableColumn id="8" name="REFRESCADA" dataDxfId="115" totalsRowDxfId="37">
      <calculatedColumnFormula>IFERROR(INDEX(tbl_hojascb_estado_hoy[refrescada],tbl_HojasCB[[#This Row],[Coincidir]]),"")&amp;" - "&amp;IFERROR(INDEX(tbl_hojascb_estado_hoy[base_datos],tbl_HojasCB[[#This Row],[Coincidir]]),"")</calculatedColumnFormula>
    </tableColumn>
    <tableColumn id="15" name="REFRESCADO_INI" totalsRowFunction="min" dataDxfId="114" totalsRowDxfId="36">
      <calculatedColumnFormula>IFERROR(INDEX(tbl_hojascb_estado_hoy[inicio_refrescado],tbl_HojasCB[[#This Row],[Coincidir]]),"")</calculatedColumnFormula>
    </tableColumn>
    <tableColumn id="16" name="REFRESCADO_FIN" totalsRowFunction="max" dataDxfId="113" totalsRowDxfId="35">
      <calculatedColumnFormula>IFERROR(INDEX(tbl_hojascb_estado_hoy[fin_refrescado],tbl_HojasCB[[#This Row],[Coincidir]]),"")</calculatedColumnFormula>
    </tableColumn>
    <tableColumn id="17" name="DURACIÓN" totalsRowFunction="sum" dataDxfId="112" totalsRowDxfId="34">
      <calculatedColumnFormula>IFERROR(tbl_HojasCB[[#This Row],[REFRESCADO_FIN]]-tbl_HojasCB[[#This Row],[REFRESCADO_INI]],"")</calculatedColumnFormula>
    </tableColumn>
    <tableColumn id="14" name="GUARDADO" dataDxfId="111" totalsRowDxfId="33">
      <calculatedColumnFormula>IFERROR(INDEX(tbl_hojascb_estado_hoy[guardado],tbl_HojasCB[[#This Row],[Coincidir]]),"")</calculatedColumnFormula>
    </tableColumn>
    <tableColumn id="18" name="RAZÓN" dataDxfId="110" totalsRowDxfId="32">
      <calculatedColumnFormula>IF(IFERROR(INDEX(tbl_hojascb_estado_hoy[razon],tbl_HojasCB[[#This Row],[Coincidir]]),"")=0,"",IFERROR(INDEX(tbl_hojascb_estado_hoy[razon],tbl_HojasCB[[#This Row],[Coincidir]]),""))</calculatedColumnFormula>
    </tableColumn>
    <tableColumn id="19" name="Coincidir" dataDxfId="109" totalsRowDxfId="31">
      <calculatedColumnFormula>MATCH(EMP&amp;tbl_HojasCB[[#This Row],[HOJAS]],tbl_hojascb_estado_hoy[empresa_hoja],0)</calculatedColumnFormula>
    </tableColumn>
  </tableColumns>
  <tableStyleInfo name="TableStyleLight1" showFirstColumn="0" showLastColumn="0" showRowStripes="1" showColumnStripes="0"/>
</table>
</file>

<file path=xl/tables/table2.xml><?xml version="1.0" encoding="utf-8"?>
<table xmlns="http://schemas.openxmlformats.org/spreadsheetml/2006/main" id="22" name="tbl_hojascb_estado_hoy" displayName="tbl_hojascb_estado_hoy" ref="A1:U7" totalsRowShown="0">
  <autoFilter ref="A1:U7"/>
  <tableColumns count="21">
    <tableColumn id="1" name="empresa"/>
    <tableColumn id="2" name="hoja_cb"/>
    <tableColumn id="3" name="refrescada"/>
    <tableColumn id="4" name="base_datos"/>
    <tableColumn id="5" name="inicio_refrescado"/>
    <tableColumn id="6" name="fin_refrescado"/>
    <tableColumn id="7" name="guardado"/>
    <tableColumn id="8" name="razon"/>
    <tableColumn id="9" name="dias_periodo"/>
    <tableColumn id="10" name="duplicados"/>
    <tableColumn id="11" name="sku_totales"/>
    <tableColumn id="12" name="sku_buffer"/>
    <tableColumn id="13" name="costo_buffer"/>
    <tableColumn id="14" name="costo_fisico"/>
    <tableColumn id="15" name="costo_transito"/>
    <tableColumn id="16" name="costo_comprometido"/>
    <tableColumn id="17" name="costo_backorder"/>
    <tableColumn id="18" name="costo_proyectado"/>
    <tableColumn id="19" name="costo_total"/>
    <tableColumn id="21" name="alertas"/>
    <tableColumn id="20" name="empresa_hoja" dataDxfId="108">
      <calculatedColumnFormula>tbl_hojascb_estado_hoy[[#This Row],[empresa]]&amp;tbl_hojascb_estado_hoy[[#This Row],[hoja_cb]]</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19" name="Indicaciones" displayName="Indicaciones" ref="A1:C59" totalsRowShown="0">
  <autoFilter ref="A1:C59"/>
  <tableColumns count="3">
    <tableColumn id="3" name="ID" dataDxfId="107">
      <calculatedColumnFormula>ROW()-ROW(Indicaciones[[#Headers],[ID]])</calculatedColumnFormula>
    </tableColumn>
    <tableColumn id="1" name="Tipo"/>
    <tableColumn id="2" name="Indicación"/>
  </tableColumns>
  <tableStyleInfo name="TableStyleMedium9" showFirstColumn="0" showLastColumn="0" showRowStripes="1" showColumnStripes="0"/>
</table>
</file>

<file path=xl/tables/table4.xml><?xml version="1.0" encoding="utf-8"?>
<table xmlns="http://schemas.openxmlformats.org/spreadsheetml/2006/main" id="18" name="tbl_Fechas_Refrescado" displayName="tbl_Fechas_Refrescado" ref="B1:Q4" totalsRowCount="1" headerRowDxfId="106">
  <autoFilter ref="B1:Q3"/>
  <sortState ref="B2:Q3">
    <sortCondition descending="1" ref="H1:H3"/>
  </sortState>
  <tableColumns count="16">
    <tableColumn id="1" name="EMPRESA" totalsRowLabel="Total"/>
    <tableColumn id="2" name="HOJA CB" totalsRowFunction="count" totalsRowDxfId="105"/>
    <tableColumn id="3" name="REFRESCADO" dataDxfId="104" totalsRowDxfId="103"/>
    <tableColumn id="14" name="TIPO" dataDxfId="102" totalsRowDxfId="101"/>
    <tableColumn id="16" name="BASE DATOS" dataDxfId="100" totalsRowDxfId="99"/>
    <tableColumn id="4" name="INICIO" totalsRowFunction="min" dataDxfId="98" totalsRowDxfId="97"/>
    <tableColumn id="7" name="FIN" totalsRowFunction="max" dataDxfId="96" totalsRowDxfId="95"/>
    <tableColumn id="5" name="DURACIÓN" totalsRowFunction="sum" dataDxfId="94" totalsRowDxfId="93">
      <calculatedColumnFormula>tbl_Fechas_Refrescado[[#This Row],[FIN]]-tbl_Fechas_Refrescado[[#This Row],[INICIO]]</calculatedColumnFormula>
    </tableColumn>
    <tableColumn id="15" name="RAZÓN" dataDxfId="92" totalsRowDxfId="91"/>
    <tableColumn id="6" name="DIAS PERIODO" totalsRowFunction="max" dataDxfId="90" totalsRowDxfId="89"/>
    <tableColumn id="13" name="DUPLICADOS" totalsRowFunction="sum" dataDxfId="88" totalsRowDxfId="87"/>
    <tableColumn id="8" name="SKUs Totales" totalsRowFunction="sum" dataDxfId="86" totalsRowDxfId="85"/>
    <tableColumn id="9" name="SKUs Buffer" totalsRowFunction="sum" dataDxfId="84" totalsRowDxfId="83"/>
    <tableColumn id="10" name="COSTO BUFFER" totalsRowFunction="sum" dataDxfId="82" totalsRowDxfId="81"/>
    <tableColumn id="11" name="COSTO FISICO" totalsRowFunction="sum" dataDxfId="80" totalsRowDxfId="79"/>
    <tableColumn id="12" name="COSTO TRANSITO" totalsRowFunction="sum" dataDxfId="78" totalsRowDxfId="77"/>
  </tableColumns>
  <tableStyleInfo name="TableStyleDark10" showFirstColumn="0" showLastColumn="0" showRowStripes="1" showColumnStripes="0"/>
</table>
</file>

<file path=xl/tables/table5.xml><?xml version="1.0" encoding="utf-8"?>
<table xmlns="http://schemas.openxmlformats.org/spreadsheetml/2006/main" id="13" name="Tabla_EMPRESA" displayName="Tabla_EMPRESA" ref="A1:A3" tableType="queryTable" totalsRowShown="0">
  <autoFilter ref="A1:A3"/>
  <tableColumns count="1">
    <tableColumn id="1" uniqueName="1" name="NombreEmpresa" queryTableFieldId="1"/>
  </tableColumns>
  <tableStyleInfo name="TableStyleDark9" showFirstColumn="0" showLastColumn="0" showRowStripes="1" showColumnStripes="0"/>
</table>
</file>

<file path=xl/tables/table6.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7.xml><?xml version="1.0" encoding="utf-8"?>
<table xmlns="http://schemas.openxmlformats.org/spreadsheetml/2006/main" id="1" name="ARCHIVOSCB" displayName="ARCHIVOSCB" ref="A1:F2" insertRow="1" totalsRowShown="0">
  <autoFilter ref="A1:F2"/>
  <tableColumns count="6">
    <tableColumn id="1" name="CODIGO" dataDxfId="76"/>
    <tableColumn id="5" name="EMPRESA"/>
    <tableColumn id="2" name="DIRECTORIO"/>
    <tableColumn id="3" name="ARCHIVO"/>
    <tableColumn id="4" name="PATH" dataDxfId="75">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8.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74"/>
    <tableColumn id="5" name="EMPRESA"/>
    <tableColumn id="6" name="BODEGA"/>
    <tableColumn id="4" name="PATH" dataDxfId="73"/>
    <tableColumn id="2" name="ARCHIVO" dataDxfId="72">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9.xml><?xml version="1.0" encoding="utf-8"?>
<table xmlns="http://schemas.openxmlformats.org/spreadsheetml/2006/main" id="12" name="Tabla_Perfiles" displayName="Tabla_Perfiles" ref="B1:F2" insertRow="1" totalsRowShown="0" headerRowDxfId="71" dataDxfId="70">
  <autoFilter ref="B1:F2"/>
  <tableColumns count="5">
    <tableColumn id="5" name="PERFIL" dataDxfId="69"/>
    <tableColumn id="1" name="FREC REP" dataDxfId="68"/>
    <tableColumn id="2" name="TIEMP SUMINIS" dataDxfId="67"/>
    <tableColumn id="3" name="HORIZONTE" dataDxfId="66"/>
    <tableColumn id="4" name="T NIV SER (DIAS)" dataDxfId="65"/>
  </tableColumns>
  <tableStyleInfo name="TableStyleMedium9" showFirstColumn="0" showLastColumn="0" showRowStripes="1" showColumnStripes="0"/>
</table>
</file>

<file path=xl/tables/table10.xml><?xml version="1.0" encoding="utf-8"?>
<table xmlns="http://schemas.openxmlformats.org/spreadsheetml/2006/main" id="9" name="Tabla_Proveedores" displayName="Tabla_Proveedores" ref="A1:D81" totalsRowShown="0">
  <autoFilter ref="A1:D81"/>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11.xml><?xml version="1.0" encoding="utf-8"?>
<table xmlns="http://schemas.openxmlformats.org/spreadsheetml/2006/main" id="3" name="Tabla_DIAS_RESTANTES" displayName="Tabla_DIAS_RESTANTES" ref="A2:C3" insertRow="1" totalsRowShown="0">
  <autoFilter ref="A2:C3"/>
  <sortState ref="A3:C6">
    <sortCondition ref="C2"/>
  </sortState>
  <tableColumns count="3">
    <tableColumn id="4" name="ARCHIVO"/>
    <tableColumn id="2" name="FIN PERÍODO" dataDxfId="64"/>
    <tableColumn id="3" name="RESTAN" dataDxfId="63">
      <calculatedColumnFormula>Tabla_DIAS_RESTANTES[[#This Row],[FIN PERÍODO]]-TODAY()</calculatedColumnFormula>
    </tableColumn>
  </tableColumns>
  <tableStyleInfo name="TableStyleMedium17" showFirstColumn="0" showLastColumn="0" showRowStripes="1" showColumnStripes="0"/>
</table>
</file>

<file path=xl/tables/table12.xml><?xml version="1.0" encoding="utf-8"?>
<table xmlns="http://schemas.openxmlformats.org/spreadsheetml/2006/main" id="5" name="Tabla_NUMERO_ITEMS" displayName="Tabla_NUMERO_ITEMS" ref="A2:D4" insertRow="1" totalsRowCount="1" headerRowDxfId="62">
  <autoFilter ref="A2:D3"/>
  <tableColumns count="4">
    <tableColumn id="2" name="HOJA CB" totalsRowLabel="TOTALES" totalsRowDxfId="61"/>
    <tableColumn id="3" name="TODOS ITEMS" totalsRowFunction="sum" dataDxfId="60" totalsRowDxfId="59"/>
    <tableColumn id="4" name="ITEMS CON BUFFER" totalsRowFunction="sum" dataDxfId="58" totalsRowDxfId="57"/>
    <tableColumn id="1" name="% ITEMS CON BUFFER" totalsRowFunction="average" dataDxfId="56" totalsRowDxfId="55">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3.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4.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5.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54"/>
  </tableColumns>
  <tableStyleInfo name="TableStyleMedium9" showFirstColumn="0" showLastColumn="0" showRowStripes="1" showColumnStripes="0"/>
</table>
</file>

<file path=xl/tables/table16.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7.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53"/>
    <tableColumn id="7" uniqueName="7" name="PATH" queryTableFieldId="7" dataDxfId="52"/>
    <tableColumn id="5" uniqueName="5" name="COMPLETO" queryTableFieldId="5" dataDxfId="51">
      <calculatedColumnFormula>Tabla_Path_Codigo_Nueva[PATH]&amp;"\"&amp;Tabla_Path_Codigo_Nueva[ARCHIVO]</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id="20" name="tbl_Hojas_Cb_Empresa" displayName="tbl_Hojas_Cb_Empresa" ref="P1:P3" totalsRowShown="0">
  <autoFilter ref="P1:P3"/>
  <tableColumns count="1">
    <tableColumn id="1" name="Hojas CB"/>
  </tableColumns>
  <tableStyleInfo name="TableStyleMedium9" showFirstColumn="0" showLastColumn="0" showRowStripes="1" showColumnStripes="0"/>
</table>
</file>

<file path=xl/tables/table19.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20.xml><?xml version="1.0" encoding="utf-8"?>
<table xmlns="http://schemas.openxmlformats.org/spreadsheetml/2006/main" id="23" name="tbl_Refrescado_ERP" displayName="tbl_Refrescado_ERP" ref="E1:F5" totalsRowShown="0">
  <autoFilter ref="E1:F5"/>
  <tableColumns count="2">
    <tableColumn id="1" name="TABLA"/>
    <tableColumn id="2" name="FECHA"/>
  </tableColumns>
  <tableStyleInfo name="TableStyleMedium10" showFirstColumn="0" showLastColumn="0" showRowStripes="1" showColumnStripes="0"/>
</table>
</file>

<file path=xl/tables/table21.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22.xml><?xml version="1.0" encoding="utf-8"?>
<table xmlns="http://schemas.openxmlformats.org/spreadsheetml/2006/main" id="16" name="Alertas" displayName="Alertas" ref="A1:A7" totalsRowShown="0">
  <autoFilter ref="A1:A7"/>
  <tableColumns count="1">
    <tableColumn id="1" name="Maquinas ECHO - SHINDAIWA.xlsm"/>
  </tableColumns>
  <tableStyleInfo name="TableStyleMedium9" showFirstColumn="0" showLastColumn="0" showRowStripes="1" showColumnStripes="0"/>
</table>
</file>

<file path=xl/tables/table23.xml><?xml version="1.0" encoding="utf-8"?>
<table xmlns="http://schemas.openxmlformats.org/spreadsheetml/2006/main" id="17" name="HojasCB" displayName="HojasCB" ref="A1:C3" totalsRowShown="0">
  <autoFilter ref="A1:C3"/>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trlProp" Target="../ctrlProps/ctrlProp7.xml"/><Relationship Id="rId3" Type="http://schemas.openxmlformats.org/officeDocument/2006/relationships/vmlDrawing" Target="../drawings/vmlDrawing1.vml"/><Relationship Id="rId21" Type="http://schemas.openxmlformats.org/officeDocument/2006/relationships/ctrlProp" Target="../ctrlProps/ctrlProp2.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trlProp" Target="../ctrlProps/ctrlProp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trlProp" Target="../ctrlProps/ctrlProp5.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ctrlProp" Target="../ctrlProps/ctrlProp4.xml"/><Relationship Id="rId28" Type="http://schemas.openxmlformats.org/officeDocument/2006/relationships/comments" Target="../comments1.xml"/><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trlProp" Target="../ctrlProps/ctrlProp3.xml"/><Relationship Id="rId27"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table" Target="../tables/table4.xml"/><Relationship Id="rId5" Type="http://schemas.openxmlformats.org/officeDocument/2006/relationships/image" Target="../media/image19.emf"/><Relationship Id="rId4" Type="http://schemas.openxmlformats.org/officeDocument/2006/relationships/control" Target="../activeX/activeX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vmlDrawing" Target="../drawings/vmlDrawing5.vml"/><Relationship Id="rId7" Type="http://schemas.openxmlformats.org/officeDocument/2006/relationships/image" Target="../media/image21.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1.xml"/><Relationship Id="rId5" Type="http://schemas.openxmlformats.org/officeDocument/2006/relationships/image" Target="../media/image20.emf"/><Relationship Id="rId4" Type="http://schemas.openxmlformats.org/officeDocument/2006/relationships/control" Target="../activeX/activeX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table" Target="../tables/table11.xml"/><Relationship Id="rId5" Type="http://schemas.openxmlformats.org/officeDocument/2006/relationships/image" Target="../media/image22.emf"/><Relationship Id="rId4" Type="http://schemas.openxmlformats.org/officeDocument/2006/relationships/control" Target="../activeX/activeX1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table" Target="../tables/table12.xml"/><Relationship Id="rId5" Type="http://schemas.openxmlformats.org/officeDocument/2006/relationships/image" Target="../media/image23.emf"/><Relationship Id="rId4" Type="http://schemas.openxmlformats.org/officeDocument/2006/relationships/control" Target="../activeX/activeX13.xml"/></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image" Target="../media/image25.emf"/><Relationship Id="rId5" Type="http://schemas.openxmlformats.org/officeDocument/2006/relationships/control" Target="../activeX/activeX15.xml"/><Relationship Id="rId4" Type="http://schemas.openxmlformats.org/officeDocument/2006/relationships/image" Target="../media/image24.emf"/></Relationships>
</file>

<file path=xl/worksheets/_rels/sheet19.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printerSettings" Target="../printerSettings/printerSettings10.bin"/><Relationship Id="rId4"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27.emf"/><Relationship Id="rId2" Type="http://schemas.openxmlformats.org/officeDocument/2006/relationships/drawing" Target="../drawings/drawing10.xml"/><Relationship Id="rId1" Type="http://schemas.openxmlformats.org/officeDocument/2006/relationships/printerSettings" Target="../printerSettings/printerSettings12.bin"/><Relationship Id="rId6" Type="http://schemas.openxmlformats.org/officeDocument/2006/relationships/control" Target="../activeX/activeX17.xml"/><Relationship Id="rId5" Type="http://schemas.openxmlformats.org/officeDocument/2006/relationships/image" Target="../media/image26.emf"/><Relationship Id="rId4" Type="http://schemas.openxmlformats.org/officeDocument/2006/relationships/control" Target="../activeX/activeX16.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4.bin"/><Relationship Id="rId5" Type="http://schemas.openxmlformats.org/officeDocument/2006/relationships/table" Target="../tables/table22.xml"/><Relationship Id="rId4" Type="http://schemas.openxmlformats.org/officeDocument/2006/relationships/ctrlProp" Target="../ctrlProps/ctrlProp11.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GC126"/>
  <sheetViews>
    <sheetView showGridLines="0" tabSelected="1" zoomScale="80" zoomScaleNormal="80" workbookViewId="0">
      <pane xSplit="10" ySplit="13" topLeftCell="K14" activePane="bottomRight" state="frozen"/>
      <selection pane="topRight" activeCell="K1" sqref="K1"/>
      <selection pane="bottomLeft" activeCell="A14" sqref="A14"/>
      <selection pane="bottomRight" activeCell="A14" sqref="A14"/>
    </sheetView>
  </sheetViews>
  <sheetFormatPr baseColWidth="10" defaultColWidth="11.42578125" defaultRowHeight="15" x14ac:dyDescent="0.25"/>
  <cols>
    <col min="1" max="1" width="33.7109375" style="33" customWidth="1"/>
    <col min="2" max="2" width="9.7109375" style="33" customWidth="1"/>
    <col min="3" max="8" width="12.7109375" style="33" customWidth="1"/>
    <col min="9" max="9" width="12.42578125" style="33" customWidth="1"/>
    <col min="10" max="14" width="11.7109375" style="33" customWidth="1"/>
    <col min="15" max="16" width="13.7109375" style="33" customWidth="1"/>
    <col min="17" max="17" width="13.140625" style="33" customWidth="1"/>
    <col min="18" max="18" width="13.85546875" style="33" customWidth="1"/>
    <col min="19" max="19" width="34" style="33" customWidth="1"/>
    <col min="20" max="20" width="11.42578125" style="33" hidden="1" customWidth="1"/>
    <col min="21" max="26" width="11.42578125" style="33"/>
    <col min="27" max="32" width="12.7109375" style="33" customWidth="1"/>
    <col min="33" max="33" width="12.42578125" style="33" customWidth="1"/>
    <col min="34" max="38" width="11.7109375" style="33" customWidth="1"/>
    <col min="39" max="40" width="13.7109375" style="33" customWidth="1"/>
    <col min="41" max="41" width="13.140625" style="33" customWidth="1"/>
    <col min="42" max="42" width="13.85546875" style="33" customWidth="1"/>
    <col min="43" max="43" width="29.85546875" style="33" customWidth="1"/>
    <col min="44" max="44" width="11.42578125" style="33" customWidth="1"/>
    <col min="45" max="183" width="11.42578125" style="33"/>
    <col min="184" max="184" width="21.85546875" style="33" customWidth="1"/>
    <col min="185" max="16384" width="11.42578125" style="33"/>
  </cols>
  <sheetData>
    <row r="1" spans="1:97" ht="15" customHeight="1" x14ac:dyDescent="0.25">
      <c r="A1" s="30"/>
      <c r="B1" s="70" t="str">
        <f ca="1">INDEX(Indicaciones[Indicación],RANDBETWEEN(1,MAX(Indicaciones[ID])))</f>
        <v>¿Se posponen demasiado las alertas? Algo malo está pasando. Comunicar inmediatamente.</v>
      </c>
      <c r="C1" s="31"/>
      <c r="D1" s="31"/>
      <c r="E1" s="31"/>
      <c r="F1" s="31"/>
      <c r="G1" s="32"/>
      <c r="H1" s="32"/>
      <c r="I1" s="32"/>
      <c r="J1" s="86">
        <v>43252</v>
      </c>
      <c r="CQ1" s="74" t="s">
        <v>37</v>
      </c>
      <c r="CR1" s="79"/>
      <c r="CS1" s="85">
        <v>43243</v>
      </c>
    </row>
    <row r="2" spans="1:97" ht="15" customHeight="1" x14ac:dyDescent="0.25">
      <c r="A2" s="32"/>
      <c r="B2" s="32"/>
      <c r="C2" s="32"/>
      <c r="D2" s="32"/>
      <c r="E2" s="71"/>
      <c r="F2" s="71"/>
      <c r="G2" s="71"/>
      <c r="H2" s="71"/>
      <c r="I2" s="71"/>
      <c r="J2" s="71"/>
      <c r="K2" s="71"/>
      <c r="L2" s="76"/>
      <c r="M2" s="76"/>
      <c r="N2" s="76"/>
      <c r="O2" s="76"/>
      <c r="P2" s="76"/>
      <c r="Q2" s="76"/>
      <c r="R2" s="76"/>
      <c r="S2" s="76"/>
      <c r="T2" s="76"/>
    </row>
    <row r="3" spans="1:97" ht="15" customHeight="1" x14ac:dyDescent="0.25">
      <c r="A3" s="32"/>
      <c r="C3" s="36"/>
      <c r="D3" s="36"/>
      <c r="E3" s="71"/>
      <c r="F3" s="71"/>
      <c r="G3" s="72" t="s">
        <v>36</v>
      </c>
      <c r="H3" s="77"/>
      <c r="I3" s="78" t="str">
        <f>IF(COUNTIF(tbl_HojasCB[REFRESCADA],"1 - 1")=COUNTA(tbl_HojasCB[HOJAS]),"Completo","Incompleto")</f>
        <v>Completo</v>
      </c>
      <c r="J3" s="71"/>
      <c r="K3" s="71"/>
      <c r="L3" s="76"/>
      <c r="M3" s="76"/>
      <c r="N3" s="76"/>
      <c r="O3" s="76"/>
      <c r="P3" s="76"/>
      <c r="Q3" s="76"/>
      <c r="R3" s="76"/>
      <c r="S3" s="76"/>
      <c r="T3" s="76"/>
    </row>
    <row r="4" spans="1:97" ht="15" customHeight="1" x14ac:dyDescent="0.25">
      <c r="A4" s="32"/>
      <c r="C4" s="34"/>
      <c r="D4" s="34"/>
      <c r="E4" s="73"/>
      <c r="F4" s="73"/>
      <c r="G4" s="74" t="s">
        <v>254</v>
      </c>
      <c r="H4" s="79"/>
      <c r="I4" s="84">
        <f>DURACIONREFRESCADO</f>
        <v>2.3148148102336563E-3</v>
      </c>
      <c r="J4" s="71"/>
      <c r="N4" s="76"/>
      <c r="O4" s="80"/>
      <c r="P4" s="76"/>
      <c r="Q4" s="76"/>
      <c r="R4" s="76"/>
      <c r="S4" s="76"/>
      <c r="T4" s="76"/>
    </row>
    <row r="5" spans="1:97" ht="15" customHeight="1" x14ac:dyDescent="0.35">
      <c r="A5" s="35"/>
      <c r="B5" s="36"/>
      <c r="E5" s="75"/>
      <c r="F5" s="75"/>
      <c r="G5" s="81" t="s">
        <v>38</v>
      </c>
      <c r="H5" s="82"/>
      <c r="I5" s="85">
        <f>IFERROR(INDEX(tbl_Refrescado_ERP[FECHA],MATCH("BODEGA",tbl_Refrescado_ERP[TABLA],0)),"SIN DATOS")</f>
        <v>43254</v>
      </c>
      <c r="J5" s="76"/>
      <c r="K5" s="76"/>
      <c r="L5" s="76"/>
      <c r="M5" s="76"/>
      <c r="N5" s="76"/>
      <c r="O5" s="76"/>
      <c r="P5" s="76"/>
      <c r="Q5" s="76"/>
      <c r="R5" s="76"/>
      <c r="S5" s="76"/>
      <c r="T5" s="76"/>
    </row>
    <row r="6" spans="1:97" ht="15" customHeight="1" x14ac:dyDescent="0.3">
      <c r="A6" s="37"/>
      <c r="B6" s="32"/>
      <c r="C6" s="32"/>
      <c r="D6" s="32"/>
      <c r="E6" s="71"/>
      <c r="F6" s="71"/>
      <c r="G6" s="83" t="s">
        <v>40</v>
      </c>
      <c r="H6" s="79"/>
      <c r="I6" s="85">
        <f>IFERROR(INDEX(tbl_Refrescado_ERP[FECHA],MATCH("PRODUCTO",tbl_Refrescado_ERP[TABLA],0)),"SIN DATOS")</f>
        <v>43254</v>
      </c>
      <c r="J6" s="76"/>
      <c r="K6" s="76"/>
      <c r="L6" s="76"/>
      <c r="M6" s="76"/>
      <c r="N6" s="76"/>
      <c r="O6" s="76"/>
      <c r="P6" s="76"/>
      <c r="Q6" s="76"/>
      <c r="R6" s="76"/>
      <c r="S6" s="76"/>
      <c r="T6" s="76"/>
    </row>
    <row r="7" spans="1:97" ht="15" customHeight="1" x14ac:dyDescent="0.25">
      <c r="A7" s="32"/>
      <c r="B7" s="32"/>
      <c r="C7" s="32"/>
      <c r="D7" s="32"/>
      <c r="E7" s="71"/>
      <c r="F7" s="71"/>
      <c r="G7" s="55" t="s">
        <v>39</v>
      </c>
      <c r="H7" s="48"/>
      <c r="I7" s="85">
        <f>IFERROR(INDEX(tbl_Refrescado_ERP[FECHA],MATCH("INVENTARIO",tbl_Refrescado_ERP[TABLA],0)),"SIN DATOS")</f>
        <v>43254</v>
      </c>
      <c r="J7" s="76"/>
      <c r="K7" s="76"/>
      <c r="L7" s="76"/>
      <c r="M7" s="76"/>
      <c r="N7" s="76"/>
      <c r="O7" s="76"/>
      <c r="P7" s="76"/>
      <c r="Q7" s="76"/>
      <c r="R7" s="76"/>
      <c r="S7" s="76"/>
      <c r="T7" s="76"/>
    </row>
    <row r="8" spans="1:97" ht="15" customHeight="1" x14ac:dyDescent="0.25">
      <c r="A8" s="52" t="s">
        <v>59</v>
      </c>
      <c r="B8" s="53"/>
      <c r="C8" s="36"/>
      <c r="D8" s="59" t="str">
        <f ca="1">HYPERLINK("["&amp;LEFT(CELL("filename",A1),FIND("[",CELL("filename",A1))-2)&amp;"\CONTROL DE BUFFERS\ARCHIVO\ARCHIVO.xlsm]","Archivo")</f>
        <v>Archivo</v>
      </c>
      <c r="E8" s="61" t="str">
        <f ca="1">HYPERLINK(LEFT(CELL("filename",A1),FIND("[",CELL("filename",A1))-2)&amp;"\CONTROL DE BUFFERS\ARCHIVO\","dir")</f>
        <v>dir</v>
      </c>
      <c r="F8" s="32"/>
      <c r="G8" s="54" t="s">
        <v>48</v>
      </c>
      <c r="H8" s="49"/>
      <c r="I8" s="85">
        <f>IFERROR(INDEX(tbl_Refrescado_ERP[FECHA],MATCH("CONSUMO",tbl_Refrescado_ERP[TABLA],0)),"SIN DATOS")</f>
        <v>43253</v>
      </c>
    </row>
    <row r="9" spans="1:97" ht="15" customHeight="1" x14ac:dyDescent="0.25">
      <c r="A9" s="59" t="str">
        <f>HYPERLINK("[O:\COMPROMETIDOS Y BACKORDERS\COMPROMETIDOS Y BACKORDERS.xlsm]Comprometidos!a1","Comprometidos")</f>
        <v>Comprometidos</v>
      </c>
      <c r="B9" s="61" t="str">
        <f>HYPERLINK("O:\COMPROMETIDOS Y BACKORDERS\","dir")</f>
        <v>dir</v>
      </c>
      <c r="C9" s="32"/>
      <c r="D9" s="59" t="str">
        <f ca="1">HYPERLINK("["&amp;LEFT(CELL("filename",L3),FIND("[",CELL("filename",L3))-2)&amp;"\CONTROL DE BUFFERS\SIMULADOR\Simulacion RAM CAS.xlsm]","SIMULADOR BUFFERS")</f>
        <v>SIMULADOR BUFFERS</v>
      </c>
      <c r="E9" s="38"/>
      <c r="F9" s="32"/>
      <c r="G9" s="56" t="s">
        <v>44</v>
      </c>
      <c r="H9" s="49"/>
      <c r="I9" s="50">
        <v>0.20833333333333334</v>
      </c>
    </row>
    <row r="10" spans="1:97" ht="15" customHeight="1" x14ac:dyDescent="0.25">
      <c r="A10" s="59" t="str">
        <f>HYPERLINK("[O:\COMPROMETIDOS Y BACKORDERS\COMPROMETIDOS Y BACKORDERS.xlsm]Backorders!a1","Backorders")</f>
        <v>Backorders</v>
      </c>
      <c r="B10" s="61" t="str">
        <f>HYPERLINK("O:\COMPROMETIDOS Y BACKORDERS\","dir")</f>
        <v>dir</v>
      </c>
      <c r="C10" s="32"/>
      <c r="D10" s="60" t="str">
        <f>IFERROR(IF(COUNTA(Alertas!$A$1)&gt;0,"HAY ALERTAS","NO HAY ALERTAS"),"NO HAY ALERTAS")</f>
        <v>HAY ALERTAS</v>
      </c>
      <c r="E10" s="39"/>
      <c r="F10" s="32"/>
      <c r="G10" s="57" t="s">
        <v>112</v>
      </c>
      <c r="H10" s="48"/>
      <c r="I10" s="51">
        <v>0.16666666666666666</v>
      </c>
    </row>
    <row r="11" spans="1:97" ht="15" customHeight="1" x14ac:dyDescent="0.25">
      <c r="A11" s="40"/>
      <c r="B11" s="32"/>
      <c r="C11" s="32"/>
      <c r="D11" s="59" t="str">
        <f ca="1">HYPERLINK("["&amp;LEFT(CELL("filename",A1),FIND("[",CELL("filename",A1))-2)&amp;"\CONTROL DE BUFFERS\PLANTILLAS\Plantilla Copiado Pegado.xlsx]","Copiado y Pegado")</f>
        <v>Copiado y Pegado</v>
      </c>
      <c r="E11" s="38"/>
      <c r="F11" s="32"/>
      <c r="G11" s="57" t="s">
        <v>49</v>
      </c>
      <c r="H11" s="48"/>
      <c r="I11" s="51">
        <v>0.99305555555555547</v>
      </c>
    </row>
    <row r="12" spans="1:97" ht="12.75" customHeight="1" x14ac:dyDescent="0.25"/>
    <row r="13" spans="1:97" ht="26.25" customHeight="1" x14ac:dyDescent="0.25">
      <c r="A13" s="41" t="s">
        <v>218</v>
      </c>
      <c r="B13" s="41" t="s">
        <v>253</v>
      </c>
      <c r="C13" s="41" t="s">
        <v>69</v>
      </c>
      <c r="D13" s="41" t="s">
        <v>221</v>
      </c>
      <c r="E13" s="41" t="s">
        <v>223</v>
      </c>
      <c r="F13" s="41" t="s">
        <v>225</v>
      </c>
      <c r="G13" s="41" t="s">
        <v>226</v>
      </c>
      <c r="H13" s="42" t="s">
        <v>222</v>
      </c>
      <c r="I13" s="42" t="s">
        <v>251</v>
      </c>
      <c r="J13" s="41" t="s">
        <v>219</v>
      </c>
      <c r="K13" s="41" t="s">
        <v>220</v>
      </c>
      <c r="L13" s="41" t="s">
        <v>224</v>
      </c>
      <c r="M13" s="41" t="s">
        <v>72</v>
      </c>
      <c r="N13" s="41" t="s">
        <v>230</v>
      </c>
      <c r="O13" s="41" t="s">
        <v>228</v>
      </c>
      <c r="P13" s="41" t="s">
        <v>229</v>
      </c>
      <c r="Q13" s="41" t="s">
        <v>62</v>
      </c>
      <c r="R13" s="41" t="s">
        <v>227</v>
      </c>
      <c r="S13" s="41" t="s">
        <v>79</v>
      </c>
      <c r="T13" s="41" t="s">
        <v>252</v>
      </c>
    </row>
    <row r="14" spans="1:97" ht="15" customHeight="1" x14ac:dyDescent="0.25">
      <c r="A14" s="62" t="s">
        <v>213</v>
      </c>
      <c r="B14" s="63">
        <f>IFERROR(INDEX(tbl_hojascb_estado_hoy[alertas],tbl_HojasCB[[#This Row],[Coincidir]]),"")</f>
        <v>6</v>
      </c>
      <c r="C14" s="64">
        <f>IFERROR(INDEX(tbl_hojascb_estado_hoy[costo_buffer],tbl_HojasCB[[#This Row],[Coincidir]]),"")</f>
        <v>876422.42</v>
      </c>
      <c r="D14" s="64">
        <f>IFERROR(INDEX(tbl_hojascb_estado_hoy[costo_fisico],tbl_HojasCB[[#This Row],[Coincidir]]),"")</f>
        <v>185483.42</v>
      </c>
      <c r="E14" s="64">
        <f>IFERROR(INDEX(tbl_hojascb_estado_hoy[costo_transito],tbl_HojasCB[[#This Row],[Coincidir]]),"")</f>
        <v>209520.14</v>
      </c>
      <c r="F14" s="64">
        <f>IFERROR(INDEX(tbl_hojascb_estado_hoy[costo_comprometido],tbl_HojasCB[[#This Row],[Coincidir]]),"")</f>
        <v>0</v>
      </c>
      <c r="G14" s="64">
        <f>IFERROR(INDEX(tbl_hojascb_estado_hoy[costo_backorder],tbl_HojasCB[[#This Row],[Coincidir]]),"")</f>
        <v>1426.24</v>
      </c>
      <c r="H14" s="64">
        <f>IFERROR(INDEX(tbl_hojascb_estado_hoy[costo_proyectado],tbl_HojasCB[[#This Row],[Coincidir]]),"")</f>
        <v>396429.8</v>
      </c>
      <c r="I14" s="64">
        <f>IFERROR(INDEX(tbl_hojascb_estado_hoy[costo_total],tbl_HojasCB[[#This Row],[Coincidir]]),"")</f>
        <v>395003.56</v>
      </c>
      <c r="J14" s="65">
        <f>IFERROR(INDEX(tbl_hojascb_estado_hoy[sku_totales],tbl_HojasCB[[#This Row],[Coincidir]]),"")</f>
        <v>59</v>
      </c>
      <c r="K14" s="65">
        <f>IFERROR(INDEX(tbl_hojascb_estado_hoy[sku_buffer],tbl_HojasCB[[#This Row],[Coincidir]]),"")</f>
        <v>44</v>
      </c>
      <c r="L14" s="65">
        <f>IFERROR(INDEX(tbl_hojascb_estado_hoy[dias_periodo],tbl_HojasCB[[#This Row],[Coincidir]]),"")</f>
        <v>237</v>
      </c>
      <c r="M14" s="65">
        <f>IFERROR(INDEX(tbl_hojascb_estado_hoy[duplicados],tbl_HojasCB[[#This Row],[Coincidir]]),"")</f>
        <v>0</v>
      </c>
      <c r="N14" s="66" t="str">
        <f>IFERROR(INDEX(tbl_hojascb_estado_hoy[refrescada],tbl_HojasCB[[#This Row],[Coincidir]]),"")&amp;" - "&amp;IFERROR(INDEX(tbl_hojascb_estado_hoy[base_datos],tbl_HojasCB[[#This Row],[Coincidir]]),"")</f>
        <v>1 - 1</v>
      </c>
      <c r="O14" s="67">
        <f>IFERROR(INDEX(tbl_hojascb_estado_hoy[inicio_refrescado],tbl_HojasCB[[#This Row],[Coincidir]]),"")</f>
        <v>43254.867604166669</v>
      </c>
      <c r="P14" s="67">
        <f>IFERROR(INDEX(tbl_hojascb_estado_hoy[fin_refrescado],tbl_HojasCB[[#This Row],[Coincidir]]),"")</f>
        <v>43254.869189814817</v>
      </c>
      <c r="Q14" s="68">
        <f>IFERROR(tbl_HojasCB[[#This Row],[REFRESCADO_FIN]]-tbl_HojasCB[[#This Row],[REFRESCADO_INI]],"")</f>
        <v>1.5856481477385387E-3</v>
      </c>
      <c r="R14" s="67">
        <f>IFERROR(INDEX(tbl_hojascb_estado_hoy[guardado],tbl_HojasCB[[#This Row],[Coincidir]]),"")</f>
        <v>43254.869386574072</v>
      </c>
      <c r="S14" s="69" t="str">
        <f>IF(IFERROR(INDEX(tbl_hojascb_estado_hoy[razon],tbl_HojasCB[[#This Row],[Coincidir]]),"")=0,"",IFERROR(INDEX(tbl_hojascb_estado_hoy[razon],tbl_HojasCB[[#This Row],[Coincidir]]),""))</f>
        <v/>
      </c>
      <c r="T14" s="66">
        <f>MATCH(EMP&amp;tbl_HojasCB[[#This Row],[HOJAS]],tbl_hojascb_estado_hoy[empresa_hoja],0)</f>
        <v>4</v>
      </c>
    </row>
    <row r="15" spans="1:97" ht="15" customHeight="1" x14ac:dyDescent="0.25">
      <c r="A15" s="62" t="s">
        <v>286</v>
      </c>
      <c r="B15" s="63">
        <f>IFERROR(INDEX(tbl_hojascb_estado_hoy[alertas],tbl_HojasCB[[#This Row],[Coincidir]]),"")</f>
        <v>0</v>
      </c>
      <c r="C15" s="64">
        <f>IFERROR(INDEX(tbl_hojascb_estado_hoy[costo_buffer],tbl_HojasCB[[#This Row],[Coincidir]]),"")</f>
        <v>0</v>
      </c>
      <c r="D15" s="64">
        <f>IFERROR(INDEX(tbl_hojascb_estado_hoy[costo_fisico],tbl_HojasCB[[#This Row],[Coincidir]]),"")</f>
        <v>165.25</v>
      </c>
      <c r="E15" s="64">
        <f>IFERROR(INDEX(tbl_hojascb_estado_hoy[costo_transito],tbl_HojasCB[[#This Row],[Coincidir]]),"")</f>
        <v>0</v>
      </c>
      <c r="F15" s="64">
        <f>IFERROR(INDEX(tbl_hojascb_estado_hoy[costo_comprometido],tbl_HojasCB[[#This Row],[Coincidir]]),"")</f>
        <v>0</v>
      </c>
      <c r="G15" s="64">
        <f>IFERROR(INDEX(tbl_hojascb_estado_hoy[costo_backorder],tbl_HojasCB[[#This Row],[Coincidir]]),"")</f>
        <v>0</v>
      </c>
      <c r="H15" s="64">
        <f>IFERROR(INDEX(tbl_hojascb_estado_hoy[costo_proyectado],tbl_HojasCB[[#This Row],[Coincidir]]),"")</f>
        <v>165.25</v>
      </c>
      <c r="I15" s="64">
        <f>IFERROR(INDEX(tbl_hojascb_estado_hoy[costo_total],tbl_HojasCB[[#This Row],[Coincidir]]),"")</f>
        <v>165.25</v>
      </c>
      <c r="J15" s="65">
        <f>IFERROR(INDEX(tbl_hojascb_estado_hoy[sku_totales],tbl_HojasCB[[#This Row],[Coincidir]]),"")</f>
        <v>461</v>
      </c>
      <c r="K15" s="65">
        <f>IFERROR(INDEX(tbl_hojascb_estado_hoy[sku_buffer],tbl_HojasCB[[#This Row],[Coincidir]]),"")</f>
        <v>0</v>
      </c>
      <c r="L15" s="65">
        <f>IFERROR(INDEX(tbl_hojascb_estado_hoy[dias_periodo],tbl_HojasCB[[#This Row],[Coincidir]]),"")</f>
        <v>80</v>
      </c>
      <c r="M15" s="65">
        <f>IFERROR(INDEX(tbl_hojascb_estado_hoy[duplicados],tbl_HojasCB[[#This Row],[Coincidir]]),"")</f>
        <v>0</v>
      </c>
      <c r="N15" s="66" t="str">
        <f>IFERROR(INDEX(tbl_hojascb_estado_hoy[refrescada],tbl_HojasCB[[#This Row],[Coincidir]]),"")&amp;" - "&amp;IFERROR(INDEX(tbl_hojascb_estado_hoy[base_datos],tbl_HojasCB[[#This Row],[Coincidir]]),"")</f>
        <v>1 - 1</v>
      </c>
      <c r="O15" s="67">
        <f>IFERROR(INDEX(tbl_hojascb_estado_hoy[inicio_refrescado],tbl_HojasCB[[#This Row],[Coincidir]]),"")</f>
        <v>43254.864745370367</v>
      </c>
      <c r="P15" s="67">
        <f>IFERROR(INDEX(tbl_hojascb_estado_hoy[fin_refrescado],tbl_HojasCB[[#This Row],[Coincidir]]),"")</f>
        <v>43254.86582175926</v>
      </c>
      <c r="Q15" s="68">
        <f>IFERROR(tbl_HojasCB[[#This Row],[REFRESCADO_FIN]]-tbl_HojasCB[[#This Row],[REFRESCADO_INI]],"")</f>
        <v>1.0763888931251131E-3</v>
      </c>
      <c r="R15" s="67">
        <f>IFERROR(INDEX(tbl_hojascb_estado_hoy[guardado],tbl_HojasCB[[#This Row],[Coincidir]]),"")</f>
        <v>43254.866030092591</v>
      </c>
      <c r="S15" s="69" t="str">
        <f>IF(IFERROR(INDEX(tbl_hojascb_estado_hoy[razon],tbl_HojasCB[[#This Row],[Coincidir]]),"")=0,"",IFERROR(INDEX(tbl_hojascb_estado_hoy[razon],tbl_HojasCB[[#This Row],[Coincidir]]),""))</f>
        <v/>
      </c>
      <c r="T15" s="66">
        <f>MATCH(EMP&amp;tbl_HojasCB[[#This Row],[HOJAS]],tbl_hojascb_estado_hoy[empresa_hoja],0)</f>
        <v>5</v>
      </c>
    </row>
    <row r="16" spans="1:97" ht="15" customHeight="1" x14ac:dyDescent="0.25">
      <c r="A16" s="45" t="str">
        <f>"Total Hojas:  "&amp;SUBTOTAL(103,tbl_HojasCB[HOJAS])</f>
        <v>Total Hojas:  2</v>
      </c>
      <c r="B16" s="45">
        <f>SUBTOTAL(109,tbl_HojasCB[ALERTAS])</f>
        <v>6</v>
      </c>
      <c r="C16" s="43">
        <f>SUBTOTAL(109,tbl_HojasCB[COSTO BUFFER])</f>
        <v>876422.42</v>
      </c>
      <c r="D16" s="43">
        <f>SUBTOTAL(109,tbl_HojasCB[COSTO FÍSICO])</f>
        <v>185648.67</v>
      </c>
      <c r="E16" s="43">
        <f>SUBTOTAL(109,tbl_HojasCB[COSTO TRÁNSITO])</f>
        <v>209520.14</v>
      </c>
      <c r="F16" s="43">
        <f>SUBTOTAL(109,tbl_HojasCB[COSTO COMPROM])</f>
        <v>0</v>
      </c>
      <c r="G16" s="43">
        <f>SUBTOTAL(109,tbl_HojasCB[COSTO BACKORDER])</f>
        <v>1426.24</v>
      </c>
      <c r="H16" s="43">
        <f>SUBTOTAL(109,tbl_HojasCB[COSTO PROYECTADO])</f>
        <v>396595.05</v>
      </c>
      <c r="I16" s="43">
        <f>SUBTOTAL(109,tbl_HojasCB[COSTO TOTAL])</f>
        <v>395168.81</v>
      </c>
      <c r="J16" s="46">
        <f>SUBTOTAL(109,tbl_HojasCB[ÍTEMS TOTALES])</f>
        <v>520</v>
      </c>
      <c r="K16" s="46">
        <f>SUBTOTAL(109,tbl_HojasCB[ÍTEMS CON BUFFER])</f>
        <v>44</v>
      </c>
      <c r="L16" s="46">
        <f>SUBTOTAL(109,tbl_HojasCB[DÍAS PERÍODO])</f>
        <v>317</v>
      </c>
      <c r="M16" s="46">
        <f>SUBTOTAL(109,tbl_HojasCB[DUPLICADOS])</f>
        <v>0</v>
      </c>
      <c r="N16" s="45"/>
      <c r="O16" s="44">
        <f>SUBTOTAL(105,tbl_HojasCB[REFRESCADO_INI])</f>
        <v>43254.864745370367</v>
      </c>
      <c r="P16" s="44">
        <f>SUBTOTAL(104,tbl_HojasCB[REFRESCADO_FIN])</f>
        <v>43254.869189814817</v>
      </c>
      <c r="Q16" s="58">
        <f>SUBTOTAL(109,tbl_HojasCB[DURACIÓN])</f>
        <v>2.6620370408636518E-3</v>
      </c>
      <c r="R16" s="45"/>
      <c r="T16" s="45"/>
    </row>
    <row r="17" ht="15" customHeight="1" x14ac:dyDescent="0.25"/>
    <row r="18" ht="15" customHeight="1" x14ac:dyDescent="0.25"/>
    <row r="19" ht="15" customHeight="1" x14ac:dyDescent="0.25"/>
    <row r="20" ht="15" customHeight="1" x14ac:dyDescent="0.25"/>
    <row r="21" ht="15" customHeight="1" x14ac:dyDescent="0.25"/>
    <row r="126" spans="184:185" x14ac:dyDescent="0.25">
      <c r="GB126" s="47" t="s">
        <v>157</v>
      </c>
      <c r="GC126" s="33" t="s">
        <v>113</v>
      </c>
    </row>
  </sheetData>
  <sheetProtection algorithmName="SHA-512" hashValue="vYn54E/BETK2Cb0GGRNgWYmFcTzOBbSve3DAVZy8uQPjC3kZ6arwsz9MinrDyx3Dycph5ttDKHbhqTcCKMA2Yg==" saltValue="TMYBV9hJ91D1XVyG76GMzA==" spinCount="100000" sheet="1" objects="1" scenarios="1" sort="0" autoFilter="0"/>
  <conditionalFormatting sqref="I3">
    <cfRule type="expression" dxfId="30" priority="21" stopIfTrue="1">
      <formula>REFRESCADO="Completo"</formula>
    </cfRule>
    <cfRule type="expression" dxfId="29" priority="30">
      <formula>REFRESCADO="Incompleto"</formula>
    </cfRule>
  </conditionalFormatting>
  <conditionalFormatting sqref="D10:E10">
    <cfRule type="expression" dxfId="28" priority="26">
      <formula>$D10="NO HAY ALERTAS"</formula>
    </cfRule>
    <cfRule type="expression" dxfId="27" priority="27">
      <formula>$D10="HAY ALERTAS"</formula>
    </cfRule>
  </conditionalFormatting>
  <conditionalFormatting sqref="I5:I8">
    <cfRule type="expression" dxfId="26" priority="22">
      <formula>$I5&lt;&gt;TODAY()</formula>
    </cfRule>
  </conditionalFormatting>
  <conditionalFormatting sqref="A14:S15">
    <cfRule type="expression" dxfId="25" priority="1" stopIfTrue="1">
      <formula>OR(TRUNC($P14)&lt;TODAY(),$N14&lt;&gt;"1 - 1")</formula>
    </cfRule>
    <cfRule type="expression" dxfId="24" priority="7" stopIfTrue="1">
      <formula>$M14&gt;0</formula>
    </cfRule>
  </conditionalFormatting>
  <conditionalFormatting sqref="B14:B15">
    <cfRule type="colorScale" priority="3123">
      <colorScale>
        <cfvo type="num" val="0"/>
        <cfvo type="percentile" val="50"/>
        <cfvo type="num" val="6"/>
        <color rgb="FF63BE7B"/>
        <color rgb="FFFFEB84"/>
        <color rgb="FFF8696B"/>
      </colorScale>
    </cfRule>
  </conditionalFormatting>
  <conditionalFormatting sqref="G5:H5">
    <cfRule type="expression" dxfId="23" priority="5">
      <formula>NOT(trae_Bodega)</formula>
    </cfRule>
  </conditionalFormatting>
  <conditionalFormatting sqref="G7:H7">
    <cfRule type="expression" dxfId="22" priority="4">
      <formula>NOT(trae_Inventario)</formula>
    </cfRule>
  </conditionalFormatting>
  <conditionalFormatting sqref="G6:H6">
    <cfRule type="expression" dxfId="21" priority="3">
      <formula>NOT(trae_Producto)</formula>
    </cfRule>
  </conditionalFormatting>
  <conditionalFormatting sqref="G8:H8">
    <cfRule type="expression" dxfId="20" priority="2">
      <formula>NOT(trae_Consumo)</formula>
    </cfRule>
  </conditionalFormatting>
  <conditionalFormatting sqref="A14:T15">
    <cfRule type="expression" dxfId="19" priority="3122" stopIfTrue="1">
      <formula>$S14&lt;&gt;""</formula>
    </cfRule>
  </conditionalFormatting>
  <conditionalFormatting sqref="CS1">
    <cfRule type="expression" dxfId="18" priority="5625">
      <formula>$CS1&lt;&gt;TODAY()</formula>
    </cfRule>
  </conditionalFormatting>
  <conditionalFormatting sqref="C14:C15">
    <cfRule type="dataBar" priority="5667">
      <dataBar>
        <cfvo type="min"/>
        <cfvo type="max"/>
        <color rgb="FFFFB628"/>
      </dataBar>
      <extLst>
        <ext xmlns:x14="http://schemas.microsoft.com/office/spreadsheetml/2009/9/main" uri="{B025F937-C7B1-47D3-B67F-A62EFF666E3E}">
          <x14:id>{FB5FB2B2-C023-4D87-B7B1-C1AAB0250117}</x14:id>
        </ext>
      </extLst>
    </cfRule>
  </conditionalFormatting>
  <conditionalFormatting sqref="D14:D15">
    <cfRule type="dataBar" priority="5668">
      <dataBar>
        <cfvo type="min"/>
        <cfvo type="max"/>
        <color rgb="FFFFB628"/>
      </dataBar>
      <extLst>
        <ext xmlns:x14="http://schemas.microsoft.com/office/spreadsheetml/2009/9/main" uri="{B025F937-C7B1-47D3-B67F-A62EFF666E3E}">
          <x14:id>{2C29C2A8-FAA1-440F-BFA2-C382BCC5E323}</x14:id>
        </ext>
      </extLst>
    </cfRule>
  </conditionalFormatting>
  <conditionalFormatting sqref="E14:E15">
    <cfRule type="dataBar" priority="5669">
      <dataBar>
        <cfvo type="min"/>
        <cfvo type="max"/>
        <color rgb="FFFFB628"/>
      </dataBar>
      <extLst>
        <ext xmlns:x14="http://schemas.microsoft.com/office/spreadsheetml/2009/9/main" uri="{B025F937-C7B1-47D3-B67F-A62EFF666E3E}">
          <x14:id>{897C27A1-00D3-4A3C-88D0-3BDD15241711}</x14:id>
        </ext>
      </extLst>
    </cfRule>
  </conditionalFormatting>
  <conditionalFormatting sqref="G14:G15">
    <cfRule type="dataBar" priority="5670">
      <dataBar>
        <cfvo type="min"/>
        <cfvo type="max"/>
        <color rgb="FFFFB628"/>
      </dataBar>
      <extLst>
        <ext xmlns:x14="http://schemas.microsoft.com/office/spreadsheetml/2009/9/main" uri="{B025F937-C7B1-47D3-B67F-A62EFF666E3E}">
          <x14:id>{A341B4D6-0E62-4FBD-A05F-008DFBB8B5DE}</x14:id>
        </ext>
      </extLst>
    </cfRule>
  </conditionalFormatting>
  <conditionalFormatting sqref="H14:H15">
    <cfRule type="dataBar" priority="5671">
      <dataBar>
        <cfvo type="min"/>
        <cfvo type="max"/>
        <color rgb="FFFFB628"/>
      </dataBar>
      <extLst>
        <ext xmlns:x14="http://schemas.microsoft.com/office/spreadsheetml/2009/9/main" uri="{B025F937-C7B1-47D3-B67F-A62EFF666E3E}">
          <x14:id>{3158811A-C7EB-4B8B-A785-C7535AC56E09}</x14:id>
        </ext>
      </extLst>
    </cfRule>
  </conditionalFormatting>
  <conditionalFormatting sqref="I14:I15">
    <cfRule type="dataBar" priority="5672">
      <dataBar>
        <cfvo type="min"/>
        <cfvo type="max"/>
        <color rgb="FFFFB628"/>
      </dataBar>
      <extLst>
        <ext xmlns:x14="http://schemas.microsoft.com/office/spreadsheetml/2009/9/main" uri="{B025F937-C7B1-47D3-B67F-A62EFF666E3E}">
          <x14:id>{5996A4CF-CC5E-4A69-B718-A80ADBBD7738}</x14:id>
        </ext>
      </extLst>
    </cfRule>
  </conditionalFormatting>
  <conditionalFormatting sqref="J14:J15">
    <cfRule type="dataBar" priority="5673">
      <dataBar>
        <cfvo type="min"/>
        <cfvo type="max"/>
        <color rgb="FF63C384"/>
      </dataBar>
      <extLst>
        <ext xmlns:x14="http://schemas.microsoft.com/office/spreadsheetml/2009/9/main" uri="{B025F937-C7B1-47D3-B67F-A62EFF666E3E}">
          <x14:id>{CEB8BC71-8DBD-4C07-BC20-C7C459ABDFD2}</x14:id>
        </ext>
      </extLst>
    </cfRule>
  </conditionalFormatting>
  <conditionalFormatting sqref="K14:K15">
    <cfRule type="dataBar" priority="5674">
      <dataBar>
        <cfvo type="min"/>
        <cfvo type="max"/>
        <color rgb="FF63C384"/>
      </dataBar>
      <extLst>
        <ext xmlns:x14="http://schemas.microsoft.com/office/spreadsheetml/2009/9/main" uri="{B025F937-C7B1-47D3-B67F-A62EFF666E3E}">
          <x14:id>{0308F7F1-29C8-46E6-B876-11EB063F781A}</x14:id>
        </ext>
      </extLst>
    </cfRule>
  </conditionalFormatting>
  <conditionalFormatting sqref="F14:F15">
    <cfRule type="dataBar" priority="5675">
      <dataBar>
        <cfvo type="min"/>
        <cfvo type="max"/>
        <color rgb="FFFFB628"/>
      </dataBar>
      <extLst>
        <ext xmlns:x14="http://schemas.microsoft.com/office/spreadsheetml/2009/9/main" uri="{B025F937-C7B1-47D3-B67F-A62EFF666E3E}">
          <x14:id>{BC002F9D-636E-47D2-840E-33D6699C67B8}</x14:id>
        </ext>
      </extLst>
    </cfRule>
  </conditionalFormatting>
  <dataValidations count="1">
    <dataValidation type="time" allowBlank="1" showInputMessage="1" showErrorMessage="1" sqref="I4 I9:I11">
      <formula1>0</formula1>
      <formula2>0.999988425925926</formula2>
    </dataValidation>
  </dataValidations>
  <pageMargins left="0.7" right="0.7" top="0.75" bottom="0.75" header="0.3" footer="0.3"/>
  <pageSetup paperSize="9" scale="60" orientation="portrait" horizontalDpi="300" verticalDpi="300" r:id="rId1"/>
  <drawing r:id="rId2"/>
  <legacyDrawing r:id="rId3"/>
  <controls>
    <mc:AlternateContent xmlns:mc="http://schemas.openxmlformats.org/markup-compatibility/2006">
      <mc:Choice Requires="x14">
        <control shapeId="96465" r:id="rId4" name="cmdNuevaTransfer">
          <controlPr defaultSize="0" autoLine="0" r:id="rId5">
            <anchor>
              <from>
                <xdr:col>2</xdr:col>
                <xdr:colOff>276225</xdr:colOff>
                <xdr:row>4</xdr:row>
                <xdr:rowOff>19050</xdr:rowOff>
              </from>
              <to>
                <xdr:col>2</xdr:col>
                <xdr:colOff>628650</xdr:colOff>
                <xdr:row>5</xdr:row>
                <xdr:rowOff>114300</xdr:rowOff>
              </to>
            </anchor>
          </controlPr>
        </control>
      </mc:Choice>
      <mc:Fallback>
        <control shapeId="96465" r:id="rId4" name="cmdNuevaTransfer"/>
      </mc:Fallback>
    </mc:AlternateContent>
    <mc:AlternateContent xmlns:mc="http://schemas.openxmlformats.org/markup-compatibility/2006">
      <mc:Choice Requires="x14">
        <control shapeId="49451" r:id="rId6" name="cmd_Reportaje">
          <controlPr defaultSize="0" autoLine="0" r:id="rId7">
            <anchor>
              <from>
                <xdr:col>2</xdr:col>
                <xdr:colOff>638175</xdr:colOff>
                <xdr:row>4</xdr:row>
                <xdr:rowOff>19050</xdr:rowOff>
              </from>
              <to>
                <xdr:col>3</xdr:col>
                <xdr:colOff>752475</xdr:colOff>
                <xdr:row>6</xdr:row>
                <xdr:rowOff>66675</xdr:rowOff>
              </to>
            </anchor>
          </controlPr>
        </control>
      </mc:Choice>
      <mc:Fallback>
        <control shapeId="49451" r:id="rId6" name="cmd_Reportaje"/>
      </mc:Fallback>
    </mc:AlternateContent>
    <mc:AlternateContent xmlns:mc="http://schemas.openxmlformats.org/markup-compatibility/2006">
      <mc:Choice Requires="x14">
        <control shapeId="1062" r:id="rId8" name="cmd_Alertas_Actuales">
          <controlPr defaultSize="0" autoLine="0" r:id="rId9">
            <anchor>
              <from>
                <xdr:col>4</xdr:col>
                <xdr:colOff>504825</xdr:colOff>
                <xdr:row>9</xdr:row>
                <xdr:rowOff>9525</xdr:rowOff>
              </from>
              <to>
                <xdr:col>5</xdr:col>
                <xdr:colOff>0</xdr:colOff>
                <xdr:row>9</xdr:row>
                <xdr:rowOff>180975</xdr:rowOff>
              </to>
            </anchor>
          </controlPr>
        </control>
      </mc:Choice>
      <mc:Fallback>
        <control shapeId="1062" r:id="rId8" name="cmd_Alertas_Actuales"/>
      </mc:Fallback>
    </mc:AlternateContent>
    <mc:AlternateContent xmlns:mc="http://schemas.openxmlformats.org/markup-compatibility/2006">
      <mc:Choice Requires="x14">
        <control shapeId="1056" r:id="rId10" name="cmdTransferencias">
          <controlPr defaultSize="0" autoLine="0" r:id="rId11">
            <anchor>
              <from>
                <xdr:col>0</xdr:col>
                <xdr:colOff>2219325</xdr:colOff>
                <xdr:row>4</xdr:row>
                <xdr:rowOff>19050</xdr:rowOff>
              </from>
              <to>
                <xdr:col>2</xdr:col>
                <xdr:colOff>276225</xdr:colOff>
                <xdr:row>6</xdr:row>
                <xdr:rowOff>66675</xdr:rowOff>
              </to>
            </anchor>
          </controlPr>
        </control>
      </mc:Choice>
      <mc:Fallback>
        <control shapeId="1056" r:id="rId10" name="cmdTransferencias"/>
      </mc:Fallback>
    </mc:AlternateContent>
    <mc:AlternateContent xmlns:mc="http://schemas.openxmlformats.org/markup-compatibility/2006">
      <mc:Choice Requires="x14">
        <control shapeId="1034" r:id="rId12" name="cboEmpresa">
          <controlPr defaultSize="0" autoLine="0" r:id="rId13">
            <anchor>
              <from>
                <xdr:col>0</xdr:col>
                <xdr:colOff>0</xdr:colOff>
                <xdr:row>4</xdr:row>
                <xdr:rowOff>38100</xdr:rowOff>
              </from>
              <to>
                <xdr:col>0</xdr:col>
                <xdr:colOff>1266825</xdr:colOff>
                <xdr:row>5</xdr:row>
                <xdr:rowOff>95250</xdr:rowOff>
              </to>
            </anchor>
          </controlPr>
        </control>
      </mc:Choice>
      <mc:Fallback>
        <control shapeId="1034" r:id="rId12" name="cboEmpresa"/>
      </mc:Fallback>
    </mc:AlternateContent>
    <mc:AlternateContent xmlns:mc="http://schemas.openxmlformats.org/markup-compatibility/2006">
      <mc:Choice Requires="x14">
        <control shapeId="1053" r:id="rId14" name="cmdControl">
          <controlPr defaultSize="0" autoLine="0" r:id="rId15">
            <anchor>
              <from>
                <xdr:col>0</xdr:col>
                <xdr:colOff>1314450</xdr:colOff>
                <xdr:row>4</xdr:row>
                <xdr:rowOff>19050</xdr:rowOff>
              </from>
              <to>
                <xdr:col>0</xdr:col>
                <xdr:colOff>2190750</xdr:colOff>
                <xdr:row>6</xdr:row>
                <xdr:rowOff>66675</xdr:rowOff>
              </to>
            </anchor>
          </controlPr>
        </control>
      </mc:Choice>
      <mc:Fallback>
        <control shapeId="1053" r:id="rId14" name="cmdControl"/>
      </mc:Fallback>
    </mc:AlternateContent>
    <mc:AlternateContent xmlns:mc="http://schemas.openxmlformats.org/markup-compatibility/2006">
      <mc:Choice Requires="x14">
        <control shapeId="1057" r:id="rId16" name="cmdMantenimiento">
          <controlPr defaultSize="0" autoLine="0" r:id="rId17">
            <anchor>
              <from>
                <xdr:col>4</xdr:col>
                <xdr:colOff>476250</xdr:colOff>
                <xdr:row>2</xdr:row>
                <xdr:rowOff>28575</xdr:rowOff>
              </from>
              <to>
                <xdr:col>5</xdr:col>
                <xdr:colOff>819150</xdr:colOff>
                <xdr:row>3</xdr:row>
                <xdr:rowOff>104775</xdr:rowOff>
              </to>
            </anchor>
          </controlPr>
        </control>
      </mc:Choice>
      <mc:Fallback>
        <control shapeId="1057" r:id="rId16" name="cmdMantenimiento"/>
      </mc:Fallback>
    </mc:AlternateContent>
    <mc:AlternateContent xmlns:mc="http://schemas.openxmlformats.org/markup-compatibility/2006">
      <mc:Choice Requires="x14">
        <control shapeId="97019" r:id="rId18" name="cmdTransferenciasActivas">
          <controlPr defaultSize="0" autoLine="0" r:id="rId19">
            <anchor>
              <from>
                <xdr:col>2</xdr:col>
                <xdr:colOff>276225</xdr:colOff>
                <xdr:row>5</xdr:row>
                <xdr:rowOff>123825</xdr:rowOff>
              </from>
              <to>
                <xdr:col>2</xdr:col>
                <xdr:colOff>628650</xdr:colOff>
                <xdr:row>7</xdr:row>
                <xdr:rowOff>28575</xdr:rowOff>
              </to>
            </anchor>
          </controlPr>
        </control>
      </mc:Choice>
      <mc:Fallback>
        <control shapeId="97019" r:id="rId18" name="cmdTransferenciasActivas"/>
      </mc:Fallback>
    </mc:AlternateContent>
    <mc:AlternateContent xmlns:mc="http://schemas.openxmlformats.org/markup-compatibility/2006">
      <mc:Choice Requires="x14">
        <control shapeId="170298" r:id="rId20" name="cmd_Cambia_Usuario">
          <controlPr defaultSize="0" print="0" autoFill="0" autoPict="0" macro="[0]!Cambia_Usuario">
            <anchor>
              <from>
                <xdr:col>0</xdr:col>
                <xdr:colOff>28575</xdr:colOff>
                <xdr:row>2</xdr:row>
                <xdr:rowOff>0</xdr:rowOff>
              </from>
              <to>
                <xdr:col>0</xdr:col>
                <xdr:colOff>1000125</xdr:colOff>
                <xdr:row>2</xdr:row>
                <xdr:rowOff>152400</xdr:rowOff>
              </to>
            </anchor>
          </controlPr>
        </control>
      </mc:Choice>
    </mc:AlternateContent>
    <mc:AlternateContent xmlns:mc="http://schemas.openxmlformats.org/markup-compatibility/2006">
      <mc:Choice Requires="x14">
        <control shapeId="170283" r:id="rId21" name="cmd_Importa_Datos_ERP">
          <controlPr defaultSize="0" print="0" autoFill="0" autoPict="0" macro="[0]!Trae_Datos_Del_ERP_Manual">
            <anchor>
              <from>
                <xdr:col>5</xdr:col>
                <xdr:colOff>0</xdr:colOff>
                <xdr:row>4</xdr:row>
                <xdr:rowOff>19050</xdr:rowOff>
              </from>
              <to>
                <xdr:col>5</xdr:col>
                <xdr:colOff>819150</xdr:colOff>
                <xdr:row>6</xdr:row>
                <xdr:rowOff>66675</xdr:rowOff>
              </to>
            </anchor>
          </controlPr>
        </control>
      </mc:Choice>
    </mc:AlternateContent>
    <mc:AlternateContent xmlns:mc="http://schemas.openxmlformats.org/markup-compatibility/2006">
      <mc:Choice Requires="x14">
        <control shapeId="170700" r:id="rId22" name="cmd_Refresca_Items">
          <controlPr defaultSize="0" print="0" autoFill="0" autoPict="0" macro="[0]!Abre_Formulario_RI">
            <anchor>
              <from>
                <xdr:col>2</xdr:col>
                <xdr:colOff>571500</xdr:colOff>
                <xdr:row>2</xdr:row>
                <xdr:rowOff>28575</xdr:rowOff>
              </from>
              <to>
                <xdr:col>3</xdr:col>
                <xdr:colOff>771525</xdr:colOff>
                <xdr:row>3</xdr:row>
                <xdr:rowOff>85725</xdr:rowOff>
              </to>
            </anchor>
          </controlPr>
        </control>
      </mc:Choice>
    </mc:AlternateContent>
    <mc:AlternateContent xmlns:mc="http://schemas.openxmlformats.org/markup-compatibility/2006">
      <mc:Choice Requires="x14">
        <control shapeId="170964" r:id="rId23" name="cas_Bodega">
          <controlPr defaultSize="0" autoFill="0" autoLine="0" autoPict="0">
            <anchor>
              <from>
                <xdr:col>7</xdr:col>
                <xdr:colOff>647700</xdr:colOff>
                <xdr:row>3</xdr:row>
                <xdr:rowOff>161925</xdr:rowOff>
              </from>
              <to>
                <xdr:col>8</xdr:col>
                <xdr:colOff>180975</xdr:colOff>
                <xdr:row>5</xdr:row>
                <xdr:rowOff>0</xdr:rowOff>
              </to>
            </anchor>
          </controlPr>
        </control>
      </mc:Choice>
    </mc:AlternateContent>
    <mc:AlternateContent xmlns:mc="http://schemas.openxmlformats.org/markup-compatibility/2006">
      <mc:Choice Requires="x14">
        <control shapeId="170965" r:id="rId24" name="cas_Inventario">
          <controlPr defaultSize="0" autoFill="0" autoLine="0" autoPict="0">
            <anchor>
              <from>
                <xdr:col>7</xdr:col>
                <xdr:colOff>647700</xdr:colOff>
                <xdr:row>5</xdr:row>
                <xdr:rowOff>180975</xdr:rowOff>
              </from>
              <to>
                <xdr:col>8</xdr:col>
                <xdr:colOff>180975</xdr:colOff>
                <xdr:row>7</xdr:row>
                <xdr:rowOff>19050</xdr:rowOff>
              </to>
            </anchor>
          </controlPr>
        </control>
      </mc:Choice>
    </mc:AlternateContent>
    <mc:AlternateContent xmlns:mc="http://schemas.openxmlformats.org/markup-compatibility/2006">
      <mc:Choice Requires="x14">
        <control shapeId="170966" r:id="rId25" name="cas_Producto">
          <controlPr defaultSize="0" autoFill="0" autoLine="0" autoPict="0">
            <anchor>
              <from>
                <xdr:col>7</xdr:col>
                <xdr:colOff>647700</xdr:colOff>
                <xdr:row>4</xdr:row>
                <xdr:rowOff>180975</xdr:rowOff>
              </from>
              <to>
                <xdr:col>8</xdr:col>
                <xdr:colOff>190500</xdr:colOff>
                <xdr:row>6</xdr:row>
                <xdr:rowOff>19050</xdr:rowOff>
              </to>
            </anchor>
          </controlPr>
        </control>
      </mc:Choice>
    </mc:AlternateContent>
    <mc:AlternateContent xmlns:mc="http://schemas.openxmlformats.org/markup-compatibility/2006">
      <mc:Choice Requires="x14">
        <control shapeId="170967" r:id="rId26" name="cas_Consumo">
          <controlPr defaultSize="0" autoFill="0" autoLine="0" autoPict="0">
            <anchor>
              <from>
                <xdr:col>7</xdr:col>
                <xdr:colOff>647700</xdr:colOff>
                <xdr:row>6</xdr:row>
                <xdr:rowOff>180975</xdr:rowOff>
              </from>
              <to>
                <xdr:col>8</xdr:col>
                <xdr:colOff>190500</xdr:colOff>
                <xdr:row>8</xdr:row>
                <xdr:rowOff>19050</xdr:rowOff>
              </to>
            </anchor>
          </controlPr>
        </control>
      </mc:Choice>
    </mc:AlternateContent>
  </controls>
  <tableParts count="1">
    <tablePart r:id="rId27"/>
  </tableParts>
  <extLst>
    <ext xmlns:x14="http://schemas.microsoft.com/office/spreadsheetml/2009/9/main" uri="{78C0D931-6437-407d-A8EE-F0AAD7539E65}">
      <x14:conditionalFormattings>
        <x14:conditionalFormatting xmlns:xm="http://schemas.microsoft.com/office/excel/2006/main">
          <x14:cfRule type="dataBar" id="{FB5FB2B2-C023-4D87-B7B1-C1AAB0250117}">
            <x14:dataBar minLength="0" maxLength="100" gradient="0">
              <x14:cfvo type="autoMin"/>
              <x14:cfvo type="autoMax"/>
              <x14:negativeFillColor rgb="FFFF0000"/>
              <x14:axisColor rgb="FF000000"/>
            </x14:dataBar>
          </x14:cfRule>
          <xm:sqref>C14:C15</xm:sqref>
        </x14:conditionalFormatting>
        <x14:conditionalFormatting xmlns:xm="http://schemas.microsoft.com/office/excel/2006/main">
          <x14:cfRule type="dataBar" id="{2C29C2A8-FAA1-440F-BFA2-C382BCC5E323}">
            <x14:dataBar minLength="0" maxLength="100" gradient="0">
              <x14:cfvo type="autoMin"/>
              <x14:cfvo type="autoMax"/>
              <x14:negativeFillColor rgb="FFFF0000"/>
              <x14:axisColor rgb="FF000000"/>
            </x14:dataBar>
          </x14:cfRule>
          <xm:sqref>D14:D15</xm:sqref>
        </x14:conditionalFormatting>
        <x14:conditionalFormatting xmlns:xm="http://schemas.microsoft.com/office/excel/2006/main">
          <x14:cfRule type="dataBar" id="{897C27A1-00D3-4A3C-88D0-3BDD15241711}">
            <x14:dataBar minLength="0" maxLength="100" gradient="0">
              <x14:cfvo type="autoMin"/>
              <x14:cfvo type="autoMax"/>
              <x14:negativeFillColor rgb="FFFF0000"/>
              <x14:axisColor rgb="FF000000"/>
            </x14:dataBar>
          </x14:cfRule>
          <xm:sqref>E14:E15</xm:sqref>
        </x14:conditionalFormatting>
        <x14:conditionalFormatting xmlns:xm="http://schemas.microsoft.com/office/excel/2006/main">
          <x14:cfRule type="dataBar" id="{A341B4D6-0E62-4FBD-A05F-008DFBB8B5DE}">
            <x14:dataBar minLength="0" maxLength="100" gradient="0">
              <x14:cfvo type="autoMin"/>
              <x14:cfvo type="autoMax"/>
              <x14:negativeFillColor rgb="FFFF0000"/>
              <x14:axisColor rgb="FF000000"/>
            </x14:dataBar>
          </x14:cfRule>
          <xm:sqref>G14:G15</xm:sqref>
        </x14:conditionalFormatting>
        <x14:conditionalFormatting xmlns:xm="http://schemas.microsoft.com/office/excel/2006/main">
          <x14:cfRule type="dataBar" id="{3158811A-C7EB-4B8B-A785-C7535AC56E09}">
            <x14:dataBar minLength="0" maxLength="100" gradient="0">
              <x14:cfvo type="autoMin"/>
              <x14:cfvo type="autoMax"/>
              <x14:negativeFillColor rgb="FFFF0000"/>
              <x14:axisColor rgb="FF000000"/>
            </x14:dataBar>
          </x14:cfRule>
          <xm:sqref>H14:H15</xm:sqref>
        </x14:conditionalFormatting>
        <x14:conditionalFormatting xmlns:xm="http://schemas.microsoft.com/office/excel/2006/main">
          <x14:cfRule type="dataBar" id="{5996A4CF-CC5E-4A69-B718-A80ADBBD7738}">
            <x14:dataBar minLength="0" maxLength="100" gradient="0">
              <x14:cfvo type="autoMin"/>
              <x14:cfvo type="autoMax"/>
              <x14:negativeFillColor rgb="FFFF0000"/>
              <x14:axisColor rgb="FF000000"/>
            </x14:dataBar>
          </x14:cfRule>
          <xm:sqref>I14:I15</xm:sqref>
        </x14:conditionalFormatting>
        <x14:conditionalFormatting xmlns:xm="http://schemas.microsoft.com/office/excel/2006/main">
          <x14:cfRule type="dataBar" id="{CEB8BC71-8DBD-4C07-BC20-C7C459ABDFD2}">
            <x14:dataBar minLength="0" maxLength="100" gradient="0">
              <x14:cfvo type="autoMin"/>
              <x14:cfvo type="autoMax"/>
              <x14:negativeFillColor rgb="FFFF0000"/>
              <x14:axisColor rgb="FF000000"/>
            </x14:dataBar>
          </x14:cfRule>
          <xm:sqref>J14:J15</xm:sqref>
        </x14:conditionalFormatting>
        <x14:conditionalFormatting xmlns:xm="http://schemas.microsoft.com/office/excel/2006/main">
          <x14:cfRule type="dataBar" id="{0308F7F1-29C8-46E6-B876-11EB063F781A}">
            <x14:dataBar minLength="0" maxLength="100" gradient="0">
              <x14:cfvo type="autoMin"/>
              <x14:cfvo type="autoMax"/>
              <x14:negativeFillColor rgb="FFFF0000"/>
              <x14:axisColor rgb="FF000000"/>
            </x14:dataBar>
          </x14:cfRule>
          <xm:sqref>K14:K15</xm:sqref>
        </x14:conditionalFormatting>
        <x14:conditionalFormatting xmlns:xm="http://schemas.microsoft.com/office/excel/2006/main">
          <x14:cfRule type="dataBar" id="{BC002F9D-636E-47D2-840E-33D6699C67B8}">
            <x14:dataBar minLength="0" maxLength="100" gradient="0">
              <x14:cfvo type="autoMin"/>
              <x14:cfvo type="autoMax"/>
              <x14:negativeFillColor rgb="FFFF0000"/>
              <x14:axisColor rgb="FF000000"/>
            </x14:dataBar>
          </x14:cfRule>
          <xm:sqref>F14:F15</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dimension ref="A1:U7"/>
  <sheetViews>
    <sheetView topLeftCell="G1" workbookViewId="0">
      <selection activeCell="U3" sqref="U3"/>
    </sheetView>
  </sheetViews>
  <sheetFormatPr baseColWidth="10" defaultRowHeight="15" x14ac:dyDescent="0.25"/>
  <cols>
    <col min="3" max="3" width="12.42578125" customWidth="1"/>
    <col min="4" max="4" width="13.140625" customWidth="1"/>
    <col min="5" max="5" width="18.42578125" customWidth="1"/>
    <col min="6" max="6" width="16" customWidth="1"/>
    <col min="9" max="9" width="14.7109375" customWidth="1"/>
    <col min="10" max="10" width="12.7109375" customWidth="1"/>
    <col min="11" max="11" width="13.28515625" customWidth="1"/>
    <col min="12" max="12" width="12.7109375" customWidth="1"/>
    <col min="13" max="13" width="14.42578125" customWidth="1"/>
    <col min="14" max="14" width="13.5703125" customWidth="1"/>
    <col min="15" max="15" width="15.7109375" customWidth="1"/>
    <col min="16" max="16" width="22" customWidth="1"/>
    <col min="17" max="17" width="17.7109375" customWidth="1"/>
    <col min="18" max="18" width="18.85546875" customWidth="1"/>
    <col min="19" max="19" width="13" customWidth="1"/>
  </cols>
  <sheetData>
    <row r="1" spans="1:21" x14ac:dyDescent="0.25">
      <c r="A1" t="s">
        <v>231</v>
      </c>
      <c r="B1" t="s">
        <v>232</v>
      </c>
      <c r="C1" t="s">
        <v>233</v>
      </c>
      <c r="D1" t="s">
        <v>234</v>
      </c>
      <c r="E1" t="s">
        <v>235</v>
      </c>
      <c r="F1" t="s">
        <v>236</v>
      </c>
      <c r="G1" t="s">
        <v>237</v>
      </c>
      <c r="H1" t="s">
        <v>238</v>
      </c>
      <c r="I1" t="s">
        <v>239</v>
      </c>
      <c r="J1" t="s">
        <v>240</v>
      </c>
      <c r="K1" t="s">
        <v>241</v>
      </c>
      <c r="L1" t="s">
        <v>242</v>
      </c>
      <c r="M1" t="s">
        <v>243</v>
      </c>
      <c r="N1" t="s">
        <v>244</v>
      </c>
      <c r="O1" t="s">
        <v>245</v>
      </c>
      <c r="P1" t="s">
        <v>246</v>
      </c>
      <c r="Q1" t="s">
        <v>247</v>
      </c>
      <c r="R1" t="s">
        <v>248</v>
      </c>
      <c r="S1" t="s">
        <v>249</v>
      </c>
      <c r="T1" t="s">
        <v>287</v>
      </c>
      <c r="U1" t="s">
        <v>250</v>
      </c>
    </row>
    <row r="2" spans="1:21" x14ac:dyDescent="0.25">
      <c r="A2" t="s">
        <v>0</v>
      </c>
      <c r="B2" t="s">
        <v>216</v>
      </c>
      <c r="C2">
        <v>1</v>
      </c>
      <c r="D2">
        <v>1</v>
      </c>
      <c r="E2" s="24">
        <v>43249.370497685188</v>
      </c>
      <c r="F2" s="24">
        <v>43249.371388888889</v>
      </c>
      <c r="G2" s="24">
        <v>43249.371655092589</v>
      </c>
      <c r="H2" s="24"/>
      <c r="I2" s="24">
        <v>217</v>
      </c>
      <c r="J2" s="24">
        <v>0</v>
      </c>
      <c r="K2" s="24">
        <v>57</v>
      </c>
      <c r="L2" s="24">
        <v>45</v>
      </c>
      <c r="M2" s="24">
        <v>0</v>
      </c>
      <c r="N2" s="24">
        <v>0</v>
      </c>
      <c r="O2" s="24">
        <v>0</v>
      </c>
      <c r="P2" s="24">
        <v>0</v>
      </c>
      <c r="Q2" s="24">
        <v>0</v>
      </c>
      <c r="R2" s="24">
        <v>0</v>
      </c>
      <c r="S2" s="24">
        <v>0</v>
      </c>
      <c r="T2" s="24">
        <v>0</v>
      </c>
      <c r="U2" s="24" t="str">
        <f>tbl_hojascb_estado_hoy[[#This Row],[empresa]]&amp;tbl_hojascb_estado_hoy[[#This Row],[hoja_cb]]</f>
        <v>AGROTAAccesorios.xlsm</v>
      </c>
    </row>
    <row r="3" spans="1:21" x14ac:dyDescent="0.25">
      <c r="A3" t="s">
        <v>0</v>
      </c>
      <c r="B3" t="s">
        <v>217</v>
      </c>
      <c r="C3">
        <v>1</v>
      </c>
      <c r="D3">
        <v>1</v>
      </c>
      <c r="E3" s="24">
        <v>43234.402349537035</v>
      </c>
      <c r="F3" s="24">
        <v>43234.402986111112</v>
      </c>
      <c r="G3" s="24">
        <v>43234.455914351849</v>
      </c>
      <c r="H3" s="24"/>
      <c r="I3" s="24">
        <v>71</v>
      </c>
      <c r="J3" s="24">
        <v>0</v>
      </c>
      <c r="K3" s="24">
        <v>6</v>
      </c>
      <c r="L3" s="24">
        <v>6</v>
      </c>
      <c r="M3" s="24">
        <v>4206.5</v>
      </c>
      <c r="N3" s="24">
        <v>7227.07</v>
      </c>
      <c r="O3" s="24">
        <v>0</v>
      </c>
      <c r="P3" s="24">
        <v>0</v>
      </c>
      <c r="Q3" s="24">
        <v>0</v>
      </c>
      <c r="R3" s="24">
        <v>7227.07</v>
      </c>
      <c r="S3" s="24">
        <v>7227.07</v>
      </c>
      <c r="T3" s="24">
        <v>0</v>
      </c>
      <c r="U3" s="24" t="str">
        <f>tbl_hojascb_estado_hoy[[#This Row],[empresa]]&amp;tbl_hojascb_estado_hoy[[#This Row],[hoja_cb]]</f>
        <v>AGROTACAFE MATERIA PRIMA.xlsm</v>
      </c>
    </row>
    <row r="4" spans="1:21" x14ac:dyDescent="0.25">
      <c r="A4" t="s">
        <v>0</v>
      </c>
      <c r="B4" t="s">
        <v>6</v>
      </c>
      <c r="C4">
        <v>1</v>
      </c>
      <c r="D4">
        <v>1</v>
      </c>
      <c r="E4" s="24">
        <v>43254.165451388886</v>
      </c>
      <c r="F4" s="24">
        <v>43254.167511574073</v>
      </c>
      <c r="G4" s="24">
        <v>43254.493935185186</v>
      </c>
      <c r="H4" s="24"/>
      <c r="I4" s="24">
        <v>245</v>
      </c>
      <c r="J4" s="24">
        <v>0</v>
      </c>
      <c r="K4" s="24">
        <v>57</v>
      </c>
      <c r="L4" s="24">
        <v>44</v>
      </c>
      <c r="M4" s="24">
        <v>876422.42</v>
      </c>
      <c r="N4" s="24">
        <v>192126.31</v>
      </c>
      <c r="O4" s="24">
        <v>209520.14</v>
      </c>
      <c r="P4" s="24">
        <v>0</v>
      </c>
      <c r="Q4" s="24">
        <v>1426.24</v>
      </c>
      <c r="R4" s="24">
        <v>403072.69</v>
      </c>
      <c r="S4" s="24">
        <v>401646.45</v>
      </c>
      <c r="T4" s="24">
        <v>5</v>
      </c>
      <c r="U4" s="24" t="str">
        <f>tbl_hojascb_estado_hoy[[#This Row],[empresa]]&amp;tbl_hojascb_estado_hoy[[#This Row],[hoja_cb]]</f>
        <v>AGROTAControl Buffers.xlsm</v>
      </c>
    </row>
    <row r="5" spans="1:21" x14ac:dyDescent="0.25">
      <c r="A5" t="s">
        <v>0</v>
      </c>
      <c r="B5" t="s">
        <v>213</v>
      </c>
      <c r="C5">
        <v>1</v>
      </c>
      <c r="D5">
        <v>1</v>
      </c>
      <c r="E5" s="24">
        <v>43254.867604166669</v>
      </c>
      <c r="F5" s="24">
        <v>43254.869189814817</v>
      </c>
      <c r="G5" s="24">
        <v>43254.869386574072</v>
      </c>
      <c r="H5" s="24"/>
      <c r="I5" s="24">
        <v>237</v>
      </c>
      <c r="J5" s="24">
        <v>0</v>
      </c>
      <c r="K5" s="24">
        <v>59</v>
      </c>
      <c r="L5" s="24">
        <v>44</v>
      </c>
      <c r="M5" s="24">
        <v>876422.42</v>
      </c>
      <c r="N5" s="24">
        <v>185483.42</v>
      </c>
      <c r="O5" s="24">
        <v>209520.14</v>
      </c>
      <c r="P5" s="24">
        <v>0</v>
      </c>
      <c r="Q5" s="24">
        <v>1426.24</v>
      </c>
      <c r="R5" s="24">
        <v>396429.8</v>
      </c>
      <c r="S5" s="24">
        <v>395003.56</v>
      </c>
      <c r="T5" s="24">
        <v>6</v>
      </c>
      <c r="U5" s="24" t="str">
        <f>tbl_hojascb_estado_hoy[[#This Row],[empresa]]&amp;tbl_hojascb_estado_hoy[[#This Row],[hoja_cb]]</f>
        <v>AGROTAMaquinas ECHO - SHINDAIWA.xlsm</v>
      </c>
    </row>
    <row r="6" spans="1:21" x14ac:dyDescent="0.25">
      <c r="A6" t="s">
        <v>0</v>
      </c>
      <c r="B6" t="s">
        <v>286</v>
      </c>
      <c r="C6">
        <v>1</v>
      </c>
      <c r="D6">
        <v>1</v>
      </c>
      <c r="E6" s="24">
        <v>43254.864745370367</v>
      </c>
      <c r="F6" s="24">
        <v>43254.86582175926</v>
      </c>
      <c r="G6" s="24">
        <v>43254.866030092591</v>
      </c>
      <c r="H6" s="24"/>
      <c r="I6" s="24">
        <v>80</v>
      </c>
      <c r="J6" s="24">
        <v>0</v>
      </c>
      <c r="K6" s="24">
        <v>461</v>
      </c>
      <c r="L6" s="24">
        <v>0</v>
      </c>
      <c r="M6" s="24">
        <v>0</v>
      </c>
      <c r="N6" s="24">
        <v>165.25</v>
      </c>
      <c r="O6" s="24">
        <v>0</v>
      </c>
      <c r="P6" s="24">
        <v>0</v>
      </c>
      <c r="Q6" s="24">
        <v>0</v>
      </c>
      <c r="R6" s="24">
        <v>165.25</v>
      </c>
      <c r="S6" s="24">
        <v>165.25</v>
      </c>
      <c r="T6" s="24">
        <v>0</v>
      </c>
      <c r="U6" s="24" t="str">
        <f>tbl_hojascb_estado_hoy[[#This Row],[empresa]]&amp;tbl_hojascb_estado_hoy[[#This Row],[hoja_cb]]</f>
        <v>AGROTAMilagro Sukampo.xlsm</v>
      </c>
    </row>
    <row r="7" spans="1:21" x14ac:dyDescent="0.25">
      <c r="A7" t="s">
        <v>0</v>
      </c>
      <c r="B7" t="s">
        <v>255</v>
      </c>
      <c r="C7">
        <v>1</v>
      </c>
      <c r="D7">
        <v>1</v>
      </c>
      <c r="E7" s="24">
        <v>43237.484907407408</v>
      </c>
      <c r="F7" s="24">
        <v>43237.486157407409</v>
      </c>
      <c r="G7" s="24">
        <v>43237.874016203707</v>
      </c>
      <c r="H7" s="24"/>
      <c r="I7" s="24">
        <v>220</v>
      </c>
      <c r="J7" s="24">
        <v>0</v>
      </c>
      <c r="K7" s="24">
        <v>1282</v>
      </c>
      <c r="L7" s="24">
        <v>1171</v>
      </c>
      <c r="M7" s="24">
        <v>97900.01</v>
      </c>
      <c r="N7" s="24">
        <v>120353.16</v>
      </c>
      <c r="O7" s="24">
        <v>8221.1</v>
      </c>
      <c r="P7" s="24">
        <v>0</v>
      </c>
      <c r="Q7" s="24">
        <v>2012.8</v>
      </c>
      <c r="R7" s="24">
        <v>130587.06</v>
      </c>
      <c r="S7" s="24">
        <v>128574.26</v>
      </c>
      <c r="T7" s="24">
        <v>0</v>
      </c>
      <c r="U7" s="24" t="str">
        <f>tbl_hojascb_estado_hoy[[#This Row],[empresa]]&amp;tbl_hojascb_estado_hoy[[#This Row],[hoja_cb]]</f>
        <v>AGROTARepuestos ECHO.xlsm</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dimension ref="F14"/>
  <sheetViews>
    <sheetView showGridLines="0" showRowColHeaders="0" workbookViewId="0">
      <selection activeCell="H12" sqref="H12"/>
    </sheetView>
  </sheetViews>
  <sheetFormatPr baseColWidth="10" defaultRowHeight="15" x14ac:dyDescent="0.25"/>
  <sheetData>
    <row r="14" spans="6:6" x14ac:dyDescent="0.25">
      <c r="F14" s="8"/>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C59"/>
  <sheetViews>
    <sheetView showGridLines="0" topLeftCell="A27" workbookViewId="0">
      <selection activeCell="C58" sqref="C58"/>
    </sheetView>
  </sheetViews>
  <sheetFormatPr baseColWidth="10" defaultRowHeight="15" x14ac:dyDescent="0.25"/>
  <cols>
    <col min="1" max="2" width="14.42578125" bestFit="1" customWidth="1"/>
    <col min="3" max="3" width="88.85546875" customWidth="1"/>
  </cols>
  <sheetData>
    <row r="1" spans="1:3" x14ac:dyDescent="0.25">
      <c r="A1" t="s">
        <v>116</v>
      </c>
      <c r="B1" t="s">
        <v>114</v>
      </c>
      <c r="C1" t="s">
        <v>115</v>
      </c>
    </row>
    <row r="2" spans="1:3" x14ac:dyDescent="0.25">
      <c r="A2">
        <f>ROW()-ROW(Indicaciones[[#Headers],[ID]])</f>
        <v>1</v>
      </c>
      <c r="C2" t="s">
        <v>261</v>
      </c>
    </row>
    <row r="3" spans="1:3" x14ac:dyDescent="0.25">
      <c r="A3">
        <f>ROW()-ROW(Indicaciones[[#Headers],[ID]])</f>
        <v>2</v>
      </c>
      <c r="C3" t="s">
        <v>262</v>
      </c>
    </row>
    <row r="4" spans="1:3" x14ac:dyDescent="0.25">
      <c r="A4" s="2">
        <f>ROW()-ROW(Indicaciones[[#Headers],[ID]])</f>
        <v>3</v>
      </c>
      <c r="C4" t="s">
        <v>263</v>
      </c>
    </row>
    <row r="5" spans="1:3" x14ac:dyDescent="0.25">
      <c r="A5" s="2">
        <f>ROW()-ROW(Indicaciones[[#Headers],[ID]])</f>
        <v>4</v>
      </c>
      <c r="C5" t="s">
        <v>264</v>
      </c>
    </row>
    <row r="6" spans="1:3" x14ac:dyDescent="0.25">
      <c r="A6" s="2">
        <f>ROW()-ROW(Indicaciones[[#Headers],[ID]])</f>
        <v>5</v>
      </c>
      <c r="C6" t="s">
        <v>117</v>
      </c>
    </row>
    <row r="7" spans="1:3" x14ac:dyDescent="0.25">
      <c r="A7" s="2">
        <f>ROW()-ROW(Indicaciones[[#Headers],[ID]])</f>
        <v>6</v>
      </c>
      <c r="C7" t="s">
        <v>118</v>
      </c>
    </row>
    <row r="8" spans="1:3" x14ac:dyDescent="0.25">
      <c r="A8" s="2">
        <f>ROW()-ROW(Indicaciones[[#Headers],[ID]])</f>
        <v>7</v>
      </c>
      <c r="C8" t="s">
        <v>151</v>
      </c>
    </row>
    <row r="9" spans="1:3" x14ac:dyDescent="0.25">
      <c r="A9" s="2">
        <f>ROW()-ROW(Indicaciones[[#Headers],[ID]])</f>
        <v>8</v>
      </c>
      <c r="C9" t="s">
        <v>265</v>
      </c>
    </row>
    <row r="10" spans="1:3" x14ac:dyDescent="0.25">
      <c r="A10" s="2">
        <f>ROW()-ROW(Indicaciones[[#Headers],[ID]])</f>
        <v>9</v>
      </c>
      <c r="C10" t="s">
        <v>119</v>
      </c>
    </row>
    <row r="11" spans="1:3" x14ac:dyDescent="0.25">
      <c r="A11" s="2">
        <f>ROW()-ROW(Indicaciones[[#Headers],[ID]])</f>
        <v>10</v>
      </c>
      <c r="C11" t="s">
        <v>142</v>
      </c>
    </row>
    <row r="12" spans="1:3" x14ac:dyDescent="0.25">
      <c r="A12" s="2">
        <f>ROW()-ROW(Indicaciones[[#Headers],[ID]])</f>
        <v>11</v>
      </c>
      <c r="C12" t="s">
        <v>143</v>
      </c>
    </row>
    <row r="13" spans="1:3" x14ac:dyDescent="0.25">
      <c r="A13" s="2">
        <f>ROW()-ROW(Indicaciones[[#Headers],[ID]])</f>
        <v>12</v>
      </c>
      <c r="C13" t="s">
        <v>120</v>
      </c>
    </row>
    <row r="14" spans="1:3" x14ac:dyDescent="0.25">
      <c r="A14" s="2">
        <f>ROW()-ROW(Indicaciones[[#Headers],[ID]])</f>
        <v>13</v>
      </c>
      <c r="C14" t="s">
        <v>121</v>
      </c>
    </row>
    <row r="15" spans="1:3" x14ac:dyDescent="0.25">
      <c r="A15" s="2">
        <f>ROW()-ROW(Indicaciones[[#Headers],[ID]])</f>
        <v>14</v>
      </c>
      <c r="C15" t="s">
        <v>122</v>
      </c>
    </row>
    <row r="16" spans="1:3" x14ac:dyDescent="0.25">
      <c r="A16" s="2">
        <f>ROW()-ROW(Indicaciones[[#Headers],[ID]])</f>
        <v>15</v>
      </c>
      <c r="C16" t="s">
        <v>123</v>
      </c>
    </row>
    <row r="17" spans="1:3" x14ac:dyDescent="0.25">
      <c r="A17" s="2">
        <f>ROW()-ROW(Indicaciones[[#Headers],[ID]])</f>
        <v>16</v>
      </c>
      <c r="C17" t="s">
        <v>124</v>
      </c>
    </row>
    <row r="18" spans="1:3" x14ac:dyDescent="0.25">
      <c r="A18" s="2">
        <f>ROW()-ROW(Indicaciones[[#Headers],[ID]])</f>
        <v>17</v>
      </c>
      <c r="C18" t="s">
        <v>154</v>
      </c>
    </row>
    <row r="19" spans="1:3" x14ac:dyDescent="0.25">
      <c r="A19" s="2">
        <f>ROW()-ROW(Indicaciones[[#Headers],[ID]])</f>
        <v>18</v>
      </c>
      <c r="C19" t="s">
        <v>125</v>
      </c>
    </row>
    <row r="20" spans="1:3" x14ac:dyDescent="0.25">
      <c r="A20" s="2">
        <f>ROW()-ROW(Indicaciones[[#Headers],[ID]])</f>
        <v>19</v>
      </c>
      <c r="C20" t="s">
        <v>126</v>
      </c>
    </row>
    <row r="21" spans="1:3" x14ac:dyDescent="0.25">
      <c r="A21" s="2">
        <f>ROW()-ROW(Indicaciones[[#Headers],[ID]])</f>
        <v>20</v>
      </c>
      <c r="C21" t="s">
        <v>127</v>
      </c>
    </row>
    <row r="22" spans="1:3" x14ac:dyDescent="0.25">
      <c r="A22" s="2">
        <f>ROW()-ROW(Indicaciones[[#Headers],[ID]])</f>
        <v>21</v>
      </c>
      <c r="C22" t="s">
        <v>128</v>
      </c>
    </row>
    <row r="23" spans="1:3" x14ac:dyDescent="0.25">
      <c r="A23" s="2">
        <f>ROW()-ROW(Indicaciones[[#Headers],[ID]])</f>
        <v>22</v>
      </c>
      <c r="C23" t="s">
        <v>129</v>
      </c>
    </row>
    <row r="24" spans="1:3" x14ac:dyDescent="0.25">
      <c r="A24" s="2">
        <f>ROW()-ROW(Indicaciones[[#Headers],[ID]])</f>
        <v>23</v>
      </c>
      <c r="C24" t="s">
        <v>130</v>
      </c>
    </row>
    <row r="25" spans="1:3" x14ac:dyDescent="0.25">
      <c r="A25" s="2">
        <f>ROW()-ROW(Indicaciones[[#Headers],[ID]])</f>
        <v>24</v>
      </c>
      <c r="C25" t="s">
        <v>131</v>
      </c>
    </row>
    <row r="26" spans="1:3" x14ac:dyDescent="0.25">
      <c r="A26" s="2">
        <f>ROW()-ROW(Indicaciones[[#Headers],[ID]])</f>
        <v>25</v>
      </c>
      <c r="C26" t="s">
        <v>132</v>
      </c>
    </row>
    <row r="27" spans="1:3" x14ac:dyDescent="0.25">
      <c r="A27" s="2">
        <f>ROW()-ROW(Indicaciones[[#Headers],[ID]])</f>
        <v>26</v>
      </c>
      <c r="C27" t="s">
        <v>133</v>
      </c>
    </row>
    <row r="28" spans="1:3" x14ac:dyDescent="0.25">
      <c r="A28" s="2">
        <f>ROW()-ROW(Indicaciones[[#Headers],[ID]])</f>
        <v>27</v>
      </c>
      <c r="C28" t="s">
        <v>134</v>
      </c>
    </row>
    <row r="29" spans="1:3" x14ac:dyDescent="0.25">
      <c r="A29" s="2">
        <f>ROW()-ROW(Indicaciones[[#Headers],[ID]])</f>
        <v>28</v>
      </c>
      <c r="C29" t="s">
        <v>135</v>
      </c>
    </row>
    <row r="30" spans="1:3" x14ac:dyDescent="0.25">
      <c r="A30" s="2">
        <f>ROW()-ROW(Indicaciones[[#Headers],[ID]])</f>
        <v>29</v>
      </c>
      <c r="C30" t="s">
        <v>136</v>
      </c>
    </row>
    <row r="31" spans="1:3" x14ac:dyDescent="0.25">
      <c r="A31" s="2">
        <f>ROW()-ROW(Indicaciones[[#Headers],[ID]])</f>
        <v>30</v>
      </c>
      <c r="C31" t="s">
        <v>137</v>
      </c>
    </row>
    <row r="32" spans="1:3" x14ac:dyDescent="0.25">
      <c r="A32" s="2">
        <f>ROW()-ROW(Indicaciones[[#Headers],[ID]])</f>
        <v>31</v>
      </c>
      <c r="C32" t="s">
        <v>138</v>
      </c>
    </row>
    <row r="33" spans="1:3" x14ac:dyDescent="0.25">
      <c r="A33" s="2">
        <f>ROW()-ROW(Indicaciones[[#Headers],[ID]])</f>
        <v>32</v>
      </c>
      <c r="C33" t="s">
        <v>139</v>
      </c>
    </row>
    <row r="34" spans="1:3" x14ac:dyDescent="0.25">
      <c r="A34" s="2">
        <f>ROW()-ROW(Indicaciones[[#Headers],[ID]])</f>
        <v>33</v>
      </c>
      <c r="C34" t="s">
        <v>140</v>
      </c>
    </row>
    <row r="35" spans="1:3" x14ac:dyDescent="0.25">
      <c r="A35" s="2">
        <f>ROW()-ROW(Indicaciones[[#Headers],[ID]])</f>
        <v>34</v>
      </c>
      <c r="C35" t="s">
        <v>141</v>
      </c>
    </row>
    <row r="36" spans="1:3" x14ac:dyDescent="0.25">
      <c r="A36" s="2">
        <f>ROW()-ROW(Indicaciones[[#Headers],[ID]])</f>
        <v>35</v>
      </c>
      <c r="C36" t="s">
        <v>144</v>
      </c>
    </row>
    <row r="37" spans="1:3" x14ac:dyDescent="0.25">
      <c r="A37" s="2">
        <f>ROW()-ROW(Indicaciones[[#Headers],[ID]])</f>
        <v>36</v>
      </c>
      <c r="C37" t="s">
        <v>145</v>
      </c>
    </row>
    <row r="38" spans="1:3" x14ac:dyDescent="0.25">
      <c r="A38" s="2">
        <f>ROW()-ROW(Indicaciones[[#Headers],[ID]])</f>
        <v>37</v>
      </c>
      <c r="C38" t="s">
        <v>146</v>
      </c>
    </row>
    <row r="39" spans="1:3" x14ac:dyDescent="0.25">
      <c r="A39" s="2">
        <f>ROW()-ROW(Indicaciones[[#Headers],[ID]])</f>
        <v>38</v>
      </c>
      <c r="C39" t="s">
        <v>147</v>
      </c>
    </row>
    <row r="40" spans="1:3" x14ac:dyDescent="0.25">
      <c r="A40" s="2">
        <f>ROW()-ROW(Indicaciones[[#Headers],[ID]])</f>
        <v>39</v>
      </c>
      <c r="C40" t="s">
        <v>148</v>
      </c>
    </row>
    <row r="41" spans="1:3" x14ac:dyDescent="0.25">
      <c r="A41" s="2">
        <f>ROW()-ROW(Indicaciones[[#Headers],[ID]])</f>
        <v>40</v>
      </c>
      <c r="C41" t="s">
        <v>149</v>
      </c>
    </row>
    <row r="42" spans="1:3" x14ac:dyDescent="0.25">
      <c r="A42" s="2">
        <f>ROW()-ROW(Indicaciones[[#Headers],[ID]])</f>
        <v>41</v>
      </c>
      <c r="C42" t="s">
        <v>150</v>
      </c>
    </row>
    <row r="43" spans="1:3" x14ac:dyDescent="0.25">
      <c r="A43" s="2">
        <f>ROW()-ROW(Indicaciones[[#Headers],[ID]])</f>
        <v>42</v>
      </c>
      <c r="C43" t="s">
        <v>266</v>
      </c>
    </row>
    <row r="44" spans="1:3" x14ac:dyDescent="0.25">
      <c r="A44" s="2">
        <f>ROW()-ROW(Indicaciones[[#Headers],[ID]])</f>
        <v>43</v>
      </c>
      <c r="C44" t="s">
        <v>267</v>
      </c>
    </row>
    <row r="45" spans="1:3" x14ac:dyDescent="0.25">
      <c r="A45" s="2">
        <f>ROW()-ROW(Indicaciones[[#Headers],[ID]])</f>
        <v>44</v>
      </c>
      <c r="C45" t="s">
        <v>268</v>
      </c>
    </row>
    <row r="46" spans="1:3" x14ac:dyDescent="0.25">
      <c r="A46" s="2">
        <f>ROW()-ROW(Indicaciones[[#Headers],[ID]])</f>
        <v>45</v>
      </c>
      <c r="C46" t="s">
        <v>269</v>
      </c>
    </row>
    <row r="47" spans="1:3" x14ac:dyDescent="0.25">
      <c r="A47" s="2">
        <f>ROW()-ROW(Indicaciones[[#Headers],[ID]])</f>
        <v>46</v>
      </c>
      <c r="C47" t="s">
        <v>270</v>
      </c>
    </row>
    <row r="48" spans="1:3" x14ac:dyDescent="0.25">
      <c r="A48" s="2">
        <f>ROW()-ROW(Indicaciones[[#Headers],[ID]])</f>
        <v>47</v>
      </c>
      <c r="C48" t="s">
        <v>271</v>
      </c>
    </row>
    <row r="49" spans="1:3" x14ac:dyDescent="0.25">
      <c r="A49" s="2">
        <f>ROW()-ROW(Indicaciones[[#Headers],[ID]])</f>
        <v>48</v>
      </c>
      <c r="C49" t="s">
        <v>272</v>
      </c>
    </row>
    <row r="50" spans="1:3" x14ac:dyDescent="0.25">
      <c r="A50" s="2">
        <f>ROW()-ROW(Indicaciones[[#Headers],[ID]])</f>
        <v>49</v>
      </c>
      <c r="C50" t="s">
        <v>273</v>
      </c>
    </row>
    <row r="51" spans="1:3" x14ac:dyDescent="0.25">
      <c r="A51" s="2">
        <f>ROW()-ROW(Indicaciones[[#Headers],[ID]])</f>
        <v>50</v>
      </c>
      <c r="C51" t="s">
        <v>274</v>
      </c>
    </row>
    <row r="52" spans="1:3" x14ac:dyDescent="0.25">
      <c r="A52" s="2">
        <f>ROW()-ROW(Indicaciones[[#Headers],[ID]])</f>
        <v>51</v>
      </c>
      <c r="C52" t="s">
        <v>275</v>
      </c>
    </row>
    <row r="53" spans="1:3" x14ac:dyDescent="0.25">
      <c r="A53" s="2">
        <f>ROW()-ROW(Indicaciones[[#Headers],[ID]])</f>
        <v>52</v>
      </c>
      <c r="C53" t="s">
        <v>276</v>
      </c>
    </row>
    <row r="54" spans="1:3" x14ac:dyDescent="0.25">
      <c r="A54" s="2">
        <f>ROW()-ROW(Indicaciones[[#Headers],[ID]])</f>
        <v>53</v>
      </c>
      <c r="C54" t="s">
        <v>277</v>
      </c>
    </row>
    <row r="55" spans="1:3" x14ac:dyDescent="0.25">
      <c r="A55" s="2">
        <f>ROW()-ROW(Indicaciones[[#Headers],[ID]])</f>
        <v>54</v>
      </c>
      <c r="C55" t="s">
        <v>278</v>
      </c>
    </row>
    <row r="56" spans="1:3" x14ac:dyDescent="0.25">
      <c r="A56" s="2">
        <f>ROW()-ROW(Indicaciones[[#Headers],[ID]])</f>
        <v>55</v>
      </c>
      <c r="C56" t="s">
        <v>279</v>
      </c>
    </row>
    <row r="57" spans="1:3" x14ac:dyDescent="0.25">
      <c r="A57" s="2">
        <f>ROW()-ROW(Indicaciones[[#Headers],[ID]])</f>
        <v>56</v>
      </c>
      <c r="C57" t="s">
        <v>280</v>
      </c>
    </row>
    <row r="58" spans="1:3" x14ac:dyDescent="0.25">
      <c r="A58" s="2">
        <f>ROW()-ROW(Indicaciones[[#Headers],[ID]])</f>
        <v>57</v>
      </c>
      <c r="C58" t="s">
        <v>281</v>
      </c>
    </row>
    <row r="59" spans="1:3" x14ac:dyDescent="0.25">
      <c r="A59" s="2">
        <f>ROW()-ROW(Indicaciones[[#Headers],[ID]])</f>
        <v>58</v>
      </c>
      <c r="C59" t="s">
        <v>282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
  <sheetViews>
    <sheetView showGridLines="0" workbookViewId="0">
      <selection activeCell="E14" sqref="E14"/>
    </sheetView>
  </sheetViews>
  <sheetFormatPr baseColWidth="10" defaultRowHeight="15" x14ac:dyDescent="0.25"/>
  <sheetData/>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0834" r:id="rId4" name="btnSalir">
              <controlPr defaultSize="0" print="0" autoFill="0" autoPict="0" macro="[0]!Cerrar_CCB">
                <anchor moveWithCells="1" sizeWithCells="1">
                  <from>
                    <xdr:col>1</xdr:col>
                    <xdr:colOff>19050</xdr:colOff>
                    <xdr:row>4</xdr:row>
                    <xdr:rowOff>85725</xdr:rowOff>
                  </from>
                  <to>
                    <xdr:col>2</xdr:col>
                    <xdr:colOff>495300</xdr:colOff>
                    <xdr:row>7</xdr:row>
                    <xdr:rowOff>38100</xdr:rowOff>
                  </to>
                </anchor>
              </controlPr>
            </control>
          </mc:Choice>
        </mc:AlternateContent>
        <mc:AlternateContent xmlns:mc="http://schemas.openxmlformats.org/markup-compatibility/2006">
          <mc:Choice Requires="x14">
            <control shapeId="120835" r:id="rId5" name="btnSalir">
              <controlPr defaultSize="0" print="0" autoFill="0" autoPict="0" macro="[0]!Botón2_Haga_clic_en">
                <anchor moveWithCells="1" sizeWithCells="1">
                  <from>
                    <xdr:col>1</xdr:col>
                    <xdr:colOff>19050</xdr:colOff>
                    <xdr:row>1</xdr:row>
                    <xdr:rowOff>47625</xdr:rowOff>
                  </from>
                  <to>
                    <xdr:col>2</xdr:col>
                    <xdr:colOff>495300</xdr:colOff>
                    <xdr:row>4</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4"/>
  <sheetViews>
    <sheetView showGridLines="0" zoomScale="80" zoomScaleNormal="80" workbookViewId="0">
      <selection activeCell="C26" sqref="C26"/>
    </sheetView>
  </sheetViews>
  <sheetFormatPr baseColWidth="10" defaultRowHeight="15" x14ac:dyDescent="0.25"/>
  <sheetData>
    <row r="1" spans="1:1" ht="28.5" customHeight="1" x14ac:dyDescent="0.3">
      <c r="A1" s="27" t="s">
        <v>80</v>
      </c>
    </row>
    <row r="24" spans="3:4" x14ac:dyDescent="0.25">
      <c r="C24">
        <v>1</v>
      </c>
      <c r="D24" t="s">
        <v>81</v>
      </c>
    </row>
    <row r="25" spans="3:4" x14ac:dyDescent="0.25">
      <c r="C25">
        <v>2</v>
      </c>
      <c r="D25" t="s">
        <v>82</v>
      </c>
    </row>
    <row r="26" spans="3:4" x14ac:dyDescent="0.25">
      <c r="C26">
        <v>3</v>
      </c>
      <c r="D26" t="s">
        <v>92</v>
      </c>
    </row>
    <row r="27" spans="3:4" x14ac:dyDescent="0.25">
      <c r="C27">
        <v>4</v>
      </c>
      <c r="D27" t="s">
        <v>83</v>
      </c>
    </row>
    <row r="28" spans="3:4" x14ac:dyDescent="0.25">
      <c r="C28">
        <v>5</v>
      </c>
      <c r="D28" t="s">
        <v>84</v>
      </c>
    </row>
    <row r="29" spans="3:4" x14ac:dyDescent="0.25">
      <c r="C29">
        <v>6</v>
      </c>
      <c r="D29" t="s">
        <v>85</v>
      </c>
    </row>
    <row r="30" spans="3:4" x14ac:dyDescent="0.25">
      <c r="C30">
        <v>7</v>
      </c>
      <c r="D30" t="s">
        <v>86</v>
      </c>
    </row>
    <row r="31" spans="3:4" x14ac:dyDescent="0.25">
      <c r="C31">
        <v>8</v>
      </c>
      <c r="D31" t="s">
        <v>87</v>
      </c>
    </row>
    <row r="32" spans="3:4" x14ac:dyDescent="0.25">
      <c r="C32">
        <v>9</v>
      </c>
      <c r="D32" t="s">
        <v>88</v>
      </c>
    </row>
    <row r="33" spans="3:4" x14ac:dyDescent="0.25">
      <c r="C33">
        <v>10</v>
      </c>
      <c r="D33" t="s">
        <v>89</v>
      </c>
    </row>
    <row r="34" spans="3:4" x14ac:dyDescent="0.25">
      <c r="C34">
        <v>10.1</v>
      </c>
      <c r="D34" t="s">
        <v>111</v>
      </c>
    </row>
    <row r="35" spans="3:4" x14ac:dyDescent="0.25">
      <c r="C35">
        <v>10.199999999999999</v>
      </c>
      <c r="D35" t="s">
        <v>152</v>
      </c>
    </row>
    <row r="36" spans="3:4" x14ac:dyDescent="0.25">
      <c r="C36">
        <v>11</v>
      </c>
      <c r="D36" t="s">
        <v>90</v>
      </c>
    </row>
    <row r="37" spans="3:4" x14ac:dyDescent="0.25">
      <c r="C37">
        <v>12</v>
      </c>
      <c r="D37" t="s">
        <v>93</v>
      </c>
    </row>
    <row r="38" spans="3:4" x14ac:dyDescent="0.25">
      <c r="C38">
        <v>13</v>
      </c>
      <c r="D38" t="s">
        <v>94</v>
      </c>
    </row>
    <row r="39" spans="3:4" x14ac:dyDescent="0.25">
      <c r="C39">
        <v>14</v>
      </c>
      <c r="D39" t="s">
        <v>95</v>
      </c>
    </row>
    <row r="40" spans="3:4" x14ac:dyDescent="0.25">
      <c r="C40">
        <v>15</v>
      </c>
      <c r="D40" t="s">
        <v>96</v>
      </c>
    </row>
    <row r="41" spans="3:4" x14ac:dyDescent="0.25">
      <c r="C41">
        <v>16</v>
      </c>
      <c r="D41" t="s">
        <v>97</v>
      </c>
    </row>
    <row r="42" spans="3:4" x14ac:dyDescent="0.25">
      <c r="C42">
        <v>17</v>
      </c>
      <c r="D42" t="s">
        <v>98</v>
      </c>
    </row>
    <row r="43" spans="3:4" x14ac:dyDescent="0.25">
      <c r="C43">
        <v>18</v>
      </c>
      <c r="D43" t="s">
        <v>99</v>
      </c>
    </row>
    <row r="44" spans="3:4" x14ac:dyDescent="0.25">
      <c r="C44">
        <v>19</v>
      </c>
      <c r="D44" t="s">
        <v>100</v>
      </c>
    </row>
    <row r="45" spans="3:4" x14ac:dyDescent="0.25">
      <c r="C45">
        <v>20</v>
      </c>
      <c r="D45" t="s">
        <v>102</v>
      </c>
    </row>
    <row r="46" spans="3:4" x14ac:dyDescent="0.25">
      <c r="C46">
        <v>21</v>
      </c>
      <c r="D46" t="s">
        <v>101</v>
      </c>
    </row>
    <row r="47" spans="3:4" x14ac:dyDescent="0.25">
      <c r="C47">
        <v>22</v>
      </c>
      <c r="D47" t="s">
        <v>103</v>
      </c>
    </row>
    <row r="48" spans="3:4" x14ac:dyDescent="0.25">
      <c r="C48">
        <v>23</v>
      </c>
      <c r="D48" t="s">
        <v>104</v>
      </c>
    </row>
    <row r="49" spans="3:4" x14ac:dyDescent="0.25">
      <c r="C49">
        <v>24</v>
      </c>
      <c r="D49" t="s">
        <v>105</v>
      </c>
    </row>
    <row r="50" spans="3:4" x14ac:dyDescent="0.25">
      <c r="C50">
        <v>25</v>
      </c>
      <c r="D50" t="s">
        <v>106</v>
      </c>
    </row>
    <row r="51" spans="3:4" x14ac:dyDescent="0.25">
      <c r="C51">
        <v>26</v>
      </c>
      <c r="D51" t="s">
        <v>108</v>
      </c>
    </row>
    <row r="52" spans="3:4" x14ac:dyDescent="0.25">
      <c r="C52">
        <v>27</v>
      </c>
      <c r="D52" t="s">
        <v>109</v>
      </c>
    </row>
    <row r="53" spans="3:4" x14ac:dyDescent="0.25">
      <c r="C53">
        <v>28</v>
      </c>
      <c r="D53" t="s">
        <v>107</v>
      </c>
    </row>
    <row r="54" spans="3:4" x14ac:dyDescent="0.25">
      <c r="C54">
        <v>29</v>
      </c>
      <c r="D54" t="s">
        <v>153</v>
      </c>
    </row>
  </sheetData>
  <sheetProtection sort="0" autoFilter="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6222" r:id="rId3" name="cmd_Centrocontrol_de_ayuda">
              <controlPr defaultSize="0" print="0" autoFill="0" autoPict="0" macro="[0]!Abre_Centrocontrol_de_Ayuda">
                <anchor>
                  <from>
                    <xdr:col>1</xdr:col>
                    <xdr:colOff>666750</xdr:colOff>
                    <xdr:row>0</xdr:row>
                    <xdr:rowOff>47625</xdr:rowOff>
                  </from>
                  <to>
                    <xdr:col>2</xdr:col>
                    <xdr:colOff>609600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V4"/>
  <sheetViews>
    <sheetView showGridLines="0" workbookViewId="0">
      <pane xSplit="6" ySplit="1" topLeftCell="K2" activePane="bottomRight" state="frozen"/>
      <selection pane="topRight" activeCell="G1" sqref="G1"/>
      <selection pane="bottomLeft" activeCell="A2" sqref="A2"/>
      <selection pane="bottomRight" activeCell="B1" sqref="B1"/>
    </sheetView>
  </sheetViews>
  <sheetFormatPr baseColWidth="10" defaultRowHeight="15" x14ac:dyDescent="0.25"/>
  <cols>
    <col min="1" max="1" width="7.85546875" customWidth="1"/>
    <col min="2" max="2" width="13.42578125" customWidth="1"/>
    <col min="3" max="3" width="35.85546875" customWidth="1"/>
    <col min="4" max="4" width="13.85546875" customWidth="1"/>
    <col min="5" max="6" width="11.7109375" customWidth="1"/>
    <col min="7" max="8" width="16.7109375" bestFit="1" customWidth="1"/>
    <col min="9" max="9" width="15.28515625" bestFit="1" customWidth="1"/>
    <col min="10" max="10" width="50.140625" customWidth="1"/>
    <col min="11" max="11" width="11.42578125" customWidth="1"/>
    <col min="12" max="12" width="12.5703125" customWidth="1"/>
    <col min="13" max="13" width="14.42578125" customWidth="1"/>
    <col min="14" max="14" width="13.42578125" customWidth="1"/>
    <col min="15" max="15" width="17.5703125" customWidth="1"/>
    <col min="16" max="16" width="15.140625" customWidth="1"/>
    <col min="17" max="17" width="16.28515625" customWidth="1"/>
    <col min="20" max="20" width="11.85546875" bestFit="1" customWidth="1"/>
  </cols>
  <sheetData>
    <row r="1" spans="2:22" ht="30" x14ac:dyDescent="0.25">
      <c r="B1" s="21" t="s">
        <v>4</v>
      </c>
      <c r="C1" s="21" t="s">
        <v>60</v>
      </c>
      <c r="D1" s="21" t="s">
        <v>61</v>
      </c>
      <c r="E1" s="21" t="s">
        <v>73</v>
      </c>
      <c r="F1" s="21" t="s">
        <v>155</v>
      </c>
      <c r="G1" s="21" t="s">
        <v>64</v>
      </c>
      <c r="H1" s="21" t="s">
        <v>65</v>
      </c>
      <c r="I1" s="21" t="s">
        <v>62</v>
      </c>
      <c r="J1" s="21" t="s">
        <v>79</v>
      </c>
      <c r="K1" s="21" t="s">
        <v>66</v>
      </c>
      <c r="L1" s="21" t="s">
        <v>72</v>
      </c>
      <c r="M1" s="21" t="s">
        <v>68</v>
      </c>
      <c r="N1" s="21" t="s">
        <v>67</v>
      </c>
      <c r="O1" s="21" t="s">
        <v>69</v>
      </c>
      <c r="P1" s="21" t="s">
        <v>70</v>
      </c>
      <c r="Q1" s="21" t="s">
        <v>71</v>
      </c>
    </row>
    <row r="2" spans="2:22" x14ac:dyDescent="0.25">
      <c r="B2" t="s">
        <v>0</v>
      </c>
      <c r="C2" t="s">
        <v>286</v>
      </c>
      <c r="D2" s="6">
        <v>1</v>
      </c>
      <c r="E2" s="6" t="s">
        <v>292</v>
      </c>
      <c r="F2" s="6">
        <v>1</v>
      </c>
      <c r="G2" s="26">
        <v>43250.911898148152</v>
      </c>
      <c r="H2" s="26">
        <v>43250.912812499999</v>
      </c>
      <c r="I2" s="25">
        <f>tbl_Fechas_Refrescado[[#This Row],[FIN]]-tbl_Fechas_Refrescado[[#This Row],[INICIO]]</f>
        <v>9.1435184731381014E-4</v>
      </c>
      <c r="J2" s="25"/>
      <c r="K2" s="22">
        <v>84</v>
      </c>
      <c r="L2" s="22">
        <v>0</v>
      </c>
      <c r="M2" s="22">
        <v>461</v>
      </c>
      <c r="N2" s="22">
        <v>0</v>
      </c>
      <c r="O2" s="23">
        <v>0</v>
      </c>
      <c r="P2" s="23">
        <v>165</v>
      </c>
      <c r="Q2" s="23">
        <v>0</v>
      </c>
      <c r="V2" s="24"/>
    </row>
    <row r="3" spans="2:22" x14ac:dyDescent="0.25">
      <c r="B3" t="s">
        <v>0</v>
      </c>
      <c r="C3" t="s">
        <v>213</v>
      </c>
      <c r="D3" s="6">
        <v>1</v>
      </c>
      <c r="E3" s="6" t="s">
        <v>292</v>
      </c>
      <c r="F3" s="6">
        <v>1</v>
      </c>
      <c r="G3" s="26">
        <v>43250.909953703704</v>
      </c>
      <c r="H3" s="26">
        <v>43250.911365740743</v>
      </c>
      <c r="I3" s="25">
        <f>tbl_Fechas_Refrescado[[#This Row],[FIN]]-tbl_Fechas_Refrescado[[#This Row],[INICIO]]</f>
        <v>1.4120370396994986E-3</v>
      </c>
      <c r="J3" s="25"/>
      <c r="K3" s="22">
        <v>213</v>
      </c>
      <c r="L3" s="22">
        <v>0</v>
      </c>
      <c r="M3" s="22">
        <v>57</v>
      </c>
      <c r="N3" s="22">
        <v>44</v>
      </c>
      <c r="O3" s="23">
        <v>876422</v>
      </c>
      <c r="P3" s="23">
        <v>212383</v>
      </c>
      <c r="Q3" s="23">
        <v>209520</v>
      </c>
    </row>
    <row r="4" spans="2:22" x14ac:dyDescent="0.25">
      <c r="B4" t="s">
        <v>74</v>
      </c>
      <c r="C4" s="6">
        <f>SUBTOTAL(103,tbl_Fechas_Refrescado[HOJA CB])</f>
        <v>2</v>
      </c>
      <c r="D4" s="6"/>
      <c r="E4" s="6"/>
      <c r="F4" s="6"/>
      <c r="G4" s="26">
        <f>SUBTOTAL(105,tbl_Fechas_Refrescado[INICIO])</f>
        <v>43250.909953703704</v>
      </c>
      <c r="H4" s="26">
        <f>SUBTOTAL(104,tbl_Fechas_Refrescado[FIN])</f>
        <v>43250.912812499999</v>
      </c>
      <c r="I4" s="25">
        <f>SUBTOTAL(109,tbl_Fechas_Refrescado[DURACIÓN])</f>
        <v>2.3263888870133087E-3</v>
      </c>
      <c r="J4" s="25"/>
      <c r="K4" s="6">
        <f>SUBTOTAL(104,tbl_Fechas_Refrescado[DIAS PERIODO])</f>
        <v>213</v>
      </c>
      <c r="L4" s="6">
        <f>SUBTOTAL(109,tbl_Fechas_Refrescado[DUPLICADOS])</f>
        <v>0</v>
      </c>
      <c r="M4" s="6">
        <f>SUBTOTAL(109,tbl_Fechas_Refrescado[SKUs Totales])</f>
        <v>518</v>
      </c>
      <c r="N4" s="6">
        <f>SUBTOTAL(109,tbl_Fechas_Refrescado[SKUs Buffer])</f>
        <v>44</v>
      </c>
      <c r="O4" s="23">
        <f>SUBTOTAL(109,tbl_Fechas_Refrescado[COSTO BUFFER])</f>
        <v>876422</v>
      </c>
      <c r="P4" s="23">
        <f>SUBTOTAL(109,tbl_Fechas_Refrescado[COSTO FISICO])</f>
        <v>212548</v>
      </c>
      <c r="Q4" s="23">
        <f>SUBTOTAL(109,tbl_Fechas_Refrescado[COSTO TRANSITO])</f>
        <v>209520</v>
      </c>
    </row>
  </sheetData>
  <sheetProtection sort="0" autoFilter="0"/>
  <conditionalFormatting sqref="B2:Q3">
    <cfRule type="expression" dxfId="17" priority="2">
      <formula>$L2&lt;&gt;0</formula>
    </cfRule>
    <cfRule type="expression" dxfId="16" priority="3">
      <formula>OR(AND($D2=1,(DATE(YEAR($H2),MONTH($H2),DAY($H2)))&lt;&gt;TODAY()),$D2=0,$F2=0)</formula>
    </cfRule>
  </conditionalFormatting>
  <conditionalFormatting sqref="E2:F3">
    <cfRule type="expression" dxfId="15"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171450</xdr:colOff>
                <xdr:row>0</xdr:row>
                <xdr:rowOff>371475</xdr:rowOff>
              </to>
            </anchor>
          </controlPr>
        </control>
      </mc:Choice>
      <mc:Fallback>
        <control shapeId="27649" r:id="rId4" name="cmdVolver"/>
      </mc:Fallback>
    </mc:AlternateContent>
  </controls>
  <tableParts count="1">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D:\Documents RAMCAS\RAM CAS\MEJORA CONTINUA\</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3"/>
  <sheetViews>
    <sheetView showGridLines="0" workbookViewId="0"/>
  </sheetViews>
  <sheetFormatPr baseColWidth="10" defaultColWidth="11.42578125" defaultRowHeight="15" x14ac:dyDescent="0.25"/>
  <cols>
    <col min="1" max="1" width="18.140625" bestFit="1" customWidth="1"/>
  </cols>
  <sheetData>
    <row r="1" spans="1:1" x14ac:dyDescent="0.25">
      <c r="A1" t="s">
        <v>32</v>
      </c>
    </row>
    <row r="2" spans="1:1" x14ac:dyDescent="0.25">
      <c r="A2" t="s">
        <v>0</v>
      </c>
    </row>
    <row r="3" spans="1:1" x14ac:dyDescent="0.25">
      <c r="A3" t="s">
        <v>25</v>
      </c>
    </row>
  </sheetData>
  <sheetProtection sort="0" autoFilter="0"/>
  <pageMargins left="0.7" right="0.7" top="0.75" bottom="0.75" header="0.3" footer="0.3"/>
  <pageSetup paperSize="9" orientation="portrait" horizontalDpi="0" verticalDpi="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4</v>
      </c>
      <c r="B1" t="s">
        <v>5</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14" priority="5">
      <formula>ISBLANK(A2)</formula>
    </cfRule>
  </conditionalFormatting>
  <conditionalFormatting sqref="A2">
    <cfRule type="expression" dxfId="13"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
  <sheetViews>
    <sheetView showGridLines="0" zoomScale="90" zoomScaleNormal="90" workbookViewId="0">
      <selection activeCell="C5" sqref="C5"/>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1</v>
      </c>
      <c r="B1" t="s">
        <v>4</v>
      </c>
      <c r="C1" t="s">
        <v>2</v>
      </c>
      <c r="D1" t="s">
        <v>3</v>
      </c>
      <c r="E1" t="s">
        <v>7</v>
      </c>
      <c r="F1" t="s">
        <v>27</v>
      </c>
    </row>
    <row r="2" spans="1:6" x14ac:dyDescent="0.25">
      <c r="A2" s="9"/>
      <c r="E2" s="3"/>
    </row>
  </sheetData>
  <conditionalFormatting sqref="A2:F2">
    <cfRule type="expression" dxfId="12" priority="1">
      <formula>ISBLANK(A2)</formula>
    </cfRule>
  </conditionalFormatting>
  <conditionalFormatting sqref="A2">
    <cfRule type="duplicateValues" dxfId="11" priority="4655"/>
    <cfRule type="duplicateValues" dxfId="10" priority="4656"/>
    <cfRule type="duplicateValues" dxfId="9" priority="4657"/>
  </conditionalFormatting>
  <dataValidations count="1">
    <dataValidation type="list" allowBlank="1" showInputMessage="1" showErrorMessage="1" sqref="B2">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2" r:id="rId4" name="cmdCancelar">
          <controlPr defaultSize="0" print="0" autoLine="0" r:id="rId5">
            <anchor>
              <from>
                <xdr:col>6</xdr:col>
                <xdr:colOff>66675</xdr:colOff>
                <xdr:row>2</xdr:row>
                <xdr:rowOff>57150</xdr:rowOff>
              </from>
              <to>
                <xdr:col>7</xdr:col>
                <xdr:colOff>190500</xdr:colOff>
                <xdr:row>4</xdr:row>
                <xdr:rowOff>0</xdr:rowOff>
              </to>
            </anchor>
          </controlPr>
        </control>
      </mc:Choice>
      <mc:Fallback>
        <control shapeId="5122" r:id="rId4" name="cmdCancelar"/>
      </mc:Fallback>
    </mc:AlternateContent>
    <mc:AlternateContent xmlns:mc="http://schemas.openxmlformats.org/markup-compatibility/2006">
      <mc:Choice Requires="x14">
        <control shapeId="5121" r:id="rId6" name="cmdGuardar">
          <controlPr defaultSize="0" print="0" autoLine="0" r:id="rId7">
            <anchor>
              <from>
                <xdr:col>6</xdr:col>
                <xdr:colOff>66675</xdr:colOff>
                <xdr:row>0</xdr:row>
                <xdr:rowOff>38100</xdr:rowOff>
              </from>
              <to>
                <xdr:col>7</xdr:col>
                <xdr:colOff>190500</xdr:colOff>
                <xdr:row>1</xdr:row>
                <xdr:rowOff>171450</xdr:rowOff>
              </to>
            </anchor>
          </controlPr>
        </control>
      </mc:Choice>
      <mc:Fallback>
        <control shapeId="5121" r:id="rId6" name="cmdGuardar"/>
      </mc:Fallback>
    </mc:AlternateContent>
  </controls>
  <tableParts count="1">
    <tablePart r:id="rId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1</v>
      </c>
      <c r="B1" t="s">
        <v>4</v>
      </c>
      <c r="C1" t="s">
        <v>5</v>
      </c>
      <c r="D1" t="s">
        <v>7</v>
      </c>
      <c r="E1" t="s">
        <v>3</v>
      </c>
      <c r="F1" t="s">
        <v>14</v>
      </c>
      <c r="G1" t="s">
        <v>15</v>
      </c>
      <c r="H1" t="s">
        <v>24</v>
      </c>
      <c r="I1" t="s">
        <v>23</v>
      </c>
      <c r="J1" t="s">
        <v>31</v>
      </c>
    </row>
    <row r="2" spans="1:10" x14ac:dyDescent="0.25">
      <c r="A2" s="6"/>
      <c r="D2" s="2"/>
      <c r="E2" s="2"/>
    </row>
  </sheetData>
  <conditionalFormatting sqref="A2:I2">
    <cfRule type="expression" dxfId="8" priority="2">
      <formula>ISBLANK(A2)</formula>
    </cfRule>
  </conditionalFormatting>
  <conditionalFormatting sqref="A2">
    <cfRule type="duplicateValues" dxfId="7" priority="101"/>
    <cfRule type="duplicateValues" dxfId="6" priority="102"/>
    <cfRule type="duplicateValues" dxfId="5" priority="103"/>
    <cfRule type="duplicateValues" dxfId="4" priority="104"/>
  </conditionalFormatting>
  <conditionalFormatting sqref="B2">
    <cfRule type="expression" dxfId="3"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31</v>
      </c>
      <c r="C1" s="10" t="s">
        <v>14</v>
      </c>
      <c r="D1" s="10" t="s">
        <v>15</v>
      </c>
      <c r="E1" s="10" t="s">
        <v>24</v>
      </c>
      <c r="F1" s="10" t="s">
        <v>23</v>
      </c>
    </row>
    <row r="2" spans="2:6" x14ac:dyDescent="0.25">
      <c r="B2" s="11"/>
      <c r="C2" s="11"/>
      <c r="D2" s="11"/>
      <c r="E2" s="11"/>
      <c r="F2" s="11"/>
    </row>
  </sheetData>
  <conditionalFormatting sqref="C2:F2">
    <cfRule type="expression" dxfId="2" priority="1">
      <formula>ISBLANK(C2)</formula>
    </cfRule>
  </conditionalFormatting>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81"/>
  <sheetViews>
    <sheetView showGridLines="0" workbookViewId="0">
      <selection activeCell="C7" sqref="C7"/>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21</v>
      </c>
      <c r="B1" t="s">
        <v>20</v>
      </c>
      <c r="C1" t="s">
        <v>28</v>
      </c>
      <c r="D1" t="s">
        <v>29</v>
      </c>
    </row>
    <row r="2" spans="1:4" x14ac:dyDescent="0.25">
      <c r="A2" t="s">
        <v>0</v>
      </c>
      <c r="B2" t="s">
        <v>159</v>
      </c>
      <c r="C2" t="s">
        <v>160</v>
      </c>
      <c r="D2">
        <v>1</v>
      </c>
    </row>
    <row r="3" spans="1:4" x14ac:dyDescent="0.25">
      <c r="A3" t="s">
        <v>0</v>
      </c>
      <c r="B3" t="s">
        <v>161</v>
      </c>
      <c r="C3" t="s">
        <v>160</v>
      </c>
      <c r="D3">
        <v>1</v>
      </c>
    </row>
    <row r="4" spans="1:4" x14ac:dyDescent="0.25">
      <c r="A4" t="s">
        <v>0</v>
      </c>
      <c r="B4" t="s">
        <v>162</v>
      </c>
      <c r="C4" t="s">
        <v>160</v>
      </c>
      <c r="D4">
        <v>1</v>
      </c>
    </row>
    <row r="5" spans="1:4" x14ac:dyDescent="0.25">
      <c r="A5" t="s">
        <v>0</v>
      </c>
      <c r="B5" t="s">
        <v>162</v>
      </c>
      <c r="C5" t="s">
        <v>163</v>
      </c>
      <c r="D5">
        <v>2</v>
      </c>
    </row>
    <row r="6" spans="1:4" x14ac:dyDescent="0.25">
      <c r="A6" t="s">
        <v>0</v>
      </c>
      <c r="B6" t="s">
        <v>164</v>
      </c>
      <c r="C6" t="s">
        <v>160</v>
      </c>
      <c r="D6">
        <v>1</v>
      </c>
    </row>
    <row r="7" spans="1:4" x14ac:dyDescent="0.25">
      <c r="A7" t="s">
        <v>0</v>
      </c>
      <c r="B7" t="s">
        <v>164</v>
      </c>
      <c r="C7" t="s">
        <v>163</v>
      </c>
      <c r="D7">
        <v>2</v>
      </c>
    </row>
    <row r="8" spans="1:4" x14ac:dyDescent="0.25">
      <c r="A8" t="s">
        <v>0</v>
      </c>
      <c r="B8" t="s">
        <v>164</v>
      </c>
      <c r="C8" t="s">
        <v>165</v>
      </c>
      <c r="D8">
        <v>4</v>
      </c>
    </row>
    <row r="9" spans="1:4" x14ac:dyDescent="0.25">
      <c r="A9" t="s">
        <v>0</v>
      </c>
      <c r="B9" t="s">
        <v>166</v>
      </c>
      <c r="C9" t="s">
        <v>160</v>
      </c>
      <c r="D9">
        <v>1</v>
      </c>
    </row>
    <row r="10" spans="1:4" x14ac:dyDescent="0.25">
      <c r="A10" t="s">
        <v>0</v>
      </c>
      <c r="B10" t="s">
        <v>167</v>
      </c>
      <c r="C10" t="s">
        <v>160</v>
      </c>
      <c r="D10">
        <v>1</v>
      </c>
    </row>
    <row r="11" spans="1:4" x14ac:dyDescent="0.25">
      <c r="A11" t="s">
        <v>0</v>
      </c>
      <c r="B11" t="s">
        <v>168</v>
      </c>
      <c r="C11" t="s">
        <v>160</v>
      </c>
      <c r="D11">
        <v>1</v>
      </c>
    </row>
    <row r="12" spans="1:4" x14ac:dyDescent="0.25">
      <c r="A12" t="s">
        <v>0</v>
      </c>
      <c r="B12" t="s">
        <v>168</v>
      </c>
      <c r="C12" t="s">
        <v>165</v>
      </c>
      <c r="D12">
        <v>9</v>
      </c>
    </row>
    <row r="13" spans="1:4" x14ac:dyDescent="0.25">
      <c r="A13" t="s">
        <v>0</v>
      </c>
      <c r="B13" t="s">
        <v>169</v>
      </c>
      <c r="C13" t="s">
        <v>160</v>
      </c>
      <c r="D13">
        <v>1</v>
      </c>
    </row>
    <row r="14" spans="1:4" x14ac:dyDescent="0.25">
      <c r="A14" t="s">
        <v>0</v>
      </c>
      <c r="B14" t="s">
        <v>170</v>
      </c>
      <c r="C14" t="s">
        <v>160</v>
      </c>
      <c r="D14">
        <v>1</v>
      </c>
    </row>
    <row r="15" spans="1:4" x14ac:dyDescent="0.25">
      <c r="A15" t="s">
        <v>0</v>
      </c>
      <c r="B15" t="s">
        <v>171</v>
      </c>
      <c r="C15" t="s">
        <v>160</v>
      </c>
      <c r="D15">
        <v>1</v>
      </c>
    </row>
    <row r="16" spans="1:4" x14ac:dyDescent="0.25">
      <c r="A16" t="s">
        <v>0</v>
      </c>
      <c r="B16" t="s">
        <v>171</v>
      </c>
      <c r="C16" t="s">
        <v>165</v>
      </c>
      <c r="D16">
        <v>2</v>
      </c>
    </row>
    <row r="17" spans="1:4" x14ac:dyDescent="0.25">
      <c r="A17" t="s">
        <v>0</v>
      </c>
      <c r="B17" t="s">
        <v>165</v>
      </c>
      <c r="C17" t="s">
        <v>172</v>
      </c>
      <c r="D17">
        <v>1</v>
      </c>
    </row>
    <row r="18" spans="1:4" x14ac:dyDescent="0.25">
      <c r="A18" t="s">
        <v>0</v>
      </c>
      <c r="B18" t="s">
        <v>165</v>
      </c>
      <c r="C18" t="s">
        <v>173</v>
      </c>
      <c r="D18">
        <v>2</v>
      </c>
    </row>
    <row r="19" spans="1:4" x14ac:dyDescent="0.25">
      <c r="A19" t="s">
        <v>0</v>
      </c>
      <c r="B19" t="s">
        <v>165</v>
      </c>
      <c r="C19" t="s">
        <v>174</v>
      </c>
      <c r="D19">
        <v>3</v>
      </c>
    </row>
    <row r="20" spans="1:4" x14ac:dyDescent="0.25">
      <c r="A20" t="s">
        <v>0</v>
      </c>
      <c r="B20" t="s">
        <v>165</v>
      </c>
      <c r="C20" t="s">
        <v>175</v>
      </c>
      <c r="D20">
        <v>4</v>
      </c>
    </row>
    <row r="21" spans="1:4" x14ac:dyDescent="0.25">
      <c r="A21" t="s">
        <v>0</v>
      </c>
      <c r="B21" t="s">
        <v>165</v>
      </c>
      <c r="C21" t="s">
        <v>176</v>
      </c>
      <c r="D21">
        <v>5</v>
      </c>
    </row>
    <row r="22" spans="1:4" x14ac:dyDescent="0.25">
      <c r="A22" t="s">
        <v>0</v>
      </c>
      <c r="B22" t="s">
        <v>165</v>
      </c>
      <c r="C22" t="s">
        <v>177</v>
      </c>
      <c r="D22">
        <v>6</v>
      </c>
    </row>
    <row r="23" spans="1:4" x14ac:dyDescent="0.25">
      <c r="A23" t="s">
        <v>0</v>
      </c>
      <c r="B23" t="s">
        <v>165</v>
      </c>
      <c r="C23" t="s">
        <v>178</v>
      </c>
      <c r="D23">
        <v>7</v>
      </c>
    </row>
    <row r="24" spans="1:4" x14ac:dyDescent="0.25">
      <c r="A24" t="s">
        <v>0</v>
      </c>
      <c r="B24" t="s">
        <v>160</v>
      </c>
      <c r="C24" t="s">
        <v>172</v>
      </c>
      <c r="D24">
        <v>1</v>
      </c>
    </row>
    <row r="25" spans="1:4" x14ac:dyDescent="0.25">
      <c r="A25" t="s">
        <v>0</v>
      </c>
      <c r="B25" t="s">
        <v>160</v>
      </c>
      <c r="C25" t="s">
        <v>179</v>
      </c>
      <c r="D25">
        <v>2</v>
      </c>
    </row>
    <row r="26" spans="1:4" x14ac:dyDescent="0.25">
      <c r="A26" t="s">
        <v>0</v>
      </c>
      <c r="B26" t="s">
        <v>160</v>
      </c>
      <c r="C26" t="s">
        <v>173</v>
      </c>
      <c r="D26">
        <v>3</v>
      </c>
    </row>
    <row r="27" spans="1:4" x14ac:dyDescent="0.25">
      <c r="A27" t="s">
        <v>0</v>
      </c>
      <c r="B27" t="s">
        <v>160</v>
      </c>
      <c r="C27" t="s">
        <v>174</v>
      </c>
      <c r="D27">
        <v>4</v>
      </c>
    </row>
    <row r="28" spans="1:4" x14ac:dyDescent="0.25">
      <c r="A28" t="s">
        <v>0</v>
      </c>
      <c r="B28" t="s">
        <v>160</v>
      </c>
      <c r="C28" t="s">
        <v>177</v>
      </c>
      <c r="D28">
        <v>5</v>
      </c>
    </row>
    <row r="29" spans="1:4" x14ac:dyDescent="0.25">
      <c r="A29" t="s">
        <v>0</v>
      </c>
      <c r="B29" t="s">
        <v>160</v>
      </c>
      <c r="C29" t="s">
        <v>176</v>
      </c>
      <c r="D29">
        <v>6</v>
      </c>
    </row>
    <row r="30" spans="1:4" x14ac:dyDescent="0.25">
      <c r="A30" t="s">
        <v>0</v>
      </c>
      <c r="B30" t="s">
        <v>160</v>
      </c>
      <c r="C30" t="s">
        <v>175</v>
      </c>
      <c r="D30">
        <v>7</v>
      </c>
    </row>
    <row r="31" spans="1:4" x14ac:dyDescent="0.25">
      <c r="A31" t="s">
        <v>0</v>
      </c>
      <c r="B31" t="s">
        <v>160</v>
      </c>
      <c r="C31" t="s">
        <v>178</v>
      </c>
      <c r="D31">
        <v>8</v>
      </c>
    </row>
    <row r="32" spans="1:4" x14ac:dyDescent="0.25">
      <c r="A32" t="s">
        <v>0</v>
      </c>
      <c r="B32" t="s">
        <v>160</v>
      </c>
      <c r="C32" t="s">
        <v>180</v>
      </c>
      <c r="D32">
        <v>9</v>
      </c>
    </row>
    <row r="33" spans="1:4" x14ac:dyDescent="0.25">
      <c r="A33" t="s">
        <v>0</v>
      </c>
      <c r="B33" t="s">
        <v>160</v>
      </c>
      <c r="C33" t="s">
        <v>181</v>
      </c>
      <c r="D33">
        <v>10</v>
      </c>
    </row>
    <row r="34" spans="1:4" x14ac:dyDescent="0.25">
      <c r="A34" t="s">
        <v>0</v>
      </c>
      <c r="B34" t="s">
        <v>160</v>
      </c>
      <c r="C34" t="s">
        <v>182</v>
      </c>
      <c r="D34">
        <v>11</v>
      </c>
    </row>
    <row r="35" spans="1:4" x14ac:dyDescent="0.25">
      <c r="A35" t="s">
        <v>0</v>
      </c>
      <c r="B35" t="s">
        <v>160</v>
      </c>
      <c r="C35" t="s">
        <v>183</v>
      </c>
      <c r="D35">
        <v>12</v>
      </c>
    </row>
    <row r="36" spans="1:4" x14ac:dyDescent="0.25">
      <c r="A36" t="s">
        <v>0</v>
      </c>
      <c r="B36" t="s">
        <v>160</v>
      </c>
      <c r="C36" t="s">
        <v>184</v>
      </c>
      <c r="D36">
        <v>13</v>
      </c>
    </row>
    <row r="37" spans="1:4" x14ac:dyDescent="0.25">
      <c r="A37" t="s">
        <v>0</v>
      </c>
      <c r="B37" t="s">
        <v>160</v>
      </c>
      <c r="C37" t="s">
        <v>185</v>
      </c>
      <c r="D37">
        <v>14</v>
      </c>
    </row>
    <row r="38" spans="1:4" x14ac:dyDescent="0.25">
      <c r="A38" t="s">
        <v>0</v>
      </c>
      <c r="B38" t="s">
        <v>160</v>
      </c>
      <c r="C38" t="s">
        <v>186</v>
      </c>
      <c r="D38">
        <v>15</v>
      </c>
    </row>
    <row r="39" spans="1:4" x14ac:dyDescent="0.25">
      <c r="A39" t="s">
        <v>0</v>
      </c>
      <c r="B39" t="s">
        <v>160</v>
      </c>
      <c r="C39" t="s">
        <v>187</v>
      </c>
      <c r="D39">
        <v>16</v>
      </c>
    </row>
    <row r="40" spans="1:4" x14ac:dyDescent="0.25">
      <c r="A40" t="s">
        <v>0</v>
      </c>
      <c r="B40" t="s">
        <v>160</v>
      </c>
      <c r="C40" t="s">
        <v>188</v>
      </c>
      <c r="D40">
        <v>18</v>
      </c>
    </row>
    <row r="41" spans="1:4" x14ac:dyDescent="0.25">
      <c r="A41" t="s">
        <v>0</v>
      </c>
      <c r="B41" t="s">
        <v>160</v>
      </c>
      <c r="C41" t="s">
        <v>189</v>
      </c>
      <c r="D41">
        <v>19</v>
      </c>
    </row>
    <row r="42" spans="1:4" x14ac:dyDescent="0.25">
      <c r="A42" t="s">
        <v>0</v>
      </c>
      <c r="B42" t="s">
        <v>163</v>
      </c>
      <c r="C42" t="s">
        <v>172</v>
      </c>
      <c r="D42">
        <v>1</v>
      </c>
    </row>
    <row r="43" spans="1:4" x14ac:dyDescent="0.25">
      <c r="A43" t="s">
        <v>0</v>
      </c>
      <c r="B43" t="s">
        <v>163</v>
      </c>
      <c r="C43" t="s">
        <v>173</v>
      </c>
      <c r="D43">
        <v>2</v>
      </c>
    </row>
    <row r="44" spans="1:4" x14ac:dyDescent="0.25">
      <c r="A44" t="s">
        <v>0</v>
      </c>
      <c r="B44" t="s">
        <v>163</v>
      </c>
      <c r="C44" t="s">
        <v>175</v>
      </c>
      <c r="D44">
        <v>3</v>
      </c>
    </row>
    <row r="45" spans="1:4" x14ac:dyDescent="0.25">
      <c r="A45" t="s">
        <v>0</v>
      </c>
      <c r="B45" t="s">
        <v>163</v>
      </c>
      <c r="C45" t="s">
        <v>174</v>
      </c>
      <c r="D45">
        <v>4</v>
      </c>
    </row>
    <row r="46" spans="1:4" x14ac:dyDescent="0.25">
      <c r="A46" t="s">
        <v>0</v>
      </c>
      <c r="B46" t="s">
        <v>163</v>
      </c>
      <c r="C46" t="s">
        <v>176</v>
      </c>
      <c r="D46">
        <v>5</v>
      </c>
    </row>
    <row r="47" spans="1:4" x14ac:dyDescent="0.25">
      <c r="A47" t="s">
        <v>0</v>
      </c>
      <c r="B47" t="s">
        <v>163</v>
      </c>
      <c r="C47" t="s">
        <v>177</v>
      </c>
      <c r="D47">
        <v>6</v>
      </c>
    </row>
    <row r="48" spans="1:4" x14ac:dyDescent="0.25">
      <c r="A48" t="s">
        <v>0</v>
      </c>
      <c r="B48" t="s">
        <v>163</v>
      </c>
      <c r="C48" t="s">
        <v>190</v>
      </c>
      <c r="D48">
        <v>7</v>
      </c>
    </row>
    <row r="49" spans="1:4" x14ac:dyDescent="0.25">
      <c r="A49" t="s">
        <v>0</v>
      </c>
      <c r="B49" t="s">
        <v>163</v>
      </c>
      <c r="C49" t="s">
        <v>191</v>
      </c>
      <c r="D49">
        <v>8</v>
      </c>
    </row>
    <row r="50" spans="1:4" x14ac:dyDescent="0.25">
      <c r="A50" t="s">
        <v>0</v>
      </c>
      <c r="B50" t="s">
        <v>163</v>
      </c>
      <c r="C50" t="s">
        <v>192</v>
      </c>
      <c r="D50">
        <v>9</v>
      </c>
    </row>
    <row r="51" spans="1:4" x14ac:dyDescent="0.25">
      <c r="A51" t="s">
        <v>0</v>
      </c>
      <c r="B51" t="s">
        <v>184</v>
      </c>
      <c r="C51" t="s">
        <v>191</v>
      </c>
      <c r="D51">
        <v>1</v>
      </c>
    </row>
    <row r="52" spans="1:4" x14ac:dyDescent="0.25">
      <c r="A52" t="s">
        <v>0</v>
      </c>
      <c r="B52" t="s">
        <v>193</v>
      </c>
      <c r="C52" t="s">
        <v>160</v>
      </c>
      <c r="D52">
        <v>4</v>
      </c>
    </row>
    <row r="53" spans="1:4" x14ac:dyDescent="0.25">
      <c r="A53" t="s">
        <v>0</v>
      </c>
      <c r="B53" t="s">
        <v>194</v>
      </c>
      <c r="C53" t="s">
        <v>160</v>
      </c>
      <c r="D53">
        <v>4</v>
      </c>
    </row>
    <row r="54" spans="1:4" x14ac:dyDescent="0.25">
      <c r="A54" t="s">
        <v>0</v>
      </c>
      <c r="B54" t="s">
        <v>195</v>
      </c>
      <c r="C54" t="s">
        <v>160</v>
      </c>
      <c r="D54">
        <v>4</v>
      </c>
    </row>
    <row r="55" spans="1:4" x14ac:dyDescent="0.25">
      <c r="A55" t="s">
        <v>0</v>
      </c>
      <c r="B55" t="s">
        <v>196</v>
      </c>
      <c r="C55" t="s">
        <v>192</v>
      </c>
      <c r="D55">
        <v>2</v>
      </c>
    </row>
    <row r="56" spans="1:4" x14ac:dyDescent="0.25">
      <c r="A56" t="s">
        <v>0</v>
      </c>
      <c r="B56" t="s">
        <v>196</v>
      </c>
      <c r="C56" t="s">
        <v>191</v>
      </c>
      <c r="D56">
        <v>5</v>
      </c>
    </row>
    <row r="57" spans="1:4" x14ac:dyDescent="0.25">
      <c r="A57" t="s">
        <v>0</v>
      </c>
      <c r="B57" t="s">
        <v>196</v>
      </c>
      <c r="C57" t="s">
        <v>184</v>
      </c>
      <c r="D57">
        <v>7</v>
      </c>
    </row>
    <row r="58" spans="1:4" x14ac:dyDescent="0.25">
      <c r="A58" t="s">
        <v>0</v>
      </c>
      <c r="B58" t="s">
        <v>197</v>
      </c>
      <c r="C58" t="s">
        <v>160</v>
      </c>
      <c r="D58">
        <v>1</v>
      </c>
    </row>
    <row r="59" spans="1:4" x14ac:dyDescent="0.25">
      <c r="A59" t="s">
        <v>0</v>
      </c>
      <c r="B59" t="s">
        <v>198</v>
      </c>
      <c r="C59" t="s">
        <v>160</v>
      </c>
      <c r="D59">
        <v>4</v>
      </c>
    </row>
    <row r="60" spans="1:4" x14ac:dyDescent="0.25">
      <c r="A60" t="s">
        <v>0</v>
      </c>
      <c r="B60" t="s">
        <v>199</v>
      </c>
      <c r="C60" t="s">
        <v>160</v>
      </c>
      <c r="D60">
        <v>1</v>
      </c>
    </row>
    <row r="61" spans="1:4" x14ac:dyDescent="0.25">
      <c r="A61" t="s">
        <v>0</v>
      </c>
      <c r="B61" t="s">
        <v>200</v>
      </c>
      <c r="C61" t="s">
        <v>160</v>
      </c>
      <c r="D61">
        <v>1</v>
      </c>
    </row>
    <row r="62" spans="1:4" x14ac:dyDescent="0.25">
      <c r="A62" t="s">
        <v>0</v>
      </c>
      <c r="B62" t="s">
        <v>201</v>
      </c>
      <c r="C62" t="s">
        <v>160</v>
      </c>
      <c r="D62">
        <v>1</v>
      </c>
    </row>
    <row r="63" spans="1:4" x14ac:dyDescent="0.25">
      <c r="A63" t="s">
        <v>0</v>
      </c>
      <c r="B63" t="s">
        <v>202</v>
      </c>
      <c r="C63" t="s">
        <v>160</v>
      </c>
      <c r="D63">
        <v>2</v>
      </c>
    </row>
    <row r="64" spans="1:4" x14ac:dyDescent="0.25">
      <c r="A64" t="s">
        <v>0</v>
      </c>
      <c r="B64" t="s">
        <v>203</v>
      </c>
      <c r="C64" t="s">
        <v>160</v>
      </c>
      <c r="D64">
        <v>1</v>
      </c>
    </row>
    <row r="65" spans="1:4" x14ac:dyDescent="0.25">
      <c r="A65" t="s">
        <v>0</v>
      </c>
      <c r="B65" t="s">
        <v>192</v>
      </c>
      <c r="C65" t="s">
        <v>191</v>
      </c>
      <c r="D65">
        <v>1</v>
      </c>
    </row>
    <row r="66" spans="1:4" x14ac:dyDescent="0.25">
      <c r="A66" t="s">
        <v>0</v>
      </c>
      <c r="B66" t="s">
        <v>192</v>
      </c>
      <c r="C66" t="s">
        <v>179</v>
      </c>
      <c r="D66">
        <v>2</v>
      </c>
    </row>
    <row r="67" spans="1:4" x14ac:dyDescent="0.25">
      <c r="A67" t="s">
        <v>0</v>
      </c>
      <c r="B67" t="s">
        <v>192</v>
      </c>
      <c r="C67" t="s">
        <v>190</v>
      </c>
      <c r="D67">
        <v>3</v>
      </c>
    </row>
    <row r="68" spans="1:4" x14ac:dyDescent="0.25">
      <c r="A68" t="s">
        <v>0</v>
      </c>
      <c r="B68" t="s">
        <v>192</v>
      </c>
      <c r="C68" t="s">
        <v>204</v>
      </c>
      <c r="D68">
        <v>4</v>
      </c>
    </row>
    <row r="69" spans="1:4" x14ac:dyDescent="0.25">
      <c r="A69" t="s">
        <v>0</v>
      </c>
      <c r="B69" t="s">
        <v>192</v>
      </c>
      <c r="C69" t="s">
        <v>205</v>
      </c>
      <c r="D69">
        <v>5</v>
      </c>
    </row>
    <row r="70" spans="1:4" x14ac:dyDescent="0.25">
      <c r="A70" t="s">
        <v>0</v>
      </c>
      <c r="B70" t="s">
        <v>192</v>
      </c>
      <c r="C70" t="s">
        <v>206</v>
      </c>
      <c r="D70">
        <v>6</v>
      </c>
    </row>
    <row r="71" spans="1:4" x14ac:dyDescent="0.25">
      <c r="A71" t="s">
        <v>0</v>
      </c>
      <c r="B71" t="s">
        <v>192</v>
      </c>
      <c r="C71" t="s">
        <v>207</v>
      </c>
      <c r="D71">
        <v>7</v>
      </c>
    </row>
    <row r="72" spans="1:4" x14ac:dyDescent="0.25">
      <c r="A72" t="s">
        <v>0</v>
      </c>
      <c r="B72" t="s">
        <v>192</v>
      </c>
      <c r="C72" t="s">
        <v>184</v>
      </c>
      <c r="D72">
        <v>8</v>
      </c>
    </row>
    <row r="73" spans="1:4" x14ac:dyDescent="0.25">
      <c r="A73" t="s">
        <v>0</v>
      </c>
      <c r="B73" t="s">
        <v>192</v>
      </c>
      <c r="C73" t="s">
        <v>196</v>
      </c>
      <c r="D73">
        <v>11</v>
      </c>
    </row>
    <row r="74" spans="1:4" x14ac:dyDescent="0.25">
      <c r="A74" t="s">
        <v>0</v>
      </c>
      <c r="B74" t="s">
        <v>208</v>
      </c>
      <c r="C74" t="s">
        <v>192</v>
      </c>
      <c r="D74">
        <v>1</v>
      </c>
    </row>
    <row r="75" spans="1:4" x14ac:dyDescent="0.25">
      <c r="A75" t="s">
        <v>0</v>
      </c>
      <c r="B75" t="s">
        <v>208</v>
      </c>
      <c r="C75" t="s">
        <v>209</v>
      </c>
      <c r="D75">
        <v>3</v>
      </c>
    </row>
    <row r="76" spans="1:4" x14ac:dyDescent="0.25">
      <c r="A76" t="s">
        <v>0</v>
      </c>
      <c r="B76" t="s">
        <v>208</v>
      </c>
      <c r="C76" t="s">
        <v>210</v>
      </c>
      <c r="D76">
        <v>4</v>
      </c>
    </row>
    <row r="77" spans="1:4" x14ac:dyDescent="0.25">
      <c r="A77" t="s">
        <v>0</v>
      </c>
      <c r="B77" t="s">
        <v>208</v>
      </c>
      <c r="C77" t="s">
        <v>206</v>
      </c>
      <c r="D77">
        <v>5</v>
      </c>
    </row>
    <row r="78" spans="1:4" x14ac:dyDescent="0.25">
      <c r="A78" t="s">
        <v>0</v>
      </c>
      <c r="B78" t="s">
        <v>208</v>
      </c>
      <c r="C78" t="s">
        <v>163</v>
      </c>
      <c r="D78">
        <v>6</v>
      </c>
    </row>
    <row r="79" spans="1:4" x14ac:dyDescent="0.25">
      <c r="A79" t="s">
        <v>0</v>
      </c>
      <c r="B79" t="s">
        <v>208</v>
      </c>
      <c r="C79" t="s">
        <v>175</v>
      </c>
      <c r="D79">
        <v>9</v>
      </c>
    </row>
    <row r="80" spans="1:4" x14ac:dyDescent="0.25">
      <c r="A80" t="s">
        <v>0</v>
      </c>
      <c r="B80" t="s">
        <v>208</v>
      </c>
      <c r="C80" t="s">
        <v>211</v>
      </c>
      <c r="D80">
        <v>15</v>
      </c>
    </row>
    <row r="81" spans="1:4" x14ac:dyDescent="0.25">
      <c r="A81" t="s">
        <v>25</v>
      </c>
      <c r="B81" t="s">
        <v>212</v>
      </c>
      <c r="C81" t="s">
        <v>160</v>
      </c>
      <c r="D81">
        <v>1</v>
      </c>
    </row>
  </sheetData>
  <conditionalFormatting sqref="A2:D81">
    <cfRule type="expression" dxfId="1" priority="2">
      <formula>ISBLANK(A2)</formula>
    </cfRule>
  </conditionalFormatting>
  <conditionalFormatting sqref="A2:A81">
    <cfRule type="expression" dxfId="0" priority="5663">
      <formula>SUMPRODUCT(--($A$2:$A$81=A2),--($B$2:$B$81=B2),--($D$2:$D$81=D2))&gt;1</formula>
    </cfRule>
  </conditionalFormatting>
  <dataValidations count="1">
    <dataValidation type="list" allowBlank="1" showInputMessage="1" showErrorMessage="1" sqref="A2:A81">
      <formula1>EMPRESA</formula1>
    </dataValidation>
  </dataValidation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3"/>
  <sheetViews>
    <sheetView showGridLines="0" zoomScale="120" zoomScaleNormal="120" workbookViewId="0">
      <selection activeCell="A3" sqref="A3:A6"/>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30</v>
      </c>
      <c r="B1" s="4"/>
    </row>
    <row r="2" spans="1:3" x14ac:dyDescent="0.25">
      <c r="A2" t="s">
        <v>3</v>
      </c>
      <c r="B2" t="s">
        <v>9</v>
      </c>
      <c r="C2" t="s">
        <v>10</v>
      </c>
    </row>
    <row r="3" spans="1:3" x14ac:dyDescent="0.25">
      <c r="A3" s="1"/>
      <c r="B3" s="16"/>
      <c r="C3" s="7"/>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3" sqref="A3"/>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63</v>
      </c>
    </row>
    <row r="2" spans="1:4" x14ac:dyDescent="0.25">
      <c r="A2" s="6" t="s">
        <v>60</v>
      </c>
      <c r="B2" s="6" t="s">
        <v>12</v>
      </c>
      <c r="C2" s="6" t="s">
        <v>11</v>
      </c>
      <c r="D2" s="6" t="s">
        <v>50</v>
      </c>
    </row>
    <row r="3" spans="1:4" x14ac:dyDescent="0.25">
      <c r="B3" s="6"/>
      <c r="C3" s="6"/>
      <c r="D3" s="19"/>
    </row>
    <row r="4" spans="1:4" x14ac:dyDescent="0.25">
      <c r="A4" s="28" t="s">
        <v>78</v>
      </c>
      <c r="B4" s="6">
        <f>SUBTOTAL(109,Tabla_NUMERO_ITEMS[TODOS ITEMS])</f>
        <v>0</v>
      </c>
      <c r="C4" s="6">
        <f>SUBTOTAL(109,Tabla_NUMERO_ITEMS[ITEMS CON BUFFER])</f>
        <v>0</v>
      </c>
      <c r="D4" s="19" t="e">
        <f>SUBTOTAL(101,Tabla_NUMERO_ITEMS[% ITEMS CON BUFFER])</f>
        <v>#DIV/0!</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13</v>
      </c>
    </row>
  </sheetData>
  <pageMargins left="0.7" right="0.7" top="0.75" bottom="0.75" header="0.3" footer="0.3"/>
  <drawing r:id="rId1"/>
  <legacyDrawing r:id="rId2"/>
  <controls>
    <mc:AlternateContent xmlns:mc="http://schemas.openxmlformats.org/markup-compatibility/2006">
      <mc:Choice Requires="x14">
        <control shapeId="4097" r:id="rId3" name="cmdCargar">
          <controlPr defaultSize="0" autoLine="0" r:id="rId4">
            <anchor moveWithCells="1">
              <from>
                <xdr:col>0</xdr:col>
                <xdr:colOff>276225</xdr:colOff>
                <xdr:row>1</xdr:row>
                <xdr:rowOff>95250</xdr:rowOff>
              </from>
              <to>
                <xdr:col>2</xdr:col>
                <xdr:colOff>9525</xdr:colOff>
                <xdr:row>3</xdr:row>
                <xdr:rowOff>114300</xdr:rowOff>
              </to>
            </anchor>
          </controlPr>
        </control>
      </mc:Choice>
      <mc:Fallback>
        <control shapeId="4097" r:id="rId3" name="cmdCargar"/>
      </mc:Fallback>
    </mc:AlternateContent>
    <mc:AlternateContent xmlns:mc="http://schemas.openxmlformats.org/markup-compatibility/2006">
      <mc:Choice Requires="x14">
        <control shapeId="4098" r:id="rId5" name="cmdCancelar">
          <controlPr defaultSize="0" autoLine="0" r:id="rId6">
            <anchor moveWithCells="1">
              <from>
                <xdr:col>0</xdr:col>
                <xdr:colOff>285750</xdr:colOff>
                <xdr:row>4</xdr:row>
                <xdr:rowOff>19050</xdr:rowOff>
              </from>
              <to>
                <xdr:col>2</xdr:col>
                <xdr:colOff>19050</xdr:colOff>
                <xdr:row>6</xdr:row>
                <xdr:rowOff>38100</xdr:rowOff>
              </to>
            </anchor>
          </controlPr>
        </control>
      </mc:Choice>
      <mc:Fallback>
        <control shapeId="4098" r:id="rId5" name="cmdCancelar"/>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16</v>
      </c>
      <c r="B1" t="s">
        <v>20</v>
      </c>
      <c r="D1" t="s">
        <v>16</v>
      </c>
    </row>
  </sheetData>
  <pageMargins left="0.7" right="0.7" top="0.75" bottom="0.75" header="0.3" footer="0.3"/>
  <tableParts count="2">
    <tablePart r:id="rId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21</v>
      </c>
      <c r="B1" t="s">
        <v>20</v>
      </c>
      <c r="C1" t="s">
        <v>16</v>
      </c>
      <c r="D1" t="s">
        <v>8</v>
      </c>
      <c r="E1" t="s">
        <v>22</v>
      </c>
      <c r="G1" t="s">
        <v>5</v>
      </c>
      <c r="H1" t="s">
        <v>3</v>
      </c>
      <c r="I1" t="s">
        <v>7</v>
      </c>
      <c r="K1" t="s">
        <v>5</v>
      </c>
      <c r="L1" t="s">
        <v>3</v>
      </c>
      <c r="M1" t="s">
        <v>7</v>
      </c>
      <c r="N1" t="s">
        <v>35</v>
      </c>
    </row>
    <row r="2" spans="1:14" x14ac:dyDescent="0.25">
      <c r="A2" t="s">
        <v>56</v>
      </c>
      <c r="B2" t="s">
        <v>57</v>
      </c>
      <c r="C2" t="s">
        <v>58</v>
      </c>
      <c r="D2" t="s">
        <v>26</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U4"/>
  <sheetViews>
    <sheetView topLeftCell="H1" workbookViewId="0">
      <selection activeCell="U1" sqref="U1"/>
    </sheetView>
  </sheetViews>
  <sheetFormatPr baseColWidth="10" defaultColWidth="11.42578125" defaultRowHeight="15" x14ac:dyDescent="0.25"/>
  <cols>
    <col min="21" max="21" width="15.85546875" customWidth="1"/>
  </cols>
  <sheetData>
    <row r="1" spans="1:21" x14ac:dyDescent="0.25">
      <c r="A1">
        <v>1</v>
      </c>
      <c r="B1" t="s">
        <v>34</v>
      </c>
      <c r="P1" t="s">
        <v>215</v>
      </c>
      <c r="R1" t="s">
        <v>0</v>
      </c>
      <c r="T1" t="s">
        <v>20</v>
      </c>
      <c r="U1" t="b">
        <v>1</v>
      </c>
    </row>
    <row r="2" spans="1:21" x14ac:dyDescent="0.25">
      <c r="P2" t="s">
        <v>213</v>
      </c>
      <c r="T2" t="s">
        <v>258</v>
      </c>
      <c r="U2" t="b">
        <v>1</v>
      </c>
    </row>
    <row r="3" spans="1:21" x14ac:dyDescent="0.25">
      <c r="P3" t="s">
        <v>286</v>
      </c>
      <c r="T3" t="s">
        <v>259</v>
      </c>
      <c r="U3" t="b">
        <v>1</v>
      </c>
    </row>
    <row r="4" spans="1:21" x14ac:dyDescent="0.25">
      <c r="T4" t="s">
        <v>260</v>
      </c>
      <c r="U4" t="b">
        <v>1</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H24" sqref="H24"/>
    </sheetView>
  </sheetViews>
  <sheetFormatPr baseColWidth="10" defaultColWidth="11.42578125" defaultRowHeight="15" x14ac:dyDescent="0.25"/>
  <cols>
    <col min="1" max="16384" width="11.42578125" style="13"/>
  </cols>
  <sheetData>
    <row r="2" spans="1:5" ht="23.25" x14ac:dyDescent="0.35">
      <c r="A2" s="14" t="s">
        <v>33</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29" t="s">
        <v>110</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2" r:id="rId4" name="cmdNoBorrar">
          <controlPr defaultSize="0" autoLine="0" r:id="rId5">
            <anchor moveWithCells="1">
              <from>
                <xdr:col>0</xdr:col>
                <xdr:colOff>142875</xdr:colOff>
                <xdr:row>9</xdr:row>
                <xdr:rowOff>142875</xdr:rowOff>
              </from>
              <to>
                <xdr:col>5</xdr:col>
                <xdr:colOff>133350</xdr:colOff>
                <xdr:row>12</xdr:row>
                <xdr:rowOff>85725</xdr:rowOff>
              </to>
            </anchor>
          </controlPr>
        </control>
      </mc:Choice>
      <mc:Fallback>
        <control shapeId="10242" r:id="rId4" name="cmdNoBorrar"/>
      </mc:Fallback>
    </mc:AlternateContent>
    <mc:AlternateContent xmlns:mc="http://schemas.openxmlformats.org/markup-compatibility/2006">
      <mc:Choice Requires="x14">
        <control shapeId="10241" r:id="rId6" name="cmdBorrarTransferDadaBaja">
          <controlPr defaultSize="0" autoLine="0" r:id="rId7">
            <anchor moveWithCells="1">
              <from>
                <xdr:col>0</xdr:col>
                <xdr:colOff>142875</xdr:colOff>
                <xdr:row>4</xdr:row>
                <xdr:rowOff>161925</xdr:rowOff>
              </from>
              <to>
                <xdr:col>5</xdr:col>
                <xdr:colOff>142875</xdr:colOff>
                <xdr:row>8</xdr:row>
                <xdr:rowOff>180975</xdr:rowOff>
              </to>
            </anchor>
          </controlPr>
        </control>
      </mc:Choice>
      <mc:Fallback>
        <control shapeId="10241" r:id="rId6" name="cmdBorrarTransferDadaBaja"/>
      </mc:Fallback>
    </mc:AlternateContent>
  </control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16</v>
      </c>
      <c r="B1" t="s">
        <v>17</v>
      </c>
      <c r="C1" t="s">
        <v>18</v>
      </c>
      <c r="D1" t="s">
        <v>19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F6"/>
  <sheetViews>
    <sheetView workbookViewId="0">
      <selection activeCell="E2" sqref="E2:F2"/>
    </sheetView>
  </sheetViews>
  <sheetFormatPr baseColWidth="10" defaultColWidth="11.42578125" defaultRowHeight="15" x14ac:dyDescent="0.25"/>
  <cols>
    <col min="1" max="1" width="16.28515625" bestFit="1" customWidth="1"/>
    <col min="2" max="2" width="15.7109375" bestFit="1" customWidth="1"/>
  </cols>
  <sheetData>
    <row r="1" spans="1:6" x14ac:dyDescent="0.25">
      <c r="A1" t="s">
        <v>41</v>
      </c>
      <c r="B1" s="17">
        <v>43254.867164351854</v>
      </c>
      <c r="E1" t="s">
        <v>256</v>
      </c>
      <c r="F1" t="s">
        <v>257</v>
      </c>
    </row>
    <row r="2" spans="1:6" x14ac:dyDescent="0.25">
      <c r="A2" t="s">
        <v>42</v>
      </c>
      <c r="B2" s="17">
        <v>43254.869479166664</v>
      </c>
      <c r="E2" t="s">
        <v>5</v>
      </c>
      <c r="F2" s="24">
        <v>43254</v>
      </c>
    </row>
    <row r="3" spans="1:6" x14ac:dyDescent="0.25">
      <c r="E3" t="s">
        <v>283</v>
      </c>
      <c r="F3" s="24">
        <v>43254</v>
      </c>
    </row>
    <row r="4" spans="1:6" x14ac:dyDescent="0.25">
      <c r="A4" t="s">
        <v>43</v>
      </c>
      <c r="B4" s="18">
        <f>IF((FINREFRESCADO-INICIOREFRESCADO)&gt;0,FINREFRESCADO-INICIOREFRESCADO,"")</f>
        <v>2.3148148102336563E-3</v>
      </c>
      <c r="E4" t="s">
        <v>284</v>
      </c>
      <c r="F4" s="24">
        <v>43254</v>
      </c>
    </row>
    <row r="5" spans="1:6" x14ac:dyDescent="0.25">
      <c r="E5" t="s">
        <v>285</v>
      </c>
      <c r="F5" s="24">
        <v>43253</v>
      </c>
    </row>
    <row r="6" spans="1:6" x14ac:dyDescent="0.25">
      <c r="A6" t="s">
        <v>91</v>
      </c>
      <c r="B6" t="s">
        <v>291</v>
      </c>
    </row>
  </sheetData>
  <pageMargins left="0.7" right="0.7" top="0.75" bottom="0.75" header="0.3" footer="0.3"/>
  <pageSetup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45</v>
      </c>
      <c r="B1" t="s">
        <v>46</v>
      </c>
      <c r="C1" t="s">
        <v>47</v>
      </c>
    </row>
    <row r="2" spans="1:3" x14ac:dyDescent="0.25">
      <c r="A2" t="s">
        <v>51</v>
      </c>
      <c r="B2" t="s">
        <v>55</v>
      </c>
      <c r="C2" t="str">
        <f>IF(RIGHT(Tabla_Parametros[par_valor],1)="\",LEFT(Tabla_Parametros[par_valor],LEN(Tabla_Parametros[par_valor])-1),Tabla_Parametros[par_valor])</f>
        <v>O:</v>
      </c>
    </row>
    <row r="3" spans="1:3" x14ac:dyDescent="0.25">
      <c r="A3" t="s">
        <v>52</v>
      </c>
      <c r="B3" t="s">
        <v>55</v>
      </c>
      <c r="C3" t="str">
        <f>IF(RIGHT(Tabla_Parametros[par_valor],1)="\",LEFT(Tabla_Parametros[par_valor],LEN(Tabla_Parametros[par_valor])-1),Tabla_Parametros[par_valor])</f>
        <v>O:</v>
      </c>
    </row>
    <row r="4" spans="1:3" x14ac:dyDescent="0.25">
      <c r="A4" t="s">
        <v>53</v>
      </c>
      <c r="B4" t="s">
        <v>55</v>
      </c>
      <c r="C4" t="str">
        <f>IF(RIGHT(Tabla_Parametros[par_valor],1)="\",LEFT(Tabla_Parametros[par_valor],LEN(Tabla_Parametros[par_valor])-1),Tabla_Parametros[par_valor])</f>
        <v>O:</v>
      </c>
    </row>
    <row r="5" spans="1:3" x14ac:dyDescent="0.25">
      <c r="A5" t="s">
        <v>75</v>
      </c>
      <c r="B5" t="s">
        <v>76</v>
      </c>
      <c r="C5" t="str">
        <f>IF(RIGHT(Tabla_Parametros[par_valor],1)="\",LEFT(Tabla_Parametros[par_valor],LEN(Tabla_Parametros[par_valor])-1),Tabla_Parametros[par_valor])</f>
        <v>0</v>
      </c>
    </row>
    <row r="6" spans="1:3" x14ac:dyDescent="0.25">
      <c r="A6" t="s">
        <v>77</v>
      </c>
      <c r="B6" t="s">
        <v>156</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A7"/>
  <sheetViews>
    <sheetView showGridLines="0" workbookViewId="0">
      <selection activeCell="B1" sqref="B1"/>
    </sheetView>
  </sheetViews>
  <sheetFormatPr baseColWidth="10" defaultColWidth="11.42578125" defaultRowHeight="15" x14ac:dyDescent="0.25"/>
  <cols>
    <col min="1" max="1" width="34.85546875" bestFit="1" customWidth="1"/>
  </cols>
  <sheetData>
    <row r="1" spans="1:1" ht="38.25" customHeight="1" x14ac:dyDescent="0.25">
      <c r="A1" t="s">
        <v>213</v>
      </c>
    </row>
    <row r="2" spans="1:1" x14ac:dyDescent="0.25">
      <c r="A2" t="s">
        <v>289</v>
      </c>
    </row>
    <row r="3" spans="1:1" x14ac:dyDescent="0.25">
      <c r="A3" t="s">
        <v>293</v>
      </c>
    </row>
    <row r="4" spans="1:1" x14ac:dyDescent="0.25">
      <c r="A4" t="s">
        <v>290</v>
      </c>
    </row>
    <row r="5" spans="1:1" x14ac:dyDescent="0.25">
      <c r="A5" t="s">
        <v>294</v>
      </c>
    </row>
    <row r="6" spans="1:1" x14ac:dyDescent="0.25">
      <c r="A6" t="s">
        <v>295</v>
      </c>
    </row>
    <row r="7" spans="1:1" x14ac:dyDescent="0.25">
      <c r="A7" t="s">
        <v>296</v>
      </c>
    </row>
  </sheetData>
  <sheetProtection sort="0" autoFilter="0"/>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2290" r:id="rId4" name="cmd_Irdea_Alertas_CCB">
              <controlPr defaultSize="0" print="0" autoFill="0" autoPict="0" macro="[0]!Abre_Centrocontrol_de_Alertas">
                <anchor moveWithCells="1" sizeWithCells="1">
                  <from>
                    <xdr:col>0</xdr:col>
                    <xdr:colOff>0</xdr:colOff>
                    <xdr:row>0</xdr:row>
                    <xdr:rowOff>9525</xdr:rowOff>
                  </from>
                  <to>
                    <xdr:col>0</xdr:col>
                    <xdr:colOff>733425</xdr:colOff>
                    <xdr:row>0</xdr:row>
                    <xdr:rowOff>257175</xdr:rowOff>
                  </to>
                </anchor>
              </controlPr>
            </control>
          </mc:Choice>
        </mc:AlternateContent>
      </controls>
    </mc:Choice>
  </mc:AlternateContent>
  <tableParts count="1">
    <tablePart r:id="rId5"/>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A3" sqref="A3"/>
    </sheetView>
  </sheetViews>
  <sheetFormatPr baseColWidth="10" defaultRowHeight="15" x14ac:dyDescent="0.25"/>
  <sheetData>
    <row r="1" spans="1:1" x14ac:dyDescent="0.25">
      <c r="A1" t="s">
        <v>158</v>
      </c>
    </row>
    <row r="3" spans="1:1" x14ac:dyDescent="0.25">
      <c r="A3" t="s">
        <v>54</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3"/>
  <sheetViews>
    <sheetView showGridLines="0" workbookViewId="0">
      <selection activeCell="B3" sqref="B3"/>
    </sheetView>
  </sheetViews>
  <sheetFormatPr baseColWidth="10" defaultRowHeight="15" x14ac:dyDescent="0.25"/>
  <cols>
    <col min="1" max="1" width="22.7109375" customWidth="1"/>
    <col min="2" max="2" width="20" customWidth="1"/>
  </cols>
  <sheetData>
    <row r="1" spans="1:3" x14ac:dyDescent="0.25">
      <c r="A1" t="s">
        <v>4</v>
      </c>
      <c r="B1" t="s">
        <v>3</v>
      </c>
      <c r="C1" t="s">
        <v>7</v>
      </c>
    </row>
    <row r="2" spans="1:3" x14ac:dyDescent="0.25">
      <c r="A2" t="s">
        <v>0</v>
      </c>
      <c r="B2" t="s">
        <v>213</v>
      </c>
      <c r="C2" t="s">
        <v>214</v>
      </c>
    </row>
    <row r="3" spans="1:3" x14ac:dyDescent="0.25">
      <c r="A3" t="s">
        <v>0</v>
      </c>
      <c r="B3" t="s">
        <v>286</v>
      </c>
      <c r="C3" t="s">
        <v>288</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0E74E1B-BEED-4066-A500-9727B19F80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36</vt:i4>
      </vt:variant>
    </vt:vector>
  </HeadingPairs>
  <TitlesOfParts>
    <vt:vector size="37" baseType="lpstr">
      <vt:lpstr>CENTROCONTROL</vt:lpstr>
      <vt:lpstr>ACTUALIZACIONBODEGA</vt:lpstr>
      <vt:lpstr>ACTUALIZACIONCONSUMO</vt:lpstr>
      <vt:lpstr>ACTUALIZACIONHISTRANSFER</vt:lpstr>
      <vt:lpstr>ACTUALIZACIONINVENTARIO</vt:lpstr>
      <vt:lpstr>ACTUALIZACIONPRODUCTO</vt:lpstr>
      <vt:lpstr>BODEGAS</vt:lpstr>
      <vt:lpstr>DIR</vt:lpstr>
      <vt:lpstr>DURACIONREFRESCADO</vt:lpstr>
      <vt:lpstr>EMP</vt:lpstr>
      <vt:lpstr>EMPRESA</vt:lpstr>
      <vt:lpstr>ESTADOREFRESCADO</vt:lpstr>
      <vt:lpstr>Fecha_Calendario</vt:lpstr>
      <vt:lpstr>FECHAREFRESCADO</vt:lpstr>
      <vt:lpstr>FINREFRESCADO</vt:lpstr>
      <vt:lpstr>HojasCB_cla</vt:lpstr>
      <vt:lpstr>HojasCB_user</vt:lpstr>
      <vt:lpstr>HORAAPAGADO</vt:lpstr>
      <vt:lpstr>HORAIMPORTACION</vt:lpstr>
      <vt:lpstr>HORAREFRESCADO</vt:lpstr>
      <vt:lpstr>INICIOREFRESCADO</vt:lpstr>
      <vt:lpstr>ItemsSeleccionados</vt:lpstr>
      <vt:lpstr>MENSAJE</vt:lpstr>
      <vt:lpstr>PATH</vt:lpstr>
      <vt:lpstr>PATHTRANSFERENCIA</vt:lpstr>
      <vt:lpstr>REFRESCADO</vt:lpstr>
      <vt:lpstr>TIPO</vt:lpstr>
      <vt:lpstr>TODAS</vt:lpstr>
      <vt:lpstr>trae_Bodega</vt:lpstr>
      <vt:lpstr>trae_Consumo</vt:lpstr>
      <vt:lpstr>trae_Inventario</vt:lpstr>
      <vt:lpstr>trae_Producto</vt:lpstr>
      <vt:lpstr>Trans_Dada_Baja</vt:lpstr>
      <vt:lpstr>transfer</vt:lpstr>
      <vt:lpstr>US</vt:lpstr>
      <vt:lpstr>USUARIO</vt:lpstr>
      <vt:lpstr>version</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2010-03-18T04:13:57Z</cp:lastPrinted>
  <dcterms:created xsi:type="dcterms:W3CDTF">2010-02-10T19:54:10Z</dcterms:created>
  <dcterms:modified xsi:type="dcterms:W3CDTF">2018-06-04T02:54:22Z</dcterms:modified>
</cp:coreProperties>
</file>