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7.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{13.5,376.5,TRUE,3,165,27}</definedName>
    <definedName name="_cmd_refresca_items_Range" localSheetId="0" hidden="1">{20.25,297,TRUE,3,63,54}</definedName>
    <definedName name="_cmd_Refrescar_Alertas_Range" localSheetId="0" hidden="1">{13.5,402.75,TRUE,3,165,23.25}</definedName>
    <definedName name="_cmd_Reportaje_Range" localSheetId="0" hidden="1">{45,177,TRUE,3,87.75,75.75}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{21,390.75,TRUE,3,63,93.75}</definedName>
    <definedName name="_cmdNoBorrar_Range" localSheetId="21"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{45,73.5,TRUE,3,87.75,75}</definedName>
    <definedName name="_cmdTransferenciasActivas_Range" localSheetId="0" hidden="1">{22.5,148.5,TRUE,3,111,27.75}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CENTROCONTROL!$I$15</definedName>
    <definedName name="HORAIMPORTACION">CENTROCONTROL!$I$14</definedName>
    <definedName name="HORAREFRESCADO">CENTROCONTROL!$I$13</definedName>
    <definedName name="INICIOREFRESCADO">DURACION!$B$1</definedName>
    <definedName name="ItemsSeleccionados">tblItemsSeleccionados[]</definedName>
    <definedName name="MENSAJE">CENTROCONTROL!$A$15</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CENTROCONTROL!$GC$131</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CENTROCONTROL!$GB$131</definedName>
    <definedName name="version">CENTROCONTROL!$I$3</definedName>
  </definedNames>
  <calcPr calcId="152511"/>
</workbook>
</file>

<file path=xl/calcChain.xml><?xml version="1.0" encoding="utf-8"?>
<calcChain xmlns="http://schemas.openxmlformats.org/spreadsheetml/2006/main">
  <c r="C2" i="24" l="1"/>
  <c r="C3" i="24"/>
  <c r="C4" i="24"/>
  <c r="C5" i="24"/>
  <c r="C6" i="24"/>
  <c r="C5" i="30" l="1"/>
  <c r="G5" i="30"/>
  <c r="H5" i="30"/>
  <c r="K5" i="30"/>
  <c r="L5" i="30"/>
  <c r="M5" i="30"/>
  <c r="N5" i="30"/>
  <c r="O5" i="30"/>
  <c r="P5" i="30"/>
  <c r="Q5" i="30"/>
  <c r="I2" i="30"/>
  <c r="I5" i="30" s="1"/>
  <c r="I3" i="30"/>
  <c r="I4" i="30"/>
  <c r="T2" i="36"/>
  <c r="T3" i="36"/>
  <c r="T4" i="36"/>
  <c r="T5" i="36"/>
  <c r="T19" i="1"/>
  <c r="F19" i="1" s="1"/>
  <c r="T20" i="1"/>
  <c r="C20" i="1" s="1"/>
  <c r="T21" i="1"/>
  <c r="D21" i="1" s="1"/>
  <c r="B20" i="1"/>
  <c r="B21" i="1"/>
  <c r="B19" i="1"/>
  <c r="S19" i="1" l="1"/>
  <c r="P20" i="1"/>
  <c r="O19" i="1"/>
  <c r="M21" i="1"/>
  <c r="L20" i="1"/>
  <c r="K19" i="1"/>
  <c r="I21" i="1"/>
  <c r="H20" i="1"/>
  <c r="G19" i="1"/>
  <c r="E21" i="1"/>
  <c r="D20" i="1"/>
  <c r="C19" i="1"/>
  <c r="R21" i="1"/>
  <c r="P19" i="1"/>
  <c r="Q19" i="1" s="1"/>
  <c r="N21" i="1"/>
  <c r="M20" i="1"/>
  <c r="L19" i="1"/>
  <c r="J21" i="1"/>
  <c r="I20" i="1"/>
  <c r="H19" i="1"/>
  <c r="F21" i="1"/>
  <c r="E20" i="1"/>
  <c r="D19" i="1"/>
  <c r="S21" i="1"/>
  <c r="R20" i="1"/>
  <c r="O21" i="1"/>
  <c r="N20" i="1"/>
  <c r="M19" i="1"/>
  <c r="K21" i="1"/>
  <c r="J20" i="1"/>
  <c r="I19" i="1"/>
  <c r="G21" i="1"/>
  <c r="F20" i="1"/>
  <c r="E19" i="1"/>
  <c r="C21" i="1"/>
  <c r="S20" i="1"/>
  <c r="R19" i="1"/>
  <c r="P21" i="1"/>
  <c r="Q21" i="1" s="1"/>
  <c r="O20" i="1"/>
  <c r="N19" i="1"/>
  <c r="L21" i="1"/>
  <c r="K20" i="1"/>
  <c r="J19" i="1"/>
  <c r="H21" i="1"/>
  <c r="G20" i="1"/>
  <c r="B22" i="1"/>
  <c r="I5" i="1"/>
  <c r="Q20" i="1" l="1"/>
  <c r="A22" i="1" l="1"/>
  <c r="J22" i="1" l="1"/>
  <c r="I22" i="1"/>
  <c r="K22" i="1"/>
  <c r="M22" i="1"/>
  <c r="D22" i="1"/>
  <c r="L22" i="1"/>
  <c r="C22" i="1"/>
  <c r="Q22" i="1" l="1"/>
  <c r="H22" i="1"/>
  <c r="G22" i="1"/>
  <c r="F22" i="1"/>
  <c r="E22"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D10" i="1" l="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5" authorId="0" shapeId="0">
      <text>
        <r>
          <rPr>
            <b/>
            <sz val="9"/>
            <color indexed="81"/>
            <rFont val="Tahoma"/>
            <family val="2"/>
          </rPr>
          <t>RAMCAS:</t>
        </r>
        <r>
          <rPr>
            <sz val="9"/>
            <color indexed="81"/>
            <rFont val="Tahoma"/>
            <family val="2"/>
          </rPr>
          <t xml:space="preserve">
Hora a la cual se apaga automáticamente CCB.</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<sst xmlns="http://schemas.openxmlformats.org/spreadsheetml/2006/main" count="595" uniqueCount="303">
  <si>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</si>
  <si>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</si>
  <si>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</si>
  <si>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</si>
  <si>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</si>
  <si>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</si>
  <si>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</si>
  <si>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</si>
  <si>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</si>
  <si>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</si>
  <si>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</si>
  <si>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</si>
  <si>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</si>
  <si>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</si>
  <si>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</si>
  <si>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</si>
  <si>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</si>
  <si>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</si>
  <si>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</si>
  <si>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</si>
  <si>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</si>
  <si>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</si>
  <si>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</si>
  <si>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</si>
  <si>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</si>
  <si>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</si>
  <si>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</si>
  <si>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</si>
  <si>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</si>
  <si>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</si>
  <si>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</si>
  <si>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</si>
  <si>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</si>
  <si>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</si>
  <si>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</si>
  <si>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</si>
  <si>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</si>
  <si>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</si>
  <si>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</si>
  <si>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</si>
  <si>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</si>
  <si>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</si>
  <si>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</si>
  <si>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</si>
  <si>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</si>
  <si>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</si>
  <si>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</si>
  <si>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</si>
  <si>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</si>
  <si>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</si>
  <si>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</si>
  <si>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</si>
  <si>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</si>
  <si>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</si>
  <si>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</si>
  <si>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</si>
  <si>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</si>
  <si>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</si>
  <si>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</si>
  <si>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</si>
  <si>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</si>
  <si>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</si>
  <si>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</si>
  <si>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</si>
  <si>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</si>
  <si>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</si>
  <si>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</si>
  <si>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</si>
  <si>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</si>
  <si>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</si>
  <si>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</si>
  <si>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</si>
  <si>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</si>
  <si>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</si>
  <si>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</si>
  <si>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</si>
  <si>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</si>
  <si>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</si>
  <si>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</si>
  <si>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</si>
  <si>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</si>
  <si>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</si>
  <si>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</si>
  <si>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</si>
  <si>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</si>
  <si>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</si>
  <si>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</si>
  <si>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</si>
  <si>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</si>
  <si>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</si>
  <si>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</si>
  <si>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</si>
  <si>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</si>
  <si>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</si>
  <si>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</si>
  <si>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</si>
  <si>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</si>
  <si>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</si>
  <si>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</si>
  <si>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</si>
  <si>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</si>
  <si>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</si>
  <si>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</si>
  <si>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</si>
  <si>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</si>
  <si>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</si>
  <si>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</si>
  <si>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</si>
  <si>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</si>
  <si>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</si>
  <si>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</si>
  <si>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</si>
  <si>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</si>
  <si>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</si>
  <si>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</si>
  <si>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</si>
  <si>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</si>
  <si>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</si>
  <si>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</si>
  <si>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</si>
  <si>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</si>
  <si>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</si>
  <si>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</si>
  <si>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</si>
  <si>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</si>
  <si>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</si>
  <si>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</si>
  <si>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</si>
  <si>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</si>
  <si>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</si>
  <si>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</si>
  <si>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</si>
  <si>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</si>
  <si>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</si>
  <si>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</si>
  <si>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</si>
  <si>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</si>
  <si>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</si>
  <si>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</si>
  <si>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</si>
  <si>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</si>
  <si>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</si>
  <si>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</si>
  <si>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</si>
  <si>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</si>
  <si>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</si>
  <si>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</si>
  <si>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</si>
  <si>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</si>
  <si>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</si>
  <si>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</si>
  <si>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</si>
  <si>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</si>
  <si>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</si>
  <si>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</si>
  <si>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</si>
  <si>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</si>
  <si>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</si>
  <si>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</si>
  <si>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</si>
  <si>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</si>
  <si>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</si>
  <si>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</si>
  <si>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</si>
  <si>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</si>
  <si>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</si>
  <si>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</si>
  <si>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</si>
  <si>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</si>
  <si>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</si>
  <si>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</si>
  <si>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</si>
  <si>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</si>
  <si>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</si>
  <si>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</si>
  <si>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</si>
  <si>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</si>
  <si>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</si>
  <si>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</si>
  <si>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</si>
  <si>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</si>
  <si>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</si>
  <si>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</si>
  <si>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</si>
  <si>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</si>
  <si>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</si>
  <si>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</si>
  <si>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</si>
  <si>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</si>
  <si>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</si>
  <si>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</si>
  <si>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</si>
  <si>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</si>
  <si>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</si>
  <si>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</si>
  <si>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</si>
  <si>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</si>
  <si>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</si>
  <si>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</si>
  <si>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</si>
  <si>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</si>
  <si>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</si>
  <si>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</si>
  <si>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</si>
  <si>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</si>
  <si>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</si>
  <si>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</si>
  <si>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</si>
  <si>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</si>
  <si>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</si>
  <si>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</si>
  <si>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</si>
  <si>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</si>
  <si>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</si>
  <si>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</si>
  <si>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</si>
  <si>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</si>
  <si>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</si>
  <si>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</si>
  <si>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</si>
  <si>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</si>
  <si>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</si>
  <si>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</si>
  <si>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</si>
  <si>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</si>
  <si>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</si>
  <si>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</si>
  <si>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</si>
  <si>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</si>
  <si>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</si>
  <si>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</si>
  <si>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</si>
  <si>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</si>
  <si>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</si>
  <si>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</si>
  <si>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</si>
  <si>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</si>
  <si>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</si>
  <si>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</si>
  <si>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</si>
  <si>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</si>
  <si>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</si>
  <si>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</si>
  <si>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</si>
  <si>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</si>
  <si>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</si>
  <si>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</si>
  <si>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</si>
  <si>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</si>
  <si>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</si>
  <si>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</si>
  <si>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</si>
  <si>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</si>
  <si>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</si>
  <si>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</si>
  <si>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</si>
  <si>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</si>
  <si>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</si>
  <si>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</si>
  <si>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</si>
  <si>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</si>
  <si>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</si>
  <si>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</si>
  <si>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</si>
  <si>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</si>
  <si>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</si>
  <si>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</si>
  <si>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</si>
  <si>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</si>
  <si>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</si>
  <si>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</si>
  <si>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</si>
  <si>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</si>
  <si>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</si>
  <si>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</si>
  <si>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</si>
  <si>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</si>
  <si>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</si>
  <si>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</si>
  <si>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</si>
  <si>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</si>
  <si>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</si>
  <si>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</si>
  <si>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</si>
  <si>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</si>
  <si>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</si>
  <si>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</si>
  <si>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</si>
  <si>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</si>
  <si>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</si>
  <si>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</si>
  <si>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</si>
  <si>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</si>
  <si>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</si>
  <si>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</si>
  <si>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</si>
  <si>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v. 3.8.5     05/2018</t>
  </si>
  <si>
    <t>empresa_hoja</t>
  </si>
  <si>
    <t>COSTO TOTAL</t>
  </si>
  <si>
    <t>Coincidir</t>
  </si>
  <si>
    <t>O:\Accesorios.xlsm</t>
  </si>
  <si>
    <t>ALERTAS</t>
  </si>
  <si>
    <t>Refrescado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</si>
</sst>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 #,##0_);_(&quot;$&quot;\ * \(#,##0\);_(&quot;$&quot;\ * &quot;-&quot;_);_(@_)"/>
    <numFmt numFmtId="164" formatCode="[$-300A]d&quot; de &quot;mmmm&quot; de &quot;yyyy;@"/>
    <numFmt numFmtId="165" formatCode="[$-F400]h:mm:ss\ AM/PM"/>
    <numFmt numFmtId="166" formatCode="hh:mm:ss;@"/>
    <numFmt numFmtId="167" formatCode="&quot;$&quot;\ #,##0.00"/>
    <numFmt numFmtId="168" formatCode="dd/mm/yyyy\ hh:mm"/>
    <numFmt numFmtId="169" formatCode="dd/mmm\ hh:mm"/>
    <numFmt numFmtId="170" formatCode="dd/mmm/yy"/>
  </numFmts>
  <fonts count="26"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b/>
      <sz val="14"/>
      <color rgb="FFFFFF00"/>
      <name val="Calibri"/>
      <family val="2"/>
      <scheme val="minor"/>
    </font>
    <font>
      <sz val="11"/>
      <color rgb="FFFFFF0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2">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5">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11" fillId="5" borderId="0" xfId="0" applyFont="1" applyFill="1" applyBorder="1" applyAlignment="1">
      <alignment horizontal="right"/>
    </xf>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5" fillId="5" borderId="0" xfId="0" applyFont="1" applyFill="1" applyBorder="1"/>
    <xf numFmtId="0" fontId="14" fillId="5" borderId="5" xfId="0" applyFont="1" applyFill="1" applyBorder="1" applyAlignment="1">
      <alignment horizontal="centerContinuous"/>
    </xf>
    <xf numFmtId="0" fontId="0" fillId="5" borderId="6" xfId="0" applyFill="1" applyBorder="1" applyAlignment="1">
      <alignment horizontal="center"/>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42"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69" fontId="0" fillId="5" borderId="0" xfId="0" applyNumberFormat="1" applyFill="1" applyAlignment="1">
      <alignment horizontal="center"/>
    </xf>
    <xf numFmtId="166"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8" xfId="0" applyFill="1" applyBorder="1"/>
    <xf numFmtId="0" fontId="0" fillId="5" borderId="7" xfId="0" applyFill="1" applyBorder="1"/>
    <xf numFmtId="0" fontId="0" fillId="5" borderId="2" xfId="0" applyFill="1" applyBorder="1" applyAlignment="1">
      <alignment vertical="center"/>
    </xf>
    <xf numFmtId="0" fontId="0" fillId="5" borderId="10" xfId="0" applyFill="1" applyBorder="1" applyAlignment="1">
      <alignment vertical="center"/>
    </xf>
    <xf numFmtId="0" fontId="0" fillId="5" borderId="10" xfId="0" applyFill="1" applyBorder="1"/>
    <xf numFmtId="0" fontId="0" fillId="5" borderId="10" xfId="0" applyFont="1" applyFill="1" applyBorder="1"/>
    <xf numFmtId="0" fontId="0" fillId="5" borderId="9" xfId="0" applyFill="1" applyBorder="1" applyAlignment="1">
      <alignment horizontal="center" vertical="center"/>
    </xf>
    <xf numFmtId="170" fontId="23" fillId="5" borderId="11" xfId="0" applyNumberFormat="1" applyFont="1" applyFill="1" applyBorder="1" applyAlignment="1" applyProtection="1">
      <alignment vertical="center"/>
    </xf>
    <xf numFmtId="166" fontId="23" fillId="5" borderId="11" xfId="0" applyNumberFormat="1" applyFont="1" applyFill="1" applyBorder="1" applyAlignment="1" applyProtection="1">
      <alignment vertical="center"/>
      <protection locked="0"/>
    </xf>
    <xf numFmtId="170" fontId="23" fillId="5" borderId="9" xfId="0" applyNumberFormat="1" applyFont="1" applyFill="1" applyBorder="1" applyAlignment="1">
      <alignment vertical="center"/>
    </xf>
    <xf numFmtId="170" fontId="23" fillId="5" borderId="11" xfId="0" applyNumberFormat="1" applyFont="1" applyFill="1" applyBorder="1" applyAlignment="1">
      <alignment vertical="center"/>
    </xf>
    <xf numFmtId="166" fontId="0" fillId="5" borderId="9" xfId="0" applyNumberFormat="1" applyFill="1" applyBorder="1" applyProtection="1">
      <protection locked="0"/>
    </xf>
    <xf numFmtId="166" fontId="0" fillId="5" borderId="11" xfId="0" applyNumberFormat="1" applyFill="1" applyBorder="1" applyProtection="1">
      <protection locked="0"/>
    </xf>
    <xf numFmtId="0" fontId="24" fillId="6" borderId="0" xfId="0" applyFont="1" applyFill="1" applyBorder="1"/>
    <xf numFmtId="0" fontId="25" fillId="6" borderId="0" xfId="0" applyFont="1" applyFill="1"/>
    <xf numFmtId="0" fontId="11" fillId="5" borderId="0" xfId="0" applyNumberFormat="1" applyFon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numFmt numFmtId="0" formatCode="General"/>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69" formatCode="dd/mmm\ hh:mm"/>
      <fill>
        <patternFill patternType="solid">
          <fgColor indexed="64"/>
          <bgColor theme="4" tint="0.79998168889431442"/>
        </patternFill>
      </fill>
      <alignment horizontal="center" vertical="bottom" textRotation="0" wrapText="0" indent="0" justifyLastLine="0" shrinkToFit="0" readingOrder="0"/>
    </dxf>
    <dxf>
      <numFmt numFmtId="166" formatCode="hh:mm:ss;@"/>
      <fill>
        <patternFill patternType="solid">
          <fgColor indexed="64"/>
          <bgColor theme="4" tint="0.79998168889431442"/>
        </patternFill>
      </fill>
      <alignment horizontal="center" vertical="bottom" textRotation="0" wrapText="0" indent="0" justifyLastLine="0" shrinkToFit="0" readingOrder="0"/>
    </dxf>
    <dxf>
      <numFmt numFmtId="166" formatCode="hh:mm:ss;@"/>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9"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9"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99CCFF"/>
      <color rgb="FFCCECFF"/>
      <color rgb="FFCCFFCC"/>
      <color rgb="FF0099FF"/>
      <color rgb="FFCDCEFF"/>
      <color rgb="FFFF5050"/>
      <color rgb="FFECF1F8"/>
      <color rgb="FF800080"/>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2.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7.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11" Type="http://schemas.openxmlformats.org/officeDocument/2006/relationships/image" Target="../media/image1.emf"/><Relationship Id="rId5" Type="http://schemas.openxmlformats.org/officeDocument/2006/relationships/image" Target="../media/image3.emf"/><Relationship Id="rId10" Type="http://schemas.openxmlformats.org/officeDocument/2006/relationships/image" Target="../media/image11.emf"/><Relationship Id="rId4" Type="http://schemas.openxmlformats.org/officeDocument/2006/relationships/image" Target="../media/image4.emf"/><Relationship Id="rId9"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9</xdr:col>
      <xdr:colOff>95250</xdr:colOff>
      <xdr:row>1</xdr:row>
      <xdr:rowOff>178594</xdr:rowOff>
    </xdr:to>
    <xdr:sp macro="[0]!Devuelve_Controles_Varias_Hojas_2" textlink="">
      <xdr:nvSpPr>
        <xdr:cNvPr id="2" name="rect_Titulo"/>
        <xdr:cNvSpPr/>
      </xdr:nvSpPr>
      <xdr:spPr>
        <a:xfrm>
          <a:off x="23812" y="10583"/>
          <a:ext cx="8870157"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28575</xdr:rowOff>
        </xdr:from>
        <xdr:to>
          <xdr:col>0</xdr:col>
          <xdr:colOff>1270000</xdr:colOff>
          <xdr:row>4</xdr:row>
          <xdr:rowOff>282575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47625</xdr:rowOff>
        </xdr:from>
        <xdr:to>
          <xdr:col>0</xdr:col>
          <xdr:colOff>904875</xdr:colOff>
          <xdr:row>8</xdr:row>
          <xdr:rowOff>19050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933450</xdr:colOff>
          <xdr:row>5</xdr:row>
          <xdr:rowOff>47625</xdr:rowOff>
        </xdr:from>
        <xdr:to>
          <xdr:col>0</xdr:col>
          <xdr:colOff>1885950</xdr:colOff>
          <xdr:row>8</xdr:row>
          <xdr:rowOff>19050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4</xdr:row>
          <xdr:rowOff>28575</xdr:rowOff>
        </xdr:from>
        <xdr:to>
          <xdr:col>5</xdr:col>
          <xdr:colOff>714375</xdr:colOff>
          <xdr:row>5</xdr:row>
          <xdr:rowOff>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28575</xdr:rowOff>
        </xdr:from>
        <xdr:to>
          <xdr:col>3</xdr:col>
          <xdr:colOff>714375</xdr:colOff>
          <xdr:row>4</xdr:row>
          <xdr:rowOff>285750</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10</xdr:row>
          <xdr:rowOff>47625</xdr:rowOff>
        </xdr:from>
        <xdr:to>
          <xdr:col>4</xdr:col>
          <xdr:colOff>819150</xdr:colOff>
          <xdr:row>11</xdr:row>
          <xdr:rowOff>28575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10</xdr:row>
          <xdr:rowOff>47625</xdr:rowOff>
        </xdr:from>
        <xdr:to>
          <xdr:col>4</xdr:col>
          <xdr:colOff>533400</xdr:colOff>
          <xdr:row>11</xdr:row>
          <xdr:rowOff>28575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114300</xdr:colOff>
          <xdr:row>4</xdr:row>
          <xdr:rowOff>28575</xdr:rowOff>
        </xdr:from>
        <xdr:to>
          <xdr:col>2</xdr:col>
          <xdr:colOff>790575</xdr:colOff>
          <xdr:row>4</xdr:row>
          <xdr:rowOff>285750</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1893093</xdr:colOff>
          <xdr:row>3</xdr:row>
          <xdr:rowOff>178593</xdr:rowOff>
        </xdr:to>
        <xdr:pic macro="[0]!Guarda_Controles_Varias_Hojas">
          <xdr:nvPicPr>
            <xdr:cNvPr id="28" name="fotUsuario"/>
            <xdr:cNvPicPr>
              <a:picLocks noChangeAspect="1" noChangeArrowheads="1"/>
              <a:extLst>
                <a:ext uri="{84589F7E-364E-4C9E-8A38-B11213B215E9}">
                  <a14:cameraTool cellRange="USUARIO" spid="_x0000_s170582"/>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47625</xdr:rowOff>
        </xdr:from>
        <xdr:to>
          <xdr:col>2</xdr:col>
          <xdr:colOff>314325</xdr:colOff>
          <xdr:row>8</xdr:row>
          <xdr:rowOff>19050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5</xdr:row>
          <xdr:rowOff>47625</xdr:rowOff>
        </xdr:from>
        <xdr:to>
          <xdr:col>0</xdr:col>
          <xdr:colOff>2238375</xdr:colOff>
          <xdr:row>6</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6</xdr:row>
          <xdr:rowOff>123825</xdr:rowOff>
        </xdr:from>
        <xdr:to>
          <xdr:col>0</xdr:col>
          <xdr:colOff>2238375</xdr:colOff>
          <xdr:row>8</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400050</xdr:colOff>
          <xdr:row>5</xdr:row>
          <xdr:rowOff>47625</xdr:rowOff>
        </xdr:from>
        <xdr:to>
          <xdr:col>3</xdr:col>
          <xdr:colOff>371475</xdr:colOff>
          <xdr:row>8</xdr:row>
          <xdr:rowOff>19050</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5</xdr:row>
          <xdr:rowOff>47625</xdr:rowOff>
        </xdr:from>
        <xdr:to>
          <xdr:col>5</xdr:col>
          <xdr:colOff>704850</xdr:colOff>
          <xdr:row>6</xdr:row>
          <xdr:rowOff>133350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962025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43921</xdr:rowOff>
    </xdr:from>
    <xdr:to>
      <xdr:col>2</xdr:col>
      <xdr:colOff>21900</xdr:colOff>
      <xdr:row>4</xdr:row>
      <xdr:rowOff>259921</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7" spid="_x0000_s198689"/>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8:T22" totalsRowCount="1" headerRowDxfId="126" dataDxfId="125" totalsRowDxfId="124">
  <autoFilter ref="A18:T21"/>
  <tableColumns count="20">
    <tableColumn id="1" name="HOJAS" totalsRowFunction="custom" dataDxfId="123" totalsRowDxfId="122">
      <totalsRowFormula>"Total Hojas:  "&amp;SUBTOTAL(103,tbl_HojasCB[HOJAS])</totalsRowFormula>
    </tableColumn>
    <tableColumn id="20" name="ALERTAS" totalsRowFunction="sum" dataDxfId="121" totalsRowDxfId="120">
      <calculatedColumnFormula>IFERROR(COUNTA(INDIRECT("Alertas["&amp;tbl_HojasCB[[#This Row],[HOJAS]]&amp;"]")),0)</calculatedColumnFormula>
    </tableColumn>
    <tableColumn id="4" name="COSTO BUFFER" totalsRowFunction="sum" dataDxfId="119" totalsRowDxfId="118">
      <calculatedColumnFormula>IFERROR(INDEX(tbl_hojascb_estado_hoy[costo_buffer],tbl_HojasCB[[#This Row],[Coincidir]]),"")</calculatedColumnFormula>
    </tableColumn>
    <tableColumn id="5" name="COSTO FÍSICO" totalsRowFunction="sum" dataDxfId="117" totalsRowDxfId="116">
      <calculatedColumnFormula>IFERROR(INDEX(tbl_hojascb_estado_hoy[costo_fisico],tbl_HojasCB[[#This Row],[Coincidir]]),"")</calculatedColumnFormula>
    </tableColumn>
    <tableColumn id="6" name="COSTO TRÁNSITO" totalsRowFunction="sum" dataDxfId="115" totalsRowDxfId="114">
      <calculatedColumnFormula>IFERROR(INDEX(tbl_hojascb_estado_hoy[costo_transito],tbl_HojasCB[[#This Row],[Coincidir]]),"")</calculatedColumnFormula>
    </tableColumn>
    <tableColumn id="12" name="COSTO COMPROM" totalsRowFunction="sum" dataDxfId="113" totalsRowDxfId="112">
      <calculatedColumnFormula>IFERROR(INDEX(tbl_hojascb_estado_hoy[costo_comprometido],tbl_HojasCB[[#This Row],[Coincidir]]),"")</calculatedColumnFormula>
    </tableColumn>
    <tableColumn id="13" name="COSTO BACKORDER" totalsRowFunction="sum" dataDxfId="111" totalsRowDxfId="110">
      <calculatedColumnFormula>IFERROR(INDEX(tbl_hojascb_estado_hoy[costo_backorder],tbl_HojasCB[[#This Row],[Coincidir]]),"")</calculatedColumnFormula>
    </tableColumn>
    <tableColumn id="7" name="COSTO PROYECTADO" totalsRowFunction="sum" dataDxfId="109" totalsRowDxfId="108">
      <calculatedColumnFormula>IFERROR(INDEX(tbl_hojascb_estado_hoy[costo_proyectado],tbl_HojasCB[[#This Row],[Coincidir]]),"")</calculatedColumnFormula>
    </tableColumn>
    <tableColumn id="9" name="COSTO TOTAL" totalsRowFunction="sum" dataDxfId="107" totalsRowDxfId="106">
      <calculatedColumnFormula>IFERROR(INDEX(tbl_hojascb_estado_hoy[costo_total],tbl_HojasCB[[#This Row],[Coincidir]]),"")</calculatedColumnFormula>
    </tableColumn>
    <tableColumn id="2" name="ÍTEMS TOTALES" totalsRowFunction="sum" dataDxfId="105" totalsRowDxfId="104">
      <calculatedColumnFormula>IFERROR(INDEX(tbl_hojascb_estado_hoy[sku_totales],tbl_HojasCB[[#This Row],[Coincidir]]),"")</calculatedColumnFormula>
    </tableColumn>
    <tableColumn id="3" name="ÍTEMS CON BUFFER" totalsRowFunction="sum" dataDxfId="103" totalsRowDxfId="102">
      <calculatedColumnFormula>IFERROR(INDEX(tbl_hojascb_estado_hoy[sku_buffer],tbl_HojasCB[[#This Row],[Coincidir]]),"")</calculatedColumnFormula>
    </tableColumn>
    <tableColumn id="11" name="DÍAS PERÍODO" totalsRowFunction="sum" dataDxfId="101" totalsRowDxfId="100">
      <calculatedColumnFormula>IFERROR(INDEX(tbl_hojascb_estado_hoy[dias_periodo],tbl_HojasCB[[#This Row],[Coincidir]]),"")</calculatedColumnFormula>
    </tableColumn>
    <tableColumn id="10" name="DUPLICADOS" totalsRowFunction="sum" dataDxfId="99" totalsRowDxfId="98">
      <calculatedColumnFormula>IFERROR(INDEX(tbl_hojascb_estado_hoy[duplicados],tbl_HojasCB[[#This Row],[Coincidir]]),"")</calculatedColumnFormula>
    </tableColumn>
    <tableColumn id="8" name="REFRESCADA" dataDxfId="97" totalsRowDxfId="96">
      <calculatedColumnFormula>IFERROR(INDEX(tbl_hojascb_estado_hoy[refrescada],tbl_HojasCB[[#This Row],[Coincidir]]),"")&amp;" - "&amp;IFERROR(INDEX(tbl_hojascb_estado_hoy[base_datos],tbl_HojasCB[[#This Row],[Coincidir]]),"")</calculatedColumnFormula>
    </tableColumn>
    <tableColumn id="15" name="REFRESCADO_INI" dataDxfId="95" totalsRowDxfId="94">
      <calculatedColumnFormula>IFERROR(INDEX(tbl_hojascb_estado_hoy[inicio_refrescado],tbl_HojasCB[[#This Row],[Coincidir]]),"")</calculatedColumnFormula>
    </tableColumn>
    <tableColumn id="16" name="REFRESCADO_FIN" dataDxfId="93" totalsRowDxfId="92">
      <calculatedColumnFormula>IFERROR(INDEX(tbl_hojascb_estado_hoy[fin_refrescado],tbl_HojasCB[[#This Row],[Coincidir]]),"")</calculatedColumnFormula>
    </tableColumn>
    <tableColumn id="17" name="DURACIÓN" totalsRowFunction="sum" dataDxfId="91" totalsRowDxfId="90">
      <calculatedColumnFormula>IFERROR(tbl_HojasCB[[#This Row],[REFRESCADO_FIN]]-tbl_HojasCB[[#This Row],[REFRESCADO_INI]],"")</calculatedColumnFormula>
    </tableColumn>
    <tableColumn id="14" name="GUARDADO" dataDxfId="89" totalsRowDxfId="88">
      <calculatedColumnFormula>IFERROR(INDEX(tbl_hojascb_estado_hoy[guardado],tbl_HojasCB[[#This Row],[Coincidir]]),"")</calculatedColumnFormula>
    </tableColumn>
    <tableColumn id="18" name="RAZÓN" dataDxfId="87" totalsRowDxfId="86">
      <calculatedColumnFormula>IF(IFERROR(INDEX(tbl_hojascb_estado_hoy[razon],tbl_HojasCB[[#This Row],[Coincidir]]),"")=0,"",IFERROR(INDEX(tbl_hojascb_estado_hoy[razon],tbl_HojasCB[[#This Row],[Coincidir]]),""))</calculatedColumnFormula>
    </tableColumn>
    <tableColumn id="19" name="Coincidir" dataDxfId="85" totalsRowDxfId="84">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5" totalsRowShown="0">
  <autoFilter ref="A1:T5"/>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8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8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81">
  <autoFilter ref="B1:Q4"/>
  <sortState ref="B2:Q4">
    <sortCondition descending="1" ref="H1:H4"/>
  </sortState>
  <tableColumns count="16">
    <tableColumn id="1" name="EMPRESA" totalsRowLabel="Total"/>
    <tableColumn id="2" name="HOJA CB" totalsRowFunction="count" totalsRowDxfId="80"/>
    <tableColumn id="3" name="REFRESCADO" dataDxfId="79" totalsRowDxfId="78"/>
    <tableColumn id="14" name="TIPO" dataDxfId="77" totalsRowDxfId="76"/>
    <tableColumn id="16" name="BASE DATOS" dataDxfId="75" totalsRowDxfId="74"/>
    <tableColumn id="4" name="INICIO" totalsRowFunction="min" dataDxfId="73" totalsRowDxfId="72"/>
    <tableColumn id="7" name="FIN" totalsRowFunction="max" dataDxfId="71" totalsRowDxfId="70"/>
    <tableColumn id="5" name="DURACIÓN" totalsRowFunction="sum" dataDxfId="69" totalsRowDxfId="68">
      <calculatedColumnFormula>tbl_Fechas_Refrescado[[#This Row],[FIN]]-tbl_Fechas_Refrescado[[#This Row],[INICIO]]</calculatedColumnFormula>
    </tableColumn>
    <tableColumn id="15" name="RAZÓN" dataDxfId="67" totalsRowDxfId="66"/>
    <tableColumn id="6" name="DIAS PERIODO" totalsRowFunction="max" dataDxfId="65" totalsRowDxfId="64"/>
    <tableColumn id="13" name="DUPLICADOS" totalsRowFunction="sum" dataDxfId="63" totalsRowDxfId="62"/>
    <tableColumn id="8" name="SKUs Totales" totalsRowFunction="sum" dataDxfId="61" totalsRowDxfId="60"/>
    <tableColumn id="9" name="SKUs Buffer" totalsRowFunction="sum" dataDxfId="59" totalsRowDxfId="58"/>
    <tableColumn id="10" name="COSTO BUFFER" totalsRowFunction="sum" dataDxfId="57" totalsRowDxfId="56"/>
    <tableColumn id="11" name="COSTO FISICO" totalsRowFunction="sum" dataDxfId="55" totalsRowDxfId="54"/>
    <tableColumn id="12" name="COSTO TRANSITO" totalsRowFunction="sum" dataDxfId="53" totalsRowDxfId="5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51"/>
    <tableColumn id="5" name="EMPRESA"/>
    <tableColumn id="2" name="DIRECTORIO"/>
    <tableColumn id="3" name="ARCHIVO"/>
    <tableColumn id="4" name="PATH" dataDxfId="5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9"/>
    <tableColumn id="5" name="EMPRESA"/>
    <tableColumn id="6" name="BODEGA"/>
    <tableColumn id="4" name="PATH" dataDxfId="48"/>
    <tableColumn id="2" name="ARCHIVO" dataDxfId="4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46" dataDxfId="45">
  <autoFilter ref="B1:F2"/>
  <tableColumns count="5">
    <tableColumn id="5" name="PERFIL" dataDxfId="44"/>
    <tableColumn id="1" name="FREC REP" dataDxfId="43"/>
    <tableColumn id="2" name="TIEMP SUMINIS" dataDxfId="42"/>
    <tableColumn id="3" name="HORIZONTE" dataDxfId="41"/>
    <tableColumn id="4" name="T NIV SER (DIAS)" dataDxfId="4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9"/>
    <tableColumn id="3" name="RESTAN" dataDxfId="3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37">
  <autoFilter ref="A2:D3"/>
  <tableColumns count="4">
    <tableColumn id="2" name="HOJA CB" totalsRowLabel="TOTALES" totalsRowDxfId="36"/>
    <tableColumn id="3" name="TODOS ITEMS" totalsRowFunction="sum" dataDxfId="35" totalsRowDxfId="34"/>
    <tableColumn id="4" name="ITEMS CON BUFFER" totalsRowFunction="sum" dataDxfId="33" totalsRowDxfId="32"/>
    <tableColumn id="1" name="% ITEMS CON BUFFER" totalsRowFunction="average" dataDxfId="31" totalsRowDxfId="3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8"/>
    <tableColumn id="7" uniqueName="7" name="PATH" queryTableFieldId="7" dataDxfId="27"/>
    <tableColumn id="5" uniqueName="5" name="COMPLETO" queryTableFieldId="5" dataDxfId="2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2" name="CAFE MATERIA PRIMA.xlsm"/>
    <tableColumn id="3"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6.emf"/><Relationship Id="rId4" Type="http://schemas.openxmlformats.org/officeDocument/2006/relationships/control" Target="../activeX/activeX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19.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2.emf"/><Relationship Id="rId5" Type="http://schemas.openxmlformats.org/officeDocument/2006/relationships/control" Target="../activeX/activeX18.xml"/><Relationship Id="rId4" Type="http://schemas.openxmlformats.org/officeDocument/2006/relationships/image" Target="../media/image21.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4.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20.xml"/><Relationship Id="rId5" Type="http://schemas.openxmlformats.org/officeDocument/2006/relationships/image" Target="../media/image23.emf"/><Relationship Id="rId4" Type="http://schemas.openxmlformats.org/officeDocument/2006/relationships/control" Target="../activeX/activeX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21.xml"/><Relationship Id="rId4"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31"/>
  <sheetViews>
    <sheetView showGridLines="0" tabSelected="1" zoomScale="80" zoomScaleNormal="80" workbookViewId="0"/>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29.85546875"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15" x14ac:dyDescent="0.25">
      <c r="A1" s="30"/>
      <c r="B1" s="31"/>
      <c r="C1" s="31"/>
      <c r="D1" s="31"/>
      <c r="E1" s="31"/>
      <c r="F1" s="31"/>
      <c r="G1" s="32"/>
      <c r="H1" s="32"/>
      <c r="I1" s="32"/>
    </row>
    <row r="2" spans="1:15" x14ac:dyDescent="0.25">
      <c r="A2" s="32"/>
      <c r="B2" s="32"/>
      <c r="C2" s="32"/>
      <c r="D2" s="32"/>
      <c r="E2" s="32"/>
      <c r="F2" s="32"/>
      <c r="G2" s="32"/>
      <c r="H2" s="32"/>
      <c r="I2" s="32"/>
      <c r="J2" s="32"/>
      <c r="K2" s="32"/>
    </row>
    <row r="3" spans="1:15" x14ac:dyDescent="0.25">
      <c r="A3" s="32"/>
      <c r="B3" s="32"/>
      <c r="C3" s="32"/>
      <c r="D3" s="32"/>
      <c r="E3" s="32"/>
      <c r="F3" s="32"/>
      <c r="G3" s="32"/>
      <c r="H3" s="32"/>
      <c r="I3" s="34" t="s">
        <v>296</v>
      </c>
      <c r="J3" s="32"/>
      <c r="K3" s="32"/>
    </row>
    <row r="4" spans="1:15" ht="15.75" customHeight="1" x14ac:dyDescent="0.25">
      <c r="A4" s="32"/>
      <c r="C4" s="35"/>
      <c r="D4" s="35"/>
      <c r="E4" s="35"/>
      <c r="F4" s="35"/>
      <c r="G4" s="35"/>
      <c r="H4" s="35"/>
      <c r="I4" s="35"/>
      <c r="J4" s="32"/>
      <c r="K4" s="32"/>
      <c r="O4" s="36"/>
    </row>
    <row r="5" spans="1:15" ht="23.25" x14ac:dyDescent="0.35">
      <c r="A5" s="37"/>
      <c r="B5" s="38"/>
      <c r="C5" s="38"/>
      <c r="D5" s="38"/>
      <c r="E5" s="38"/>
      <c r="F5" s="38"/>
      <c r="G5" s="61" t="s">
        <v>60</v>
      </c>
      <c r="H5" s="62"/>
      <c r="I5" s="65" t="str">
        <f>IF(COUNTIF(tbl_HojasCB[REFRESCADA],"1 - 1")=COUNTA(tbl_HojasCB[HOJAS]),"Completo","Incompleto")</f>
        <v>Completo</v>
      </c>
    </row>
    <row r="6" spans="1:15" ht="17.25" x14ac:dyDescent="0.3">
      <c r="A6" s="39"/>
      <c r="B6" s="32"/>
      <c r="C6" s="32"/>
      <c r="D6" s="32"/>
      <c r="E6" s="32"/>
      <c r="F6" s="32"/>
      <c r="G6" s="60" t="s">
        <v>61</v>
      </c>
      <c r="H6" s="59"/>
      <c r="I6" s="66">
        <v>43234</v>
      </c>
    </row>
    <row r="7" spans="1:15" x14ac:dyDescent="0.25">
      <c r="A7" s="32"/>
      <c r="B7" s="32"/>
      <c r="C7" s="32"/>
      <c r="D7" s="32"/>
      <c r="E7" s="32"/>
      <c r="F7" s="32"/>
      <c r="G7" s="60" t="s">
        <v>302</v>
      </c>
      <c r="H7" s="59"/>
      <c r="I7" s="67">
        <f>DURACIONREFRESCADO</f>
        <v>4.7800925967749208E-3</v>
      </c>
    </row>
    <row r="8" spans="1:15" x14ac:dyDescent="0.25">
      <c r="A8" s="32"/>
      <c r="B8" s="32"/>
      <c r="C8" s="32"/>
      <c r="D8" s="32"/>
      <c r="E8" s="40"/>
      <c r="F8" s="32"/>
      <c r="G8" s="45" t="s">
        <v>62</v>
      </c>
      <c r="H8" s="63"/>
      <c r="I8" s="68">
        <v>43234</v>
      </c>
    </row>
    <row r="9" spans="1:15" ht="15" customHeight="1" x14ac:dyDescent="0.25">
      <c r="A9" s="41" t="s">
        <v>88</v>
      </c>
      <c r="B9" s="42"/>
      <c r="C9" s="38"/>
      <c r="D9" s="43" t="str">
        <f ca="1">HYPERLINK("["&amp;LEFT(CELL("filename",A1),FIND("[",CELL("filename",A1))-2)&amp;"\CONTROL DE BUFFERS\ARCHIVO\ARCHIVO.xlsm]","Archivo")</f>
        <v>Archivo</v>
      </c>
      <c r="E9" s="44" t="str">
        <f ca="1">HYPERLINK(LEFT(CELL("filename",A1),FIND("[",CELL("filename",A1))-2)&amp;"\CONTROL DE BUFFERS\ARCHIVO\","dir")</f>
        <v>dir</v>
      </c>
      <c r="F9" s="32"/>
      <c r="G9" s="60" t="s">
        <v>63</v>
      </c>
      <c r="H9" s="59"/>
      <c r="I9" s="69">
        <v>43234</v>
      </c>
    </row>
    <row r="10" spans="1:15" ht="15" customHeight="1" x14ac:dyDescent="0.25">
      <c r="A10" s="43" t="str">
        <f>HYPERLINK("[O:\COMPROMETIDOS Y BACKORDERS\COMPROMETIDOS Y BACKORDERS.xlsm]Comprometidos!a1","Comprometidos")</f>
        <v>Comprometidos</v>
      </c>
      <c r="B10" s="44" t="str">
        <f>HYPERLINK("O:\COMPROMETIDOS Y BACKORDERS\","dir")</f>
        <v>dir</v>
      </c>
      <c r="C10" s="32"/>
      <c r="D10" s="43" t="str">
        <f ca="1">HYPERLINK("["&amp;LEFT(CELL("filename",L3),FIND("[",CELL("filename",L3))-2)&amp;"\CONTROL DE BUFFERS\SIMULADOR\Simulacion RAM CAS.xlsm]","SIMULADOR BUFFERS")</f>
        <v>SIMULADOR BUFFERS</v>
      </c>
      <c r="E10" s="44"/>
      <c r="F10" s="32"/>
      <c r="G10" s="60" t="s">
        <v>64</v>
      </c>
      <c r="H10" s="59"/>
      <c r="I10" s="69">
        <v>43234</v>
      </c>
    </row>
    <row r="11" spans="1:15" ht="15" customHeight="1" x14ac:dyDescent="0.25">
      <c r="A11" s="43" t="str">
        <f>HYPERLINK("[O:\COMPROMETIDOS Y BACKORDERS\COMPROMETIDOS Y BACKORDERS.xlsm]Backorders!a1","Backorders")</f>
        <v>Backorders</v>
      </c>
      <c r="B11" s="44" t="str">
        <f>HYPERLINK("O:\COMPROMETIDOS Y BACKORDERS\","dir")</f>
        <v>dir</v>
      </c>
      <c r="C11" s="32"/>
      <c r="D11" s="45" t="str">
        <f>IFERROR(IF(COUNTA(Alertas!$A$1)&gt;0,"HAY ALERTAS","NO HAY ALERTAS"),"NO HAY ALERTAS")</f>
        <v>HAY ALERTAS</v>
      </c>
      <c r="E11" s="46"/>
      <c r="F11" s="32"/>
      <c r="G11" s="45" t="s">
        <v>73</v>
      </c>
      <c r="H11" s="64"/>
      <c r="I11" s="68" t="s">
        <v>109</v>
      </c>
    </row>
    <row r="12" spans="1:15" ht="15" customHeight="1" x14ac:dyDescent="0.25">
      <c r="A12" s="47"/>
      <c r="B12" s="32"/>
      <c r="C12" s="32"/>
      <c r="D12" s="43" t="str">
        <f ca="1">HYPERLINK("["&amp;LEFT(CELL("filename",A1),FIND("[",CELL("filename",A1))-2)&amp;"\CONTROL DE BUFFERS\PLANTILLAS\Plantilla Copiado Pegado.xlsx]","Copiado y Pegado")</f>
        <v>Copiado y Pegado</v>
      </c>
      <c r="E12" s="44"/>
      <c r="F12" s="32"/>
      <c r="G12" s="45" t="s">
        <v>74</v>
      </c>
      <c r="H12" s="63"/>
      <c r="I12" s="68">
        <v>43229</v>
      </c>
    </row>
    <row r="13" spans="1:15" ht="15" customHeight="1" x14ac:dyDescent="0.25">
      <c r="G13" s="45" t="s">
        <v>68</v>
      </c>
      <c r="H13" s="63"/>
      <c r="I13" s="70">
        <v>0.50624999999999998</v>
      </c>
    </row>
    <row r="14" spans="1:15" ht="15" customHeight="1" x14ac:dyDescent="0.25">
      <c r="G14" s="60" t="s">
        <v>144</v>
      </c>
      <c r="H14" s="59"/>
      <c r="I14" s="71">
        <v>0.16666666666666666</v>
      </c>
    </row>
    <row r="15" spans="1:15" ht="15" customHeight="1" x14ac:dyDescent="0.3">
      <c r="A15" s="72" t="s">
        <v>162</v>
      </c>
      <c r="B15" s="73"/>
      <c r="C15" s="73"/>
      <c r="D15" s="73"/>
      <c r="E15" s="73"/>
      <c r="F15" s="73"/>
      <c r="G15" s="60" t="s">
        <v>78</v>
      </c>
      <c r="H15" s="59"/>
      <c r="I15" s="71">
        <v>0.97916666666666663</v>
      </c>
    </row>
    <row r="16" spans="1:15" ht="15" customHeight="1" x14ac:dyDescent="0.25"/>
    <row r="17" spans="1:20" ht="15" customHeight="1" x14ac:dyDescent="0.25">
      <c r="G17" s="32"/>
      <c r="H17" s="32"/>
      <c r="I17" s="32"/>
    </row>
    <row r="18" spans="1:20" ht="26.25" customHeight="1" x14ac:dyDescent="0.25">
      <c r="A18" s="48" t="s">
        <v>264</v>
      </c>
      <c r="B18" s="48" t="s">
        <v>301</v>
      </c>
      <c r="C18" s="48" t="s">
        <v>98</v>
      </c>
      <c r="D18" s="48" t="s">
        <v>267</v>
      </c>
      <c r="E18" s="48" t="s">
        <v>269</v>
      </c>
      <c r="F18" s="48" t="s">
        <v>271</v>
      </c>
      <c r="G18" s="48" t="s">
        <v>272</v>
      </c>
      <c r="H18" s="49" t="s">
        <v>268</v>
      </c>
      <c r="I18" s="49" t="s">
        <v>298</v>
      </c>
      <c r="J18" s="48" t="s">
        <v>265</v>
      </c>
      <c r="K18" s="48" t="s">
        <v>266</v>
      </c>
      <c r="L18" s="48" t="s">
        <v>270</v>
      </c>
      <c r="M18" s="48" t="s">
        <v>101</v>
      </c>
      <c r="N18" s="48" t="s">
        <v>276</v>
      </c>
      <c r="O18" s="48" t="s">
        <v>274</v>
      </c>
      <c r="P18" s="48" t="s">
        <v>275</v>
      </c>
      <c r="Q18" s="48" t="s">
        <v>91</v>
      </c>
      <c r="R18" s="48" t="s">
        <v>273</v>
      </c>
      <c r="S18" s="48" t="s">
        <v>111</v>
      </c>
      <c r="T18" s="48" t="s">
        <v>299</v>
      </c>
    </row>
    <row r="19" spans="1:20" ht="15" customHeight="1" x14ac:dyDescent="0.25">
      <c r="A19" s="36" t="s">
        <v>253</v>
      </c>
      <c r="B19" s="74">
        <f ca="1">IFERROR(COUNTA(INDIRECT("Alertas["&amp;tbl_HojasCB[[#This Row],[HOJAS]]&amp;"]")),0)</f>
        <v>7</v>
      </c>
      <c r="C19" s="50">
        <f>IFERROR(INDEX(tbl_hojascb_estado_hoy[costo_buffer],tbl_HojasCB[[#This Row],[Coincidir]]),"")</f>
        <v>108648.03</v>
      </c>
      <c r="D19" s="50">
        <f>IFERROR(INDEX(tbl_hojascb_estado_hoy[costo_fisico],tbl_HojasCB[[#This Row],[Coincidir]]),"")</f>
        <v>44453.3</v>
      </c>
      <c r="E19" s="50">
        <f>IFERROR(INDEX(tbl_hojascb_estado_hoy[costo_transito],tbl_HojasCB[[#This Row],[Coincidir]]),"")</f>
        <v>66202.210000000006</v>
      </c>
      <c r="F19" s="50">
        <f>IFERROR(INDEX(tbl_hojascb_estado_hoy[costo_comprometido],tbl_HojasCB[[#This Row],[Coincidir]]),"")</f>
        <v>0</v>
      </c>
      <c r="G19" s="50">
        <f>IFERROR(INDEX(tbl_hojascb_estado_hoy[costo_backorder],tbl_HojasCB[[#This Row],[Coincidir]]),"")</f>
        <v>32485.01</v>
      </c>
      <c r="H19" s="50">
        <f>IFERROR(INDEX(tbl_hojascb_estado_hoy[costo_proyectado],tbl_HojasCB[[#This Row],[Coincidir]]),"")</f>
        <v>143140.51999999999</v>
      </c>
      <c r="I19" s="50">
        <f>IFERROR(INDEX(tbl_hojascb_estado_hoy[costo_total],tbl_HojasCB[[#This Row],[Coincidir]]),"")</f>
        <v>110655.51</v>
      </c>
      <c r="J19" s="51">
        <f>IFERROR(INDEX(tbl_hojascb_estado_hoy[sku_totales],tbl_HojasCB[[#This Row],[Coincidir]]),"")</f>
        <v>80</v>
      </c>
      <c r="K19" s="51">
        <f>IFERROR(INDEX(tbl_hojascb_estado_hoy[sku_buffer],tbl_HojasCB[[#This Row],[Coincidir]]),"")</f>
        <v>63</v>
      </c>
      <c r="L19" s="51">
        <f>IFERROR(INDEX(tbl_hojascb_estado_hoy[dias_periodo],tbl_HojasCB[[#This Row],[Coincidir]]),"")</f>
        <v>174</v>
      </c>
      <c r="M19" s="51">
        <f>IFERROR(INDEX(tbl_hojascb_estado_hoy[duplicados],tbl_HojasCB[[#This Row],[Coincidir]]),"")</f>
        <v>0</v>
      </c>
      <c r="N19" s="52" t="str">
        <f>IFERROR(INDEX(tbl_hojascb_estado_hoy[refrescada],tbl_HojasCB[[#This Row],[Coincidir]]),"")&amp;" - "&amp;IFERROR(INDEX(tbl_hojascb_estado_hoy[base_datos],tbl_HojasCB[[#This Row],[Coincidir]]),"")</f>
        <v>1 - 1</v>
      </c>
      <c r="O19" s="53">
        <f>IFERROR(INDEX(tbl_hojascb_estado_hoy[inicio_refrescado],tbl_HojasCB[[#This Row],[Coincidir]]),"")</f>
        <v>43234.400671296295</v>
      </c>
      <c r="P19" s="53">
        <f>IFERROR(INDEX(tbl_hojascb_estado_hoy[fin_refrescado],tbl_HojasCB[[#This Row],[Coincidir]]),"")</f>
        <v>43234.401909722219</v>
      </c>
      <c r="Q19" s="54">
        <f>IFERROR(tbl_HojasCB[[#This Row],[REFRESCADO_FIN]]-tbl_HojasCB[[#This Row],[REFRESCADO_INI]],"")</f>
        <v>1.2384259243845008E-3</v>
      </c>
      <c r="R19" s="53">
        <f>IFERROR(INDEX(tbl_hojascb_estado_hoy[guardado],tbl_HojasCB[[#This Row],[Coincidir]]),"")</f>
        <v>43234.402037037034</v>
      </c>
      <c r="S19" s="55" t="str">
        <f>IF(IFERROR(INDEX(tbl_hojascb_estado_hoy[razon],tbl_HojasCB[[#This Row],[Coincidir]]),"")=0,"",IFERROR(INDEX(tbl_hojascb_estado_hoy[razon],tbl_HojasCB[[#This Row],[Coincidir]]),""))</f>
        <v/>
      </c>
      <c r="T19" s="52">
        <f>MATCH(EMP&amp;tbl_HojasCB[[#This Row],[HOJAS]],tbl_hojascb_estado_hoy[empresa_hoja],0)</f>
        <v>1</v>
      </c>
    </row>
    <row r="20" spans="1:20" ht="15" customHeight="1" x14ac:dyDescent="0.25">
      <c r="A20" s="36" t="s">
        <v>261</v>
      </c>
      <c r="B20" s="74">
        <f ca="1">IFERROR(COUNTA(INDIRECT("Alertas["&amp;tbl_HojasCB[[#This Row],[HOJAS]]&amp;"]")),0)</f>
        <v>4</v>
      </c>
      <c r="C20" s="50">
        <f>IFERROR(INDEX(tbl_hojascb_estado_hoy[costo_buffer],tbl_HojasCB[[#This Row],[Coincidir]]),"")</f>
        <v>4206.5</v>
      </c>
      <c r="D20" s="50">
        <f>IFERROR(INDEX(tbl_hojascb_estado_hoy[costo_fisico],tbl_HojasCB[[#This Row],[Coincidir]]),"")</f>
        <v>7227.07</v>
      </c>
      <c r="E20" s="50">
        <f>IFERROR(INDEX(tbl_hojascb_estado_hoy[costo_transito],tbl_HojasCB[[#This Row],[Coincidir]]),"")</f>
        <v>0</v>
      </c>
      <c r="F20" s="50">
        <f>IFERROR(INDEX(tbl_hojascb_estado_hoy[costo_comprometido],tbl_HojasCB[[#This Row],[Coincidir]]),"")</f>
        <v>0</v>
      </c>
      <c r="G20" s="50">
        <f>IFERROR(INDEX(tbl_hojascb_estado_hoy[costo_backorder],tbl_HojasCB[[#This Row],[Coincidir]]),"")</f>
        <v>0</v>
      </c>
      <c r="H20" s="50">
        <f>IFERROR(INDEX(tbl_hojascb_estado_hoy[costo_proyectado],tbl_HojasCB[[#This Row],[Coincidir]]),"")</f>
        <v>7227.07</v>
      </c>
      <c r="I20" s="50">
        <f>IFERROR(INDEX(tbl_hojascb_estado_hoy[costo_total],tbl_HojasCB[[#This Row],[Coincidir]]),"")</f>
        <v>7227.07</v>
      </c>
      <c r="J20" s="51">
        <f>IFERROR(INDEX(tbl_hojascb_estado_hoy[sku_totales],tbl_HojasCB[[#This Row],[Coincidir]]),"")</f>
        <v>6</v>
      </c>
      <c r="K20" s="51">
        <f>IFERROR(INDEX(tbl_hojascb_estado_hoy[sku_buffer],tbl_HojasCB[[#This Row],[Coincidir]]),"")</f>
        <v>6</v>
      </c>
      <c r="L20" s="51">
        <f>IFERROR(INDEX(tbl_hojascb_estado_hoy[dias_periodo],tbl_HojasCB[[#This Row],[Coincidir]]),"")</f>
        <v>71</v>
      </c>
      <c r="M20" s="51">
        <f>IFERROR(INDEX(tbl_hojascb_estado_hoy[duplicados],tbl_HojasCB[[#This Row],[Coincidir]]),"")</f>
        <v>0</v>
      </c>
      <c r="N20" s="52" t="str">
        <f>IFERROR(INDEX(tbl_hojascb_estado_hoy[refrescada],tbl_HojasCB[[#This Row],[Coincidir]]),"")&amp;" - "&amp;IFERROR(INDEX(tbl_hojascb_estado_hoy[base_datos],tbl_HojasCB[[#This Row],[Coincidir]]),"")</f>
        <v>1 - 1</v>
      </c>
      <c r="O20" s="53">
        <f>IFERROR(INDEX(tbl_hojascb_estado_hoy[inicio_refrescado],tbl_HojasCB[[#This Row],[Coincidir]]),"")</f>
        <v>43234.402349537035</v>
      </c>
      <c r="P20" s="53">
        <f>IFERROR(INDEX(tbl_hojascb_estado_hoy[fin_refrescado],tbl_HojasCB[[#This Row],[Coincidir]]),"")</f>
        <v>43234.402986111112</v>
      </c>
      <c r="Q20" s="54">
        <f>IFERROR(tbl_HojasCB[[#This Row],[REFRESCADO_FIN]]-tbl_HojasCB[[#This Row],[REFRESCADO_INI]],"")</f>
        <v>6.36574077361729E-4</v>
      </c>
      <c r="R20" s="53">
        <f>IFERROR(INDEX(tbl_hojascb_estado_hoy[guardado],tbl_HojasCB[[#This Row],[Coincidir]]),"")</f>
        <v>43234.455914351849</v>
      </c>
      <c r="S20" s="55" t="str">
        <f>IF(IFERROR(INDEX(tbl_hojascb_estado_hoy[razon],tbl_HojasCB[[#This Row],[Coincidir]]),"")=0,"",IFERROR(INDEX(tbl_hojascb_estado_hoy[razon],tbl_HojasCB[[#This Row],[Coincidir]]),""))</f>
        <v/>
      </c>
      <c r="T20" s="52">
        <f>MATCH(EMP&amp;tbl_HojasCB[[#This Row],[HOJAS]],tbl_hojascb_estado_hoy[empresa_hoja],0)</f>
        <v>2</v>
      </c>
    </row>
    <row r="21" spans="1:20" ht="15" customHeight="1" x14ac:dyDescent="0.25">
      <c r="A21" s="36" t="s">
        <v>250</v>
      </c>
      <c r="B21" s="74">
        <f ca="1">IFERROR(COUNTA(INDIRECT("Alertas["&amp;tbl_HojasCB[[#This Row],[HOJAS]]&amp;"]")),0)</f>
        <v>5</v>
      </c>
      <c r="C21" s="50">
        <f>IFERROR(INDEX(tbl_hojascb_estado_hoy[costo_buffer],tbl_HojasCB[[#This Row],[Coincidir]]),"")</f>
        <v>887483.71</v>
      </c>
      <c r="D21" s="50">
        <f>IFERROR(INDEX(tbl_hojascb_estado_hoy[costo_fisico],tbl_HojasCB[[#This Row],[Coincidir]]),"")</f>
        <v>287838.52</v>
      </c>
      <c r="E21" s="50">
        <f>IFERROR(INDEX(tbl_hojascb_estado_hoy[costo_transito],tbl_HojasCB[[#This Row],[Coincidir]]),"")</f>
        <v>209520.14</v>
      </c>
      <c r="F21" s="50">
        <f>IFERROR(INDEX(tbl_hojascb_estado_hoy[costo_comprometido],tbl_HojasCB[[#This Row],[Coincidir]]),"")</f>
        <v>0</v>
      </c>
      <c r="G21" s="50">
        <f>IFERROR(INDEX(tbl_hojascb_estado_hoy[costo_backorder],tbl_HojasCB[[#This Row],[Coincidir]]),"")</f>
        <v>1426.24</v>
      </c>
      <c r="H21" s="50">
        <f>IFERROR(INDEX(tbl_hojascb_estado_hoy[costo_proyectado],tbl_HojasCB[[#This Row],[Coincidir]]),"")</f>
        <v>498784.9</v>
      </c>
      <c r="I21" s="50">
        <f>IFERROR(INDEX(tbl_hojascb_estado_hoy[costo_total],tbl_HojasCB[[#This Row],[Coincidir]]),"")</f>
        <v>497358.66</v>
      </c>
      <c r="J21" s="51">
        <f>IFERROR(INDEX(tbl_hojascb_estado_hoy[sku_totales],tbl_HojasCB[[#This Row],[Coincidir]]),"")</f>
        <v>57</v>
      </c>
      <c r="K21" s="51">
        <f>IFERROR(INDEX(tbl_hojascb_estado_hoy[sku_buffer],tbl_HojasCB[[#This Row],[Coincidir]]),"")</f>
        <v>45</v>
      </c>
      <c r="L21" s="51">
        <f>IFERROR(INDEX(tbl_hojascb_estado_hoy[dias_periodo],tbl_HojasCB[[#This Row],[Coincidir]]),"")</f>
        <v>228</v>
      </c>
      <c r="M21" s="51">
        <f>IFERROR(INDEX(tbl_hojascb_estado_hoy[duplicados],tbl_HojasCB[[#This Row],[Coincidir]]),"")</f>
        <v>0</v>
      </c>
      <c r="N21" s="52" t="str">
        <f>IFERROR(INDEX(tbl_hojascb_estado_hoy[refrescada],tbl_HojasCB[[#This Row],[Coincidir]]),"")&amp;" - "&amp;IFERROR(INDEX(tbl_hojascb_estado_hoy[base_datos],tbl_HojasCB[[#This Row],[Coincidir]]),"")</f>
        <v>1 - 1</v>
      </c>
      <c r="O21" s="53">
        <f>IFERROR(INDEX(tbl_hojascb_estado_hoy[inicio_refrescado],tbl_HojasCB[[#This Row],[Coincidir]]),"")</f>
        <v>43234.403414351851</v>
      </c>
      <c r="P21" s="53">
        <f>IFERROR(INDEX(tbl_hojascb_estado_hoy[fin_refrescado],tbl_HojasCB[[#This Row],[Coincidir]]),"")</f>
        <v>43234.404861111114</v>
      </c>
      <c r="Q21" s="54">
        <f>IFERROR(tbl_HojasCB[[#This Row],[REFRESCADO_FIN]]-tbl_HojasCB[[#This Row],[REFRESCADO_INI]],"")</f>
        <v>1.4467592627624981E-3</v>
      </c>
      <c r="R21" s="53">
        <f>IFERROR(INDEX(tbl_hojascb_estado_hoy[guardado],tbl_HojasCB[[#This Row],[Coincidir]]),"")</f>
        <v>43234.404965277776</v>
      </c>
      <c r="S21" s="55" t="str">
        <f>IF(IFERROR(INDEX(tbl_hojascb_estado_hoy[razon],tbl_HojasCB[[#This Row],[Coincidir]]),"")=0,"",IFERROR(INDEX(tbl_hojascb_estado_hoy[razon],tbl_HojasCB[[#This Row],[Coincidir]]),""))</f>
        <v/>
      </c>
      <c r="T21" s="52">
        <f>MATCH(EMP&amp;tbl_HojasCB[[#This Row],[HOJAS]],tbl_hojascb_estado_hoy[empresa_hoja],0)</f>
        <v>4</v>
      </c>
    </row>
    <row r="22" spans="1:20" ht="15" customHeight="1" x14ac:dyDescent="0.25">
      <c r="A22" s="56" t="str">
        <f>"Total Hojas:  "&amp;SUBTOTAL(103,tbl_HojasCB[HOJAS])</f>
        <v>Total Hojas:  3</v>
      </c>
      <c r="B22" s="56">
        <f ca="1">SUBTOTAL(109,tbl_HojasCB[ALERTAS])</f>
        <v>16</v>
      </c>
      <c r="C22" s="50">
        <f>SUBTOTAL(109,tbl_HojasCB[COSTO BUFFER])</f>
        <v>1000338.24</v>
      </c>
      <c r="D22" s="50">
        <f>SUBTOTAL(109,tbl_HojasCB[COSTO FÍSICO])</f>
        <v>339518.89</v>
      </c>
      <c r="E22" s="50">
        <f>SUBTOTAL(109,tbl_HojasCB[COSTO TRÁNSITO])</f>
        <v>275722.35000000003</v>
      </c>
      <c r="F22" s="50">
        <f>SUBTOTAL(109,tbl_HojasCB[COSTO COMPROM])</f>
        <v>0</v>
      </c>
      <c r="G22" s="50">
        <f>SUBTOTAL(109,tbl_HojasCB[COSTO BACKORDER])</f>
        <v>33911.25</v>
      </c>
      <c r="H22" s="50">
        <f>SUBTOTAL(109,tbl_HojasCB[COSTO PROYECTADO])</f>
        <v>649152.49</v>
      </c>
      <c r="I22" s="50">
        <f>SUBTOTAL(109,tbl_HojasCB[COSTO TOTAL])</f>
        <v>615241.24</v>
      </c>
      <c r="J22" s="57">
        <f>SUBTOTAL(109,tbl_HojasCB[ÍTEMS TOTALES])</f>
        <v>143</v>
      </c>
      <c r="K22" s="57">
        <f>SUBTOTAL(109,tbl_HojasCB[ÍTEMS CON BUFFER])</f>
        <v>114</v>
      </c>
      <c r="L22" s="57">
        <f>SUBTOTAL(109,tbl_HojasCB[DÍAS PERÍODO])</f>
        <v>473</v>
      </c>
      <c r="M22" s="57">
        <f>SUBTOTAL(109,tbl_HojasCB[DUPLICADOS])</f>
        <v>0</v>
      </c>
      <c r="N22" s="56"/>
      <c r="O22" s="56"/>
      <c r="P22" s="56"/>
      <c r="Q22" s="54">
        <f>SUBTOTAL(109,tbl_HojasCB[DURACIÓN])</f>
        <v>3.3217592645087279E-3</v>
      </c>
      <c r="R22" s="56"/>
      <c r="T22" s="56"/>
    </row>
    <row r="23" spans="1:20" ht="15" customHeight="1" x14ac:dyDescent="0.25"/>
    <row r="24" spans="1:20" ht="15" customHeight="1" x14ac:dyDescent="0.25"/>
    <row r="25" spans="1:20" ht="15" customHeight="1" x14ac:dyDescent="0.25"/>
    <row r="26" spans="1:20" ht="15" customHeight="1" x14ac:dyDescent="0.25"/>
    <row r="131" spans="184:185" x14ac:dyDescent="0.25">
      <c r="GB131" s="58" t="s">
        <v>194</v>
      </c>
      <c r="GC131" s="33" t="s">
        <v>145</v>
      </c>
    </row>
  </sheetData>
  <sheetProtection algorithmName="SHA-512" hashValue="VnB113bVucdYa+7RX4HK3K2OrZiiJO0aUQLJ+eX3ffjG4CGKkAtek+ZB/WHLJ2oNDq7wTT4hou7z6rko+WPaVQ==" saltValue="7g1KSE+0XjpPdALVBuh6Bw==" spinCount="100000" sheet="1" objects="1" scenarios="1" sort="0" autoFilter="0"/>
  <conditionalFormatting sqref="I8:I12">
    <cfRule type="expression" dxfId="25" priority="24">
      <formula>I8&lt;&gt;$I$6</formula>
    </cfRule>
  </conditionalFormatting>
  <conditionalFormatting sqref="I5">
    <cfRule type="expression" dxfId="24" priority="14" stopIfTrue="1">
      <formula>REFRESCADO="Completo"</formula>
    </cfRule>
    <cfRule type="expression" dxfId="23" priority="23">
      <formula>REFRESCADO="Incompleto"</formula>
    </cfRule>
  </conditionalFormatting>
  <conditionalFormatting sqref="D11:E11">
    <cfRule type="expression" dxfId="22" priority="19">
      <formula>$D11="NO HAY ALERTAS"</formula>
    </cfRule>
    <cfRule type="expression" dxfId="21" priority="20">
      <formula>$D11="HAY ALERTAS"</formula>
    </cfRule>
  </conditionalFormatting>
  <conditionalFormatting sqref="I6">
    <cfRule type="expression" dxfId="20" priority="15">
      <formula>I6&lt;&gt;TODAY()</formula>
    </cfRule>
  </conditionalFormatting>
  <conditionalFormatting sqref="A19:S21">
    <cfRule type="expression" dxfId="19" priority="3115">
      <formula>OR(TRUNC($P19)&lt;TODAY(),$N19&lt;&gt;"1 - 1")</formula>
    </cfRule>
    <cfRule type="expression" dxfId="18" priority="3116">
      <formula>$M19&gt;0</formula>
    </cfRule>
  </conditionalFormatting>
  <conditionalFormatting sqref="C19:C21">
    <cfRule type="dataBar" priority="3117">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9:D21">
    <cfRule type="dataBar" priority="3118">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9:E21">
    <cfRule type="dataBar" priority="3119">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9:G21">
    <cfRule type="dataBar" priority="3120">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9:H21">
    <cfRule type="dataBar" priority="3121">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9:I21">
    <cfRule type="dataBar" priority="3122">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9:J21">
    <cfRule type="dataBar" priority="3123">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9:K21">
    <cfRule type="dataBar" priority="3124">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9:F21">
    <cfRule type="dataBar" priority="3125">
      <dataBar>
        <cfvo type="min"/>
        <cfvo type="max"/>
        <color rgb="FFFFB628"/>
      </dataBar>
      <extLst>
        <ext xmlns:x14="http://schemas.microsoft.com/office/spreadsheetml/2009/9/main" uri="{B025F937-C7B1-47D3-B67F-A62EFF666E3E}">
          <x14:id>{BC002F9D-636E-47D2-840E-33D6699C67B8}</x14:id>
        </ext>
      </extLst>
    </cfRule>
  </conditionalFormatting>
  <conditionalFormatting sqref="B19:B21">
    <cfRule type="colorScale" priority="3128">
      <colorScale>
        <cfvo type="min"/>
        <cfvo type="percentile" val="50"/>
        <cfvo type="max"/>
        <color rgb="FF63BE7B"/>
        <color rgb="FFFFEB84"/>
        <color rgb="FFF8696B"/>
      </colorScale>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0</xdr:col>
                <xdr:colOff>1885950</xdr:colOff>
                <xdr:row>6</xdr:row>
                <xdr:rowOff>123825</xdr:rowOff>
              </from>
              <to>
                <xdr:col>0</xdr:col>
                <xdr:colOff>2238375</xdr:colOff>
                <xdr:row>8</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523875</xdr:colOff>
                <xdr:row>10</xdr:row>
                <xdr:rowOff>47625</xdr:rowOff>
              </from>
              <to>
                <xdr:col>4</xdr:col>
                <xdr:colOff>819150</xdr:colOff>
                <xdr:row>11</xdr:row>
                <xdr:rowOff>28575</xdr:rowOff>
              </to>
            </anchor>
          </controlPr>
        </control>
      </mc:Choice>
      <mc:Fallback>
        <control shapeId="1061" r:id="rId6" name="cmd_Refrescar_Alertas"/>
      </mc:Fallback>
    </mc:AlternateContent>
    <mc:AlternateContent xmlns:mc="http://schemas.openxmlformats.org/markup-compatibility/2006">
      <mc:Choice Requires="x14">
        <control shapeId="1060" r:id="rId8" name="cmd_refresca_items">
          <controlPr defaultSize="0" autoLine="0" r:id="rId9">
            <anchor>
              <from>
                <xdr:col>3</xdr:col>
                <xdr:colOff>28575</xdr:colOff>
                <xdr:row>4</xdr:row>
                <xdr:rowOff>28575</xdr:rowOff>
              </from>
              <to>
                <xdr:col>3</xdr:col>
                <xdr:colOff>714375</xdr:colOff>
                <xdr:row>4</xdr:row>
                <xdr:rowOff>285750</xdr:rowOff>
              </to>
            </anchor>
          </controlPr>
        </control>
      </mc:Choice>
      <mc:Fallback>
        <control shapeId="1060" r:id="rId8" name="cmd_refresca_items"/>
      </mc:Fallback>
    </mc:AlternateContent>
    <mc:AlternateContent xmlns:mc="http://schemas.openxmlformats.org/markup-compatibility/2006">
      <mc:Choice Requires="x14">
        <control shapeId="1057" r:id="rId10" name="cmdMantenimiento">
          <controlPr defaultSize="0" autoLine="0" r:id="rId11">
            <anchor>
              <from>
                <xdr:col>4</xdr:col>
                <xdr:colOff>371475</xdr:colOff>
                <xdr:row>4</xdr:row>
                <xdr:rowOff>28575</xdr:rowOff>
              </from>
              <to>
                <xdr:col>5</xdr:col>
                <xdr:colOff>714375</xdr:colOff>
                <xdr:row>5</xdr:row>
                <xdr:rowOff>0</xdr:rowOff>
              </to>
            </anchor>
          </controlPr>
        </control>
      </mc:Choice>
      <mc:Fallback>
        <control shapeId="1057" r:id="rId10" name="cmdMantenimiento"/>
      </mc:Fallback>
    </mc:AlternateContent>
    <mc:AlternateContent xmlns:mc="http://schemas.openxmlformats.org/markup-compatibility/2006">
      <mc:Choice Requires="x14">
        <control shapeId="1053" r:id="rId12" name="cmdControl">
          <controlPr defaultSize="0" autoLine="0" r:id="rId13">
            <anchor>
              <from>
                <xdr:col>0</xdr:col>
                <xdr:colOff>28575</xdr:colOff>
                <xdr:row>5</xdr:row>
                <xdr:rowOff>47625</xdr:rowOff>
              </from>
              <to>
                <xdr:col>0</xdr:col>
                <xdr:colOff>904875</xdr:colOff>
                <xdr:row>8</xdr:row>
                <xdr:rowOff>19050</xdr:rowOff>
              </to>
            </anchor>
          </controlPr>
        </control>
      </mc:Choice>
      <mc:Fallback>
        <control shapeId="1053" r:id="rId12" name="cmdControl"/>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28575</xdr:rowOff>
              </from>
              <to>
                <xdr:col>0</xdr:col>
                <xdr:colOff>1266825</xdr:colOff>
                <xdr:row>4</xdr:row>
                <xdr:rowOff>276225</xdr:rowOff>
              </to>
            </anchor>
          </controlPr>
        </control>
      </mc:Choice>
      <mc:Fallback>
        <control shapeId="1034" r:id="rId14" name="cboEmpresa"/>
      </mc:Fallback>
    </mc:AlternateContent>
    <mc:AlternateContent xmlns:mc="http://schemas.openxmlformats.org/markup-compatibility/2006">
      <mc:Choice Requires="x14">
        <control shapeId="1056" r:id="rId16" name="cmdTransferencias">
          <controlPr defaultSize="0" autoLine="0" r:id="rId17">
            <anchor>
              <from>
                <xdr:col>0</xdr:col>
                <xdr:colOff>933450</xdr:colOff>
                <xdr:row>5</xdr:row>
                <xdr:rowOff>47625</xdr:rowOff>
              </from>
              <to>
                <xdr:col>0</xdr:col>
                <xdr:colOff>1885950</xdr:colOff>
                <xdr:row>8</xdr:row>
                <xdr:rowOff>19050</xdr:rowOff>
              </to>
            </anchor>
          </controlPr>
        </control>
      </mc:Choice>
      <mc:Fallback>
        <control shapeId="1056" r:id="rId16" name="cmdTransferencias"/>
      </mc:Fallback>
    </mc:AlternateContent>
    <mc:AlternateContent xmlns:mc="http://schemas.openxmlformats.org/markup-compatibility/2006">
      <mc:Choice Requires="x14">
        <control shapeId="1062" r:id="rId18" name="cmd_Alertas_Actuales">
          <controlPr defaultSize="0" autoLine="0" r:id="rId19">
            <anchor>
              <from>
                <xdr:col>4</xdr:col>
                <xdr:colOff>190500</xdr:colOff>
                <xdr:row>10</xdr:row>
                <xdr:rowOff>47625</xdr:rowOff>
              </from>
              <to>
                <xdr:col>4</xdr:col>
                <xdr:colOff>533400</xdr:colOff>
                <xdr:row>11</xdr:row>
                <xdr:rowOff>28575</xdr:rowOff>
              </to>
            </anchor>
          </controlPr>
        </control>
      </mc:Choice>
      <mc:Fallback>
        <control shapeId="1062" r:id="rId18" name="cmd_Alertas_Actuales"/>
      </mc:Fallback>
    </mc:AlternateContent>
    <mc:AlternateContent xmlns:mc="http://schemas.openxmlformats.org/markup-compatibility/2006">
      <mc:Choice Requires="x14">
        <control shapeId="1517" r:id="rId20" name="cmdTraeFechasRefrescado">
          <controlPr defaultSize="0" disabled="1" autoLine="0" r:id="rId21">
            <anchor>
              <from>
                <xdr:col>2</xdr:col>
                <xdr:colOff>114300</xdr:colOff>
                <xdr:row>4</xdr:row>
                <xdr:rowOff>28575</xdr:rowOff>
              </from>
              <to>
                <xdr:col>2</xdr:col>
                <xdr:colOff>790575</xdr:colOff>
                <xdr:row>4</xdr:row>
                <xdr:rowOff>285750</xdr:rowOff>
              </to>
            </anchor>
          </controlPr>
        </control>
      </mc:Choice>
      <mc:Fallback>
        <control shapeId="1517" r:id="rId20" name="cmdTraeFechasRefrescado"/>
      </mc:Fallback>
    </mc:AlternateContent>
    <mc:AlternateContent xmlns:mc="http://schemas.openxmlformats.org/markup-compatibility/2006">
      <mc:Choice Requires="x14">
        <control shapeId="49451" r:id="rId22" name="cmd_Reportaje">
          <controlPr defaultSize="0" autoLine="0" r:id="rId23">
            <anchor>
              <from>
                <xdr:col>1</xdr:col>
                <xdr:colOff>0</xdr:colOff>
                <xdr:row>5</xdr:row>
                <xdr:rowOff>47625</xdr:rowOff>
              </from>
              <to>
                <xdr:col>2</xdr:col>
                <xdr:colOff>314325</xdr:colOff>
                <xdr:row>8</xdr:row>
                <xdr:rowOff>19050</xdr:rowOff>
              </to>
            </anchor>
          </controlPr>
        </control>
      </mc:Choice>
      <mc:Fallback>
        <control shapeId="49451" r:id="rId22" name="cmd_Reportaje"/>
      </mc:Fallback>
    </mc:AlternateContent>
    <mc:AlternateContent xmlns:mc="http://schemas.openxmlformats.org/markup-compatibility/2006">
      <mc:Choice Requires="x14">
        <control shapeId="96465" r:id="rId24" name="cmdNuevaTransfer">
          <controlPr defaultSize="0" autoLine="0" r:id="rId25">
            <anchor>
              <from>
                <xdr:col>0</xdr:col>
                <xdr:colOff>1885950</xdr:colOff>
                <xdr:row>5</xdr:row>
                <xdr:rowOff>47625</xdr:rowOff>
              </from>
              <to>
                <xdr:col>0</xdr:col>
                <xdr:colOff>2238375</xdr:colOff>
                <xdr:row>6</xdr:row>
                <xdr:rowOff>114300</xdr:rowOff>
              </to>
            </anchor>
          </controlPr>
        </control>
      </mc:Choice>
      <mc:Fallback>
        <control shapeId="96465" r:id="rId24" name="cmdNuevaTransfer"/>
      </mc:Fallback>
    </mc:AlternateContent>
    <mc:AlternateContent xmlns:mc="http://schemas.openxmlformats.org/markup-compatibility/2006">
      <mc:Choice Requires="x14">
        <control shapeId="170283" r:id="rId26" name="cmd_Importa_Datos_ERP">
          <controlPr defaultSize="0" print="0" autoFill="0" autoPict="0" macro="[0]!Trae_Datos_del_ERP">
            <anchor>
              <from>
                <xdr:col>2</xdr:col>
                <xdr:colOff>400050</xdr:colOff>
                <xdr:row>5</xdr:row>
                <xdr:rowOff>47625</xdr:rowOff>
              </from>
              <to>
                <xdr:col>3</xdr:col>
                <xdr:colOff>371475</xdr:colOff>
                <xdr:row>8</xdr:row>
                <xdr:rowOff>19050</xdr:rowOff>
              </to>
            </anchor>
          </controlPr>
        </control>
      </mc:Choice>
    </mc:AlternateContent>
    <mc:AlternateContent xmlns:mc="http://schemas.openxmlformats.org/markup-compatibility/2006">
      <mc:Choice Requires="x14">
        <control shapeId="170289" r:id="rId27" name="cmd_Ayuda_CCB">
          <controlPr defaultSize="0" print="0" autoFill="0" autoPict="0" macro="[0]!Abre_Ayuda_de_Centrocontrol">
            <anchor>
              <from>
                <xdr:col>5</xdr:col>
                <xdr:colOff>9525</xdr:colOff>
                <xdr:row>5</xdr:row>
                <xdr:rowOff>47625</xdr:rowOff>
              </from>
              <to>
                <xdr:col>5</xdr:col>
                <xdr:colOff>704850</xdr:colOff>
                <xdr:row>6</xdr:row>
                <xdr:rowOff>133350</xdr:rowOff>
              </to>
            </anchor>
          </controlPr>
        </control>
      </mc:Choice>
    </mc:AlternateContent>
    <mc:AlternateContent xmlns:mc="http://schemas.openxmlformats.org/markup-compatibility/2006">
      <mc:Choice Requires="x14">
        <control shapeId="170298" r:id="rId28" name="cmd_Cambia_Usuario">
          <controlPr defaultSize="0" print="0" autoFill="0" autoPict="0" macro="[0]!Cambia_Usuario">
            <anchor>
              <from>
                <xdr:col>0</xdr:col>
                <xdr:colOff>28575</xdr:colOff>
                <xdr:row>2</xdr:row>
                <xdr:rowOff>0</xdr:rowOff>
              </from>
              <to>
                <xdr:col>0</xdr:col>
                <xdr:colOff>962025</xdr:colOff>
                <xdr:row>2</xdr:row>
                <xdr:rowOff>152400</xdr:rowOff>
              </to>
            </anchor>
          </controlPr>
        </control>
      </mc:Choice>
    </mc:AlternateContent>
  </controls>
  <tableParts count="1">
    <tablePart r:id="rId29"/>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C19:C21</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D19:D21</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E19:E21</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G19:G21</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H19:H21</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I19:I21</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J19:J21</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K19:K21</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F19:F21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5"/>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277</v>
      </c>
      <c r="B1" t="s">
        <v>278</v>
      </c>
      <c r="C1" t="s">
        <v>279</v>
      </c>
      <c r="D1" t="s">
        <v>280</v>
      </c>
      <c r="E1" t="s">
        <v>281</v>
      </c>
      <c r="F1" t="s">
        <v>282</v>
      </c>
      <c r="G1" t="s">
        <v>283</v>
      </c>
      <c r="H1" t="s">
        <v>284</v>
      </c>
      <c r="I1" t="s">
        <v>285</v>
      </c>
      <c r="J1" t="s">
        <v>286</v>
      </c>
      <c r="K1" t="s">
        <v>287</v>
      </c>
      <c r="L1" t="s">
        <v>288</v>
      </c>
      <c r="M1" t="s">
        <v>289</v>
      </c>
      <c r="N1" t="s">
        <v>290</v>
      </c>
      <c r="O1" t="s">
        <v>291</v>
      </c>
      <c r="P1" t="s">
        <v>292</v>
      </c>
      <c r="Q1" t="s">
        <v>293</v>
      </c>
      <c r="R1" t="s">
        <v>294</v>
      </c>
      <c r="S1" t="s">
        <v>295</v>
      </c>
      <c r="T1" t="s">
        <v>297</v>
      </c>
    </row>
    <row r="2" spans="1:20" x14ac:dyDescent="0.25">
      <c r="A2" t="s">
        <v>0</v>
      </c>
      <c r="B2" t="s">
        <v>253</v>
      </c>
      <c r="C2">
        <v>1</v>
      </c>
      <c r="D2">
        <v>1</v>
      </c>
      <c r="E2" s="24">
        <v>43234.400671296295</v>
      </c>
      <c r="F2" s="24">
        <v>43234.401909722219</v>
      </c>
      <c r="G2" s="24">
        <v>43234.402037037034</v>
      </c>
      <c r="I2">
        <v>174</v>
      </c>
      <c r="J2">
        <v>0</v>
      </c>
      <c r="K2">
        <v>80</v>
      </c>
      <c r="L2">
        <v>63</v>
      </c>
      <c r="M2">
        <v>108648.03</v>
      </c>
      <c r="N2">
        <v>44453.3</v>
      </c>
      <c r="O2">
        <v>66202.210000000006</v>
      </c>
      <c r="P2">
        <v>0</v>
      </c>
      <c r="Q2">
        <v>32485.01</v>
      </c>
      <c r="R2">
        <v>143140.51999999999</v>
      </c>
      <c r="S2">
        <v>110655.51</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43233.899895833332</v>
      </c>
      <c r="F4" s="24">
        <v>43233.902037037034</v>
      </c>
      <c r="G4" s="24">
        <v>43234.377569444441</v>
      </c>
      <c r="I4">
        <v>223</v>
      </c>
      <c r="J4">
        <v>0</v>
      </c>
      <c r="K4">
        <v>57</v>
      </c>
      <c r="L4">
        <v>45</v>
      </c>
      <c r="M4">
        <v>887483.71</v>
      </c>
      <c r="N4">
        <v>287836.81</v>
      </c>
      <c r="O4">
        <v>209520.14</v>
      </c>
      <c r="P4">
        <v>0</v>
      </c>
      <c r="Q4">
        <v>1426.24</v>
      </c>
      <c r="R4">
        <v>498783.19</v>
      </c>
      <c r="S4">
        <v>497356.95</v>
      </c>
      <c r="T4" s="2" t="str">
        <f>tbl_hojascb_estado_hoy[[#This Row],[empresa]]&amp;tbl_hojascb_estado_hoy[[#This Row],[hoja_cb]]</f>
        <v>AGROTAControl Buffers.xlsm</v>
      </c>
    </row>
    <row r="5" spans="1:20" x14ac:dyDescent="0.25">
      <c r="A5" t="s">
        <v>0</v>
      </c>
      <c r="B5" t="s">
        <v>250</v>
      </c>
      <c r="C5">
        <v>1</v>
      </c>
      <c r="D5">
        <v>1</v>
      </c>
      <c r="E5" s="24">
        <v>43234.403414351851</v>
      </c>
      <c r="F5" s="24">
        <v>43234.404861111114</v>
      </c>
      <c r="G5" s="24">
        <v>43234.404965277776</v>
      </c>
      <c r="I5">
        <v>228</v>
      </c>
      <c r="J5">
        <v>0</v>
      </c>
      <c r="K5">
        <v>57</v>
      </c>
      <c r="L5">
        <v>45</v>
      </c>
      <c r="M5">
        <v>887483.71</v>
      </c>
      <c r="N5">
        <v>287838.52</v>
      </c>
      <c r="O5">
        <v>209520.14</v>
      </c>
      <c r="P5">
        <v>0</v>
      </c>
      <c r="Q5">
        <v>1426.24</v>
      </c>
      <c r="R5">
        <v>498784.9</v>
      </c>
      <c r="S5">
        <v>497358.66</v>
      </c>
      <c r="T5" s="2" t="str">
        <f>tbl_hojascb_estado_hoy[[#This Row],[empresa]]&amp;tbl_hojascb_estado_hoy[[#This Row],[hoja_cb]]</f>
        <v>AGROTAMaquinas ECHO - SHINDAIWA.xlsm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P1" sqref="P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43234.403414351851</v>
      </c>
      <c r="H2" s="26">
        <v>43234.404861111114</v>
      </c>
      <c r="I2" s="25">
        <f>tbl_Fechas_Refrescado[[#This Row],[FIN]]-tbl_Fechas_Refrescado[[#This Row],[INICIO]]</f>
        <v>1.4467592627624981E-3</v>
      </c>
      <c r="J2" s="25"/>
      <c r="K2" s="22">
        <v>228</v>
      </c>
      <c r="L2" s="22">
        <v>0</v>
      </c>
      <c r="M2" s="22">
        <v>57</v>
      </c>
      <c r="N2" s="22">
        <v>45</v>
      </c>
      <c r="O2" s="23">
        <v>887484</v>
      </c>
      <c r="P2" s="23">
        <v>287839</v>
      </c>
      <c r="Q2" s="23">
        <v>209520</v>
      </c>
      <c r="V2" s="24"/>
    </row>
    <row r="3" spans="2:22" x14ac:dyDescent="0.25">
      <c r="B3" t="s">
        <v>0</v>
      </c>
      <c r="C3" t="s">
        <v>261</v>
      </c>
      <c r="D3" s="6">
        <v>1</v>
      </c>
      <c r="E3" s="6" t="s">
        <v>104</v>
      </c>
      <c r="F3" s="6">
        <v>1</v>
      </c>
      <c r="G3" s="26">
        <v>43234.402349537035</v>
      </c>
      <c r="H3" s="26">
        <v>43234.402986111112</v>
      </c>
      <c r="I3" s="25">
        <f>tbl_Fechas_Refrescado[[#This Row],[FIN]]-tbl_Fechas_Refrescado[[#This Row],[INICIO]]</f>
        <v>6.36574077361729E-4</v>
      </c>
      <c r="J3" s="25"/>
      <c r="K3" s="22">
        <v>71</v>
      </c>
      <c r="L3" s="22">
        <v>0</v>
      </c>
      <c r="M3" s="22">
        <v>6</v>
      </c>
      <c r="N3" s="22">
        <v>6</v>
      </c>
      <c r="O3" s="23">
        <v>4206</v>
      </c>
      <c r="P3" s="23">
        <v>7227</v>
      </c>
      <c r="Q3" s="23">
        <v>0</v>
      </c>
    </row>
    <row r="4" spans="2:22" x14ac:dyDescent="0.25">
      <c r="B4" t="s">
        <v>0</v>
      </c>
      <c r="C4" t="s">
        <v>253</v>
      </c>
      <c r="D4" s="6">
        <v>1</v>
      </c>
      <c r="E4" s="6" t="s">
        <v>104</v>
      </c>
      <c r="F4" s="6">
        <v>1</v>
      </c>
      <c r="G4" s="26">
        <v>43234.400671296295</v>
      </c>
      <c r="H4" s="26">
        <v>43234.401909722219</v>
      </c>
      <c r="I4" s="25">
        <f>tbl_Fechas_Refrescado[[#This Row],[FIN]]-tbl_Fechas_Refrescado[[#This Row],[INICIO]]</f>
        <v>1.2384259243845008E-3</v>
      </c>
      <c r="J4" s="25"/>
      <c r="K4" s="22">
        <v>174</v>
      </c>
      <c r="L4" s="22">
        <v>0</v>
      </c>
      <c r="M4" s="22">
        <v>80</v>
      </c>
      <c r="N4" s="22">
        <v>63</v>
      </c>
      <c r="O4" s="23">
        <v>108648</v>
      </c>
      <c r="P4" s="23">
        <v>44453</v>
      </c>
      <c r="Q4" s="23">
        <v>66202</v>
      </c>
    </row>
    <row r="5" spans="2:22" x14ac:dyDescent="0.25">
      <c r="B5" t="s">
        <v>105</v>
      </c>
      <c r="C5" s="6">
        <f>SUBTOTAL(103,tbl_Fechas_Refrescado[HOJA CB])</f>
        <v>3</v>
      </c>
      <c r="D5" s="6"/>
      <c r="E5" s="6"/>
      <c r="F5" s="6"/>
      <c r="G5" s="26">
        <f>SUBTOTAL(105,tbl_Fechas_Refrescado[INICIO])</f>
        <v>43234.400671296295</v>
      </c>
      <c r="H5" s="26">
        <f>SUBTOTAL(104,tbl_Fechas_Refrescado[FIN])</f>
        <v>43234.404861111114</v>
      </c>
      <c r="I5" s="25">
        <f>SUBTOTAL(109,tbl_Fechas_Refrescado[DURACIÓN])</f>
        <v>3.3217592645087279E-3</v>
      </c>
      <c r="J5" s="25"/>
      <c r="K5" s="6">
        <f>SUBTOTAL(104,tbl_Fechas_Refrescado[DIAS PERIODO])</f>
        <v>228</v>
      </c>
      <c r="L5" s="6">
        <f>SUBTOTAL(109,tbl_Fechas_Refrescado[DUPLICADOS])</f>
        <v>0</v>
      </c>
      <c r="M5" s="6">
        <f>SUBTOTAL(109,tbl_Fechas_Refrescado[SKUs Totales])</f>
        <v>143</v>
      </c>
      <c r="N5" s="6">
        <f>SUBTOTAL(109,tbl_Fechas_Refrescado[SKUs Buffer])</f>
        <v>114</v>
      </c>
      <c r="O5" s="23">
        <f>SUBTOTAL(109,tbl_Fechas_Refrescado[COSTO BUFFER])</f>
        <v>1000338</v>
      </c>
      <c r="P5" s="23">
        <f>SUBTOTAL(109,tbl_Fechas_Refrescado[COSTO FISICO])</f>
        <v>339519</v>
      </c>
      <c r="Q5" s="23">
        <f>SUBTOTAL(109,tbl_Fechas_Refrescado[COSTO TRANSITO])</f>
        <v>275722</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131">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-1382</v>
      </c>
    </row>
    <row r="4" spans="1:3" x14ac:dyDescent="0.25">
      <c r="A4" s="1" t="s">
        <v>75</v>
      </c>
      <c r="B4" s="16">
        <v>41866</v>
      </c>
      <c r="C4" s="7">
        <f ca="1">Tabla_DIAS_RESTANTES[[#This Row],[FIN PERÍODO]]-TODAY()</f>
        <v>-1368</v>
      </c>
    </row>
    <row r="5" spans="1:3" x14ac:dyDescent="0.25">
      <c r="A5" s="1" t="s">
        <v>77</v>
      </c>
      <c r="B5" s="16">
        <v>41866</v>
      </c>
      <c r="C5" s="7">
        <f ca="1">Tabla_DIAS_RESTANTES[[#This Row],[FIN PERÍODO]]-TODAY()</f>
        <v>-1368</v>
      </c>
    </row>
    <row r="6" spans="1:3" x14ac:dyDescent="0.25">
      <c r="A6" s="1" t="s">
        <v>72</v>
      </c>
      <c r="B6" s="16">
        <v>41873</v>
      </c>
      <c r="C6" s="7">
        <f ca="1">Tabla_DIAS_RESTANTES[[#This Row],[FIN PERÍODO]]-TODAY()</f>
        <v>-1361</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261</v>
      </c>
    </row>
    <row r="4" spans="1:18" x14ac:dyDescent="0.25">
      <c r="P4" t="s">
        <v>250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43234.400231481479</v>
      </c>
    </row>
    <row r="2" spans="1:2" x14ac:dyDescent="0.25">
      <c r="A2" t="s">
        <v>66</v>
      </c>
      <c r="B2" s="17">
        <v>43234.405011574076</v>
      </c>
    </row>
    <row r="4" spans="1:2" x14ac:dyDescent="0.25">
      <c r="A4" t="s">
        <v>67</v>
      </c>
      <c r="B4" s="18">
        <f>IF((FINREFRESCADO-INICIOREFRESCADO)&gt;0,FINREFRESCADO-INICIOREFRESCADO,"")</f>
        <v>4.7800925967749208E-3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A14" sqref="A14"/>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253</v>
      </c>
      <c r="B1" t="s">
        <v>261</v>
      </c>
      <c r="C1" t="s">
        <v>250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C6" t="s">
        <v>259</v>
      </c>
    </row>
    <row r="7" spans="1:3" x14ac:dyDescent="0.25">
      <c r="A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300</v>
      </c>
    </row>
    <row r="3" spans="1:3" x14ac:dyDescent="0.25">
      <c r="A3" t="s">
        <v>0</v>
      </c>
      <c r="B3" t="s">
        <v>261</v>
      </c>
      <c r="C3" t="s">
        <v>263</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5CD7FFA-1002-4879-9253-BF7490ECE3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33</vt:i4>
      </vt:variant>
    </vt:vector>
  </HeadingPairs>
  <TitlesOfParts>
    <vt:vector size="34" baseType="lpstr">
      <vt:lpstr>CENTROCONTROL</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2018-05-15T04:04:04Z</dcterms:modified>
</cp:coreProperties>
</file>