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activeX/activeX22.xml" ContentType="application/vnd.ms-office.activeX+xml"/>
  <Override PartName="/xl/activeX/activeX22.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{13.5,376.5,TRUE,3,165,27}</definedName>
    <definedName name="_cmd_refresca_items_Range" localSheetId="0" hidden="1">{20.25,297,TRUE,3,63,54}</definedName>
    <definedName name="_cmd_Refrescar_Alertas_Range" localSheetId="0" hidden="1">{13.5,402.75,TRUE,3,165,23.25}</definedName>
    <definedName name="_cmd_Reportaje_Range" localSheetId="0" hidden="1">{45,177,TRUE,3,87.75,75.75}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{21,390.75,TRUE,3,63,93.75}</definedName>
    <definedName name="_cmdNoBorrar_Range" localSheetId="21"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{45,73.5,TRUE,3,87.75,75}</definedName>
    <definedName name="_cmdTransferenciasActivas_Range" localSheetId="0" hidden="1">{22.5,148.5,TRUE,3,111,27.75}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CENTROCONTROL!$GC$131</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CENTROCONTROL!$GB$131</definedName>
    <definedName name="version">CENTROCONTROL!$I$3</definedName>
  </definedNames>
  <calcPr calcId="152511"/>
</workbook>
</file>

<file path=xl/calcChain.xml><?xml version="1.0" encoding="utf-8"?>
<calcChain xmlns="http://schemas.openxmlformats.org/spreadsheetml/2006/main">
  <c r="T2" i="36" l="1"/>
  <c r="T3" i="36"/>
  <c r="T4" i="36"/>
  <c r="T5" i="36"/>
  <c r="S19" i="1"/>
  <c r="B19" i="1" s="1"/>
  <c r="S20" i="1"/>
  <c r="B20" i="1" s="1"/>
  <c r="Q20" i="1" l="1"/>
  <c r="O20" i="1"/>
  <c r="M20" i="1"/>
  <c r="K20" i="1"/>
  <c r="I20" i="1"/>
  <c r="G20" i="1"/>
  <c r="E20" i="1"/>
  <c r="C20" i="1"/>
  <c r="Q19" i="1"/>
  <c r="K19" i="1"/>
  <c r="R20" i="1"/>
  <c r="N20" i="1"/>
  <c r="L20" i="1"/>
  <c r="J20" i="1"/>
  <c r="H20" i="1"/>
  <c r="F20" i="1"/>
  <c r="D20" i="1"/>
  <c r="O19" i="1"/>
  <c r="M19" i="1"/>
  <c r="I19" i="1"/>
  <c r="G19" i="1"/>
  <c r="E19" i="1"/>
  <c r="C19" i="1"/>
  <c r="R19" i="1"/>
  <c r="N19" i="1"/>
  <c r="L19" i="1"/>
  <c r="J19" i="1"/>
  <c r="H19" i="1"/>
  <c r="F19" i="1"/>
  <c r="D19" i="1"/>
  <c r="C2" i="24"/>
  <c r="C3" i="24"/>
  <c r="C4" i="24"/>
  <c r="C5" i="24"/>
  <c r="C6" i="24"/>
  <c r="P19" i="1" l="1"/>
  <c r="P20" i="1"/>
  <c r="C5" i="30"/>
  <c r="G5" i="30"/>
  <c r="H5" i="30"/>
  <c r="K5" i="30"/>
  <c r="L5" i="30"/>
  <c r="M5" i="30"/>
  <c r="N5" i="30"/>
  <c r="O5" i="30"/>
  <c r="P5" i="30"/>
  <c r="Q5" i="30"/>
  <c r="I2" i="30"/>
  <c r="I3" i="30"/>
  <c r="I4" i="30"/>
  <c r="I5" i="30" l="1"/>
  <c r="A21" i="1" l="1"/>
  <c r="I21" i="1" l="1"/>
  <c r="H21" i="1"/>
  <c r="J21" i="1"/>
  <c r="L21" i="1"/>
  <c r="C21" i="1"/>
  <c r="K21" i="1"/>
  <c r="B21" i="1"/>
  <c r="P21" i="1" l="1"/>
  <c r="G21" i="1"/>
  <c r="F21" i="1"/>
  <c r="E21" i="1"/>
  <c r="D21"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<sst xmlns="http://schemas.openxmlformats.org/spreadsheetml/2006/main" count="592" uniqueCount="301">
  <si>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</si>
  <si>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</si>
  <si>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</si>
  <si>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</si>
  <si>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</si>
  <si>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</si>
  <si>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</si>
  <si>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</si>
  <si>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</si>
  <si>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</si>
  <si>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</si>
  <si>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</si>
  <si>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</si>
  <si>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</si>
  <si>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</si>
  <si>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</si>
  <si>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</si>
  <si>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</si>
  <si>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</si>
  <si>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</si>
  <si>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</si>
  <si>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</si>
  <si>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</si>
  <si>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</si>
  <si>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</si>
  <si>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</si>
  <si>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</si>
  <si>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</si>
  <si>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</si>
  <si>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</si>
  <si>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</si>
  <si>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</si>
  <si>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</si>
  <si>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</si>
  <si>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</si>
  <si>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</si>
  <si>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</si>
  <si>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</si>
  <si>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</si>
  <si>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</si>
  <si>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</si>
  <si>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</si>
  <si>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</si>
  <si>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</si>
  <si>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</si>
  <si>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</si>
  <si>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</si>
  <si>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</si>
  <si>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</si>
  <si>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</si>
  <si>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</si>
  <si>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</si>
  <si>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</si>
  <si>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</si>
  <si>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</si>
  <si>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</si>
  <si>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</si>
  <si>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</si>
  <si>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</si>
  <si>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</si>
  <si>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</si>
  <si>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</si>
  <si>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</si>
  <si>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</si>
  <si>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</si>
  <si>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</si>
  <si>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</si>
  <si>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</si>
  <si>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</si>
  <si>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</si>
  <si>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</si>
  <si>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</si>
  <si>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</si>
  <si>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</si>
  <si>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</si>
  <si>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</si>
  <si>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</si>
  <si>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</si>
  <si>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</si>
  <si>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</si>
  <si>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</si>
  <si>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</si>
  <si>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</si>
  <si>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</si>
  <si>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</si>
  <si>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</si>
  <si>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</si>
  <si>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</si>
  <si>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</si>
  <si>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</si>
  <si>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</si>
  <si>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</si>
  <si>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</si>
  <si>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</si>
  <si>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</si>
  <si>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</si>
  <si>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</si>
  <si>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</si>
  <si>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</si>
  <si>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</si>
  <si>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</si>
  <si>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</si>
  <si>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</si>
  <si>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</si>
  <si>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</si>
  <si>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</si>
  <si>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</si>
  <si>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</si>
  <si>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</si>
  <si>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</si>
  <si>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</si>
  <si>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</si>
  <si>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</si>
  <si>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</si>
  <si>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</si>
  <si>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</si>
  <si>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</si>
  <si>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</si>
  <si>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</si>
  <si>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</si>
  <si>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</si>
  <si>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</si>
  <si>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</si>
  <si>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</si>
  <si>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</si>
  <si>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</si>
  <si>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</si>
  <si>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</si>
  <si>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</si>
  <si>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</si>
  <si>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</si>
  <si>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</si>
  <si>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</si>
  <si>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</si>
  <si>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</si>
  <si>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</si>
  <si>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</si>
  <si>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</si>
  <si>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</si>
  <si>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</si>
  <si>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</si>
  <si>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</si>
  <si>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</si>
  <si>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</si>
  <si>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</si>
  <si>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</si>
  <si>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</si>
  <si>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</si>
  <si>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</si>
  <si>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</si>
  <si>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</si>
  <si>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</si>
  <si>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</si>
  <si>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</si>
  <si>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</si>
  <si>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</si>
  <si>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</si>
  <si>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</si>
  <si>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</si>
  <si>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</si>
  <si>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</si>
  <si>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</si>
  <si>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</si>
  <si>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</si>
  <si>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</si>
  <si>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</si>
  <si>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</si>
  <si>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</si>
  <si>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</si>
  <si>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</si>
  <si>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</si>
  <si>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</si>
  <si>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</si>
  <si>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</si>
  <si>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</si>
  <si>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</si>
  <si>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</si>
  <si>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</si>
  <si>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</si>
  <si>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</si>
  <si>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</si>
  <si>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</si>
  <si>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</si>
  <si>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</si>
  <si>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</si>
  <si>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</si>
  <si>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</si>
  <si>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</si>
  <si>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</si>
  <si>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</si>
  <si>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</si>
  <si>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</si>
  <si>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</si>
  <si>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</si>
  <si>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</si>
  <si>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</si>
  <si>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</si>
  <si>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</si>
  <si>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</si>
  <si>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</si>
  <si>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</si>
  <si>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</si>
  <si>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</si>
  <si>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</si>
  <si>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</si>
  <si>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</si>
  <si>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</si>
  <si>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</si>
  <si>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</si>
  <si>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</si>
  <si>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</si>
  <si>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</si>
  <si>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</si>
  <si>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</si>
  <si>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</si>
  <si>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</si>
  <si>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</si>
  <si>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</si>
  <si>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</si>
  <si>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</si>
  <si>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</si>
  <si>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</si>
  <si>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</si>
  <si>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</si>
  <si>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</si>
  <si>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</si>
  <si>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</si>
  <si>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</si>
  <si>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</si>
  <si>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</si>
  <si>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</si>
  <si>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</si>
  <si>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</si>
  <si>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</si>
  <si>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</si>
  <si>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</si>
  <si>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</si>
  <si>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</si>
  <si>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</si>
  <si>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</si>
  <si>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</si>
  <si>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</si>
  <si>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</si>
  <si>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</si>
  <si>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</si>
  <si>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</si>
  <si>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</si>
  <si>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</si>
  <si>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</si>
  <si>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</si>
  <si>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</si>
  <si>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</si>
  <si>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</si>
  <si>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</si>
  <si>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O:\Accesorios.xlsm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</si>
  <si>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</si>
  <si>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</si>
  <si>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</si>
  <si>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</si>
  <si>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</si>
  <si>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</si>
  <si>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</si>
  <si>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</si>
  <si>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</si>
  <si>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O:\CAFE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</si>
  <si>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</si>
  <si>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</si>
  <si>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</si>
  <si>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</si>
  <si>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</si>
  <si>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</si>
  <si>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</si>
  <si>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</si>
  <si>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</si>
  <si>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</si>
  <si>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</si>
  <si>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</si>
  <si>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</si>
  <si>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</si>
  <si>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</si>
  <si>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</si>
  <si>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</si>
  <si>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</si>
  <si>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</si>
  <si>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</si>
  <si>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</si>
  <si>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</si>
  <si>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</si>
  <si>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</si>
  <si>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</si>
  <si>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</si>
  <si>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</si>
  <si>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</si>
  <si>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</si>
  <si>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</si>
  <si>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</si>
  <si>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</si>
  <si>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v. 3.8.5     05/2018</t>
  </si>
  <si>
    <t>empresa_hoja</t>
  </si>
  <si>
    <t>COSTO TOTAL</t>
  </si>
  <si>
    <t>Coincidir</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</si>
</sst>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2" formatCode="_(&quot;$&quot;\ * #,##0_);_(&quot;$&quot;\ * \(#,##0\);_(&quot;$&quot;\ * &quot;-&quot;_);_(@_)"/>
    <numFmt numFmtId="164" formatCode="[$-300A]d&quot; de &quot;mmmm&quot; de &quot;yyyy;@"/>
    <numFmt numFmtId="165" formatCode="[$-F400]h:mm:ss\ AM/PM"/>
    <numFmt numFmtId="166" formatCode="hh:mm:ss;@"/>
    <numFmt numFmtId="167" formatCode="&quot;$&quot;\ #,##0.00"/>
    <numFmt numFmtId="168" formatCode="dd/mm/yyyy\ hh:mm"/>
    <numFmt numFmtId="169" formatCode="dd/mmm/yyyy"/>
    <numFmt numFmtId="170" formatCode="dd/mmm\ hh:mm"/>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
      <sz val="10"/>
      <color theme="1"/>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9">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0">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5" xfId="0" applyFont="1" applyFill="1" applyBorder="1"/>
    <xf numFmtId="0" fontId="0" fillId="5" borderId="4" xfId="0" applyFill="1" applyBorder="1"/>
    <xf numFmtId="0" fontId="0" fillId="5" borderId="0" xfId="0" applyFill="1" applyBorder="1"/>
    <xf numFmtId="0" fontId="0" fillId="5" borderId="0" xfId="0" applyFill="1"/>
    <xf numFmtId="0" fontId="11" fillId="5" borderId="0" xfId="0" applyFont="1" applyFill="1" applyBorder="1" applyAlignment="1">
      <alignment horizontal="right"/>
    </xf>
    <xf numFmtId="0" fontId="23" fillId="5" borderId="0" xfId="0" applyFont="1" applyFill="1" applyBorder="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0" fillId="5" borderId="0" xfId="0" applyFill="1" applyBorder="1" applyAlignment="1">
      <alignment vertical="center"/>
    </xf>
    <xf numFmtId="0" fontId="0" fillId="5" borderId="0" xfId="0" applyFill="1" applyBorder="1" applyAlignment="1">
      <alignment horizontal="center" vertical="center"/>
    </xf>
    <xf numFmtId="0" fontId="2" fillId="5" borderId="0" xfId="0" applyFont="1" applyFill="1" applyBorder="1" applyAlignment="1">
      <alignment horizontal="left"/>
    </xf>
    <xf numFmtId="169" fontId="24" fillId="5" borderId="0" xfId="0" applyNumberFormat="1" applyFont="1" applyFill="1" applyBorder="1" applyAlignment="1" applyProtection="1">
      <alignment vertical="center"/>
    </xf>
    <xf numFmtId="166" fontId="24" fillId="5" borderId="0" xfId="0" applyNumberFormat="1" applyFont="1" applyFill="1" applyBorder="1" applyAlignment="1" applyProtection="1">
      <alignment vertical="center"/>
      <protection locked="0"/>
    </xf>
    <xf numFmtId="0" fontId="5" fillId="5" borderId="0" xfId="0" applyFont="1" applyFill="1" applyBorder="1"/>
    <xf numFmtId="169" fontId="24" fillId="5" borderId="0" xfId="0" applyNumberFormat="1" applyFont="1" applyFill="1" applyBorder="1" applyAlignment="1">
      <alignment vertical="center"/>
    </xf>
    <xf numFmtId="0" fontId="14" fillId="5" borderId="6" xfId="0" applyFont="1" applyFill="1" applyBorder="1" applyAlignment="1">
      <alignment horizontal="centerContinuous"/>
    </xf>
    <xf numFmtId="0" fontId="0" fillId="5" borderId="7" xfId="0" applyFill="1" applyBorder="1" applyAlignment="1">
      <alignment horizontal="center"/>
    </xf>
    <xf numFmtId="0" fontId="7" fillId="5" borderId="8" xfId="0" applyFont="1" applyFill="1" applyBorder="1"/>
    <xf numFmtId="0" fontId="6" fillId="5" borderId="2" xfId="0" applyFont="1" applyFill="1" applyBorder="1"/>
    <xf numFmtId="0" fontId="7" fillId="5" borderId="3" xfId="0" applyFont="1" applyFill="1" applyBorder="1"/>
    <xf numFmtId="0" fontId="6" fillId="5" borderId="1" xfId="0" applyFont="1" applyFill="1" applyBorder="1"/>
    <xf numFmtId="0" fontId="0" fillId="5" borderId="3" xfId="0" applyFill="1" applyBorder="1"/>
    <xf numFmtId="0" fontId="0" fillId="5" borderId="1" xfId="0" applyFill="1" applyBorder="1"/>
    <xf numFmtId="0" fontId="0" fillId="5" borderId="0" xfId="0" applyFont="1" applyFill="1" applyBorder="1"/>
    <xf numFmtId="0" fontId="14" fillId="5" borderId="6" xfId="0" applyFont="1" applyFill="1" applyBorder="1"/>
    <xf numFmtId="166" fontId="0" fillId="5" borderId="0" xfId="0" applyNumberFormat="1" applyFill="1" applyBorder="1" applyProtection="1">
      <protection locked="0"/>
    </xf>
    <xf numFmtId="0" fontId="14" fillId="5" borderId="0"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42" fontId="0" fillId="5" borderId="0" xfId="0" applyNumberFormat="1" applyFill="1"/>
    <xf numFmtId="1" fontId="0" fillId="5" borderId="0" xfId="0" applyNumberFormat="1" applyFill="1" applyAlignment="1">
      <alignment horizontal="center"/>
    </xf>
    <xf numFmtId="0" fontId="0" fillId="5" borderId="0" xfId="0" applyNumberFormat="1" applyFill="1" applyAlignment="1">
      <alignment horizontal="center"/>
    </xf>
    <xf numFmtId="170" fontId="0" fillId="5" borderId="0" xfId="0" applyNumberFormat="1" applyFill="1" applyAlignment="1">
      <alignment horizontal="center"/>
    </xf>
    <xf numFmtId="166" fontId="0" fillId="5" borderId="0" xfId="0" applyNumberFormat="1" applyFill="1" applyAlignment="1">
      <alignment horizontal="center"/>
    </xf>
    <xf numFmtId="0" fontId="0" fillId="5" borderId="0" xfId="0" applyNumberFormat="1" applyFill="1"/>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cellXfs>
  <cellStyles count="3">
    <cellStyle name="Normal" xfId="0" builtinId="0"/>
    <cellStyle name="Normal 2" xfId="1"/>
    <cellStyle name="Título" xfId="2" builtinId="15"/>
  </cellStyles>
  <dxfs count="126">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66" formatCode="hh:mm:ss;@"/>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66" formatCode="hh:mm:ss;@"/>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0" formatCode="General"/>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1" formatCode="0"/>
      <fill>
        <patternFill patternType="solid">
          <fgColor indexed="64"/>
          <bgColor theme="4" tint="0.79998168889431442"/>
        </patternFill>
      </fill>
      <alignment horizontal="center" vertical="bottom" textRotation="0" wrapText="0" indent="0" justifyLastLine="0" shrinkToFit="0" readingOrder="0"/>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numFmt numFmtId="32" formatCode="_(&quot;$&quot;\ * #,##0_);_(&quot;$&quot;\ * \(#,##0\);_(&quot;$&quot;\ * &quot;-&quot;_);_(@_)"/>
      <fill>
        <patternFill patternType="solid">
          <fgColor indexed="64"/>
          <bgColor theme="4" tint="0.79998168889431442"/>
        </patternFill>
      </fill>
    </dxf>
    <dxf>
      <font>
        <b/>
      </font>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0099FF"/>
      <color rgb="FFCCFFCC"/>
      <color rgb="FFCDCEFF"/>
      <color rgb="FFFF5050"/>
      <color rgb="FFECF1F8"/>
      <color rgb="FF800080"/>
      <color rgb="FFAFC2FF"/>
      <color rgb="FF8FAAFF"/>
      <color rgb="FF99CCFF"/>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3.emf"/></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3" Type="http://schemas.openxmlformats.org/officeDocument/2006/relationships/image" Target="../media/image7.emf"/><Relationship Id="rId7" Type="http://schemas.openxmlformats.org/officeDocument/2006/relationships/image" Target="../media/image8.emf"/><Relationship Id="rId12"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2.emf"/><Relationship Id="rId11" Type="http://schemas.openxmlformats.org/officeDocument/2006/relationships/image" Target="../media/image12.emf"/><Relationship Id="rId5" Type="http://schemas.openxmlformats.org/officeDocument/2006/relationships/image" Target="../media/image3.emf"/><Relationship Id="rId10" Type="http://schemas.openxmlformats.org/officeDocument/2006/relationships/image" Target="../media/image11.emf"/><Relationship Id="rId4" Type="http://schemas.openxmlformats.org/officeDocument/2006/relationships/image" Target="../media/image4.emf"/><Relationship Id="rId9"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738188</xdr:colOff>
      <xdr:row>1</xdr:row>
      <xdr:rowOff>178594</xdr:rowOff>
    </xdr:to>
    <xdr:sp macro="[0]!Devuelve_Controles_Varias_Hojas_2" textlink="">
      <xdr:nvSpPr>
        <xdr:cNvPr id="2" name="rect_Titulo"/>
        <xdr:cNvSpPr/>
      </xdr:nvSpPr>
      <xdr:spPr>
        <a:xfrm>
          <a:off x="23812" y="10583"/>
          <a:ext cx="8870157"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28575</xdr:rowOff>
        </xdr:from>
        <xdr:to>
          <xdr:col>0</xdr:col>
          <xdr:colOff>1270000</xdr:colOff>
          <xdr:row>4</xdr:row>
          <xdr:rowOff>282575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47625</xdr:rowOff>
        </xdr:from>
        <xdr:to>
          <xdr:col>0</xdr:col>
          <xdr:colOff>904875</xdr:colOff>
          <xdr:row>8</xdr:row>
          <xdr:rowOff>19050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933450</xdr:colOff>
          <xdr:row>5</xdr:row>
          <xdr:rowOff>47625</xdr:rowOff>
        </xdr:from>
        <xdr:to>
          <xdr:col>0</xdr:col>
          <xdr:colOff>1885950</xdr:colOff>
          <xdr:row>8</xdr:row>
          <xdr:rowOff>19050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171450</xdr:colOff>
          <xdr:row>4</xdr:row>
          <xdr:rowOff>28575</xdr:rowOff>
        </xdr:from>
        <xdr:to>
          <xdr:col>5</xdr:col>
          <xdr:colOff>514350</xdr:colOff>
          <xdr:row>5</xdr:row>
          <xdr:rowOff>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676275</xdr:colOff>
          <xdr:row>4</xdr:row>
          <xdr:rowOff>28575</xdr:rowOff>
        </xdr:from>
        <xdr:to>
          <xdr:col>3</xdr:col>
          <xdr:colOff>514350</xdr:colOff>
          <xdr:row>4</xdr:row>
          <xdr:rowOff>285750</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323850</xdr:colOff>
          <xdr:row>10</xdr:row>
          <xdr:rowOff>47625</xdr:rowOff>
        </xdr:from>
        <xdr:to>
          <xdr:col>4</xdr:col>
          <xdr:colOff>619125</xdr:colOff>
          <xdr:row>11</xdr:row>
          <xdr:rowOff>28575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838200</xdr:colOff>
          <xdr:row>10</xdr:row>
          <xdr:rowOff>47625</xdr:rowOff>
        </xdr:from>
        <xdr:to>
          <xdr:col>4</xdr:col>
          <xdr:colOff>333375</xdr:colOff>
          <xdr:row>11</xdr:row>
          <xdr:rowOff>28575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723899</xdr:colOff>
          <xdr:row>3</xdr:row>
          <xdr:rowOff>0</xdr:rowOff>
        </xdr:from>
        <xdr:to>
          <xdr:col>13</xdr:col>
          <xdr:colOff>476249</xdr:colOff>
          <xdr:row>12</xdr:row>
          <xdr:rowOff>38100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762000</xdr:colOff>
          <xdr:row>4</xdr:row>
          <xdr:rowOff>28575</xdr:rowOff>
        </xdr:from>
        <xdr:to>
          <xdr:col>2</xdr:col>
          <xdr:colOff>590550</xdr:colOff>
          <xdr:row>4</xdr:row>
          <xdr:rowOff>285750</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1893093</xdr:colOff>
          <xdr:row>3</xdr:row>
          <xdr:rowOff>178593</xdr:rowOff>
        </xdr:to>
        <xdr:pic macro="[0]!Guarda_Controles_Varias_Hojas">
          <xdr:nvPicPr>
            <xdr:cNvPr id="28" name="fotUsuario"/>
            <xdr:cNvPicPr>
              <a:picLocks noChangeAspect="1" noChangeArrowheads="1"/>
              <a:extLst>
                <a:ext uri="{84589F7E-364E-4C9E-8A38-B11213B215E9}">
                  <a14:cameraTool cellRange="USUARIO" spid="_x0000_s170556"/>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5</xdr:row>
          <xdr:rowOff>47625</xdr:rowOff>
        </xdr:from>
        <xdr:to>
          <xdr:col>2</xdr:col>
          <xdr:colOff>114300</xdr:colOff>
          <xdr:row>8</xdr:row>
          <xdr:rowOff>19050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5</xdr:row>
          <xdr:rowOff>47625</xdr:rowOff>
        </xdr:from>
        <xdr:to>
          <xdr:col>0</xdr:col>
          <xdr:colOff>2238375</xdr:colOff>
          <xdr:row>6</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6</xdr:row>
          <xdr:rowOff>123825</xdr:rowOff>
        </xdr:from>
        <xdr:to>
          <xdr:col>0</xdr:col>
          <xdr:colOff>2238375</xdr:colOff>
          <xdr:row>8</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5</xdr:row>
          <xdr:rowOff>57150</xdr:rowOff>
        </xdr:from>
        <xdr:to>
          <xdr:col>3</xdr:col>
          <xdr:colOff>171450</xdr:colOff>
          <xdr:row>8</xdr:row>
          <xdr:rowOff>9525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657225</xdr:colOff>
          <xdr:row>5</xdr:row>
          <xdr:rowOff>47625</xdr:rowOff>
        </xdr:from>
        <xdr:to>
          <xdr:col>5</xdr:col>
          <xdr:colOff>504825</xdr:colOff>
          <xdr:row>6</xdr:row>
          <xdr:rowOff>133350</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962025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1331119</xdr:colOff>
      <xdr:row>4</xdr:row>
      <xdr:rowOff>43921</xdr:rowOff>
    </xdr:from>
    <xdr:to>
      <xdr:col>1</xdr:col>
      <xdr:colOff>664838</xdr:colOff>
      <xdr:row>4</xdr:row>
      <xdr:rowOff>259921</xdr:rowOff>
    </xdr:to>
    <xdr:sp macro="[0]!Abre_Formulario_Refrescado_Global" textlink="">
      <xdr:nvSpPr>
        <xdr:cNvPr id="32" name="rect_Refrescar"/>
        <xdr:cNvSpPr/>
      </xdr:nvSpPr>
      <xdr:spPr>
        <a:xfrm>
          <a:off x="1331119" y="817827"/>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xdr:from>
          <xdr:col>0</xdr:col>
          <xdr:colOff>1323975</xdr:colOff>
          <xdr:row>14</xdr:row>
          <xdr:rowOff>142875</xdr:rowOff>
        </xdr:from>
        <xdr:to>
          <xdr:col>1</xdr:col>
          <xdr:colOff>457200</xdr:colOff>
          <xdr:row>16</xdr:row>
          <xdr:rowOff>104775</xdr:rowOff>
        </xdr:to>
        <xdr:sp macro="" textlink="">
          <xdr:nvSpPr>
            <xdr:cNvPr id="170502" name="Button 3590" hidden="1">
              <a:extLst>
                <a:ext uri="{63B3BB69-23CF-44E3-9099-C40C66FF867C}">
                  <a14:compatExt spid="_x0000_s1705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Botón 3590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7" spid="_x0000_s198669"/>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8:S21" totalsRowCount="1" headerRowDxfId="125" dataDxfId="124" totalsRowDxfId="123">
  <autoFilter ref="A18:S19"/>
  <tableColumns count="19">
    <tableColumn id="1" name="HOJAS" totalsRowFunction="custom" dataDxfId="122" totalsRowDxfId="45">
      <totalsRowFormula>"Total Hojas:  "&amp;SUBTOTAL(103,tbl_HojasCB[HOJAS])</totalsRowFormula>
    </tableColumn>
    <tableColumn id="4" name="COSTO BUFFER" totalsRowFunction="sum" dataDxfId="121" totalsRowDxfId="44">
      <calculatedColumnFormula>IFERROR(INDEX(tbl_hojascb_estado_hoy[costo_buffer],tbl_HojasCB[[#This Row],[Coincidir]]),"")</calculatedColumnFormula>
    </tableColumn>
    <tableColumn id="5" name="COSTO FÍSICO" totalsRowFunction="sum" dataDxfId="120" totalsRowDxfId="43">
      <calculatedColumnFormula>IFERROR(INDEX(tbl_hojascb_estado_hoy[costo_fisico],tbl_HojasCB[[#This Row],[Coincidir]]),"")</calculatedColumnFormula>
    </tableColumn>
    <tableColumn id="6" name="COSTO TRÁNSITO" totalsRowFunction="sum" dataDxfId="119" totalsRowDxfId="42">
      <calculatedColumnFormula>IFERROR(INDEX(tbl_hojascb_estado_hoy[costo_transito],tbl_HojasCB[[#This Row],[Coincidir]]),"")</calculatedColumnFormula>
    </tableColumn>
    <tableColumn id="12" name="COSTO COMPROM" totalsRowFunction="sum" dataDxfId="118" totalsRowDxfId="41">
      <calculatedColumnFormula>IFERROR(INDEX(tbl_hojascb_estado_hoy[costo_comprometido],tbl_HojasCB[[#This Row],[Coincidir]]),"")</calculatedColumnFormula>
    </tableColumn>
    <tableColumn id="13" name="COSTO BACKORDER" totalsRowFunction="sum" dataDxfId="117" totalsRowDxfId="40">
      <calculatedColumnFormula>IFERROR(INDEX(tbl_hojascb_estado_hoy[costo_backorder],tbl_HojasCB[[#This Row],[Coincidir]]),"")</calculatedColumnFormula>
    </tableColumn>
    <tableColumn id="7" name="COSTO PROYECTADO" totalsRowFunction="sum" dataDxfId="116" totalsRowDxfId="39">
      <calculatedColumnFormula>IFERROR(INDEX(tbl_hojascb_estado_hoy[costo_proyectado],tbl_HojasCB[[#This Row],[Coincidir]]),"")</calculatedColumnFormula>
    </tableColumn>
    <tableColumn id="9" name="COSTO TOTAL" totalsRowFunction="sum" dataDxfId="115" totalsRowDxfId="38">
      <calculatedColumnFormula>IFERROR(INDEX(tbl_hojascb_estado_hoy[costo_total],tbl_HojasCB[[#This Row],[Coincidir]]),"")</calculatedColumnFormula>
    </tableColumn>
    <tableColumn id="2" name="ÍTEMS TOTALES" totalsRowFunction="sum" dataDxfId="114" totalsRowDxfId="37">
      <calculatedColumnFormula>IFERROR(INDEX(tbl_hojascb_estado_hoy[sku_totales],tbl_HojasCB[[#This Row],[Coincidir]]),"")</calculatedColumnFormula>
    </tableColumn>
    <tableColumn id="3" name="ÍTEMS CON BUFFER" totalsRowFunction="sum" dataDxfId="113" totalsRowDxfId="36">
      <calculatedColumnFormula>IFERROR(INDEX(tbl_hojascb_estado_hoy[sku_buffer],tbl_HojasCB[[#This Row],[Coincidir]]),"")</calculatedColumnFormula>
    </tableColumn>
    <tableColumn id="11" name="DÍAS PERÍODO" totalsRowFunction="sum" dataDxfId="112" totalsRowDxfId="35">
      <calculatedColumnFormula>IFERROR(INDEX(tbl_hojascb_estado_hoy[dias_periodo],tbl_HojasCB[[#This Row],[Coincidir]]),"")</calculatedColumnFormula>
    </tableColumn>
    <tableColumn id="10" name="DUPLICADOS" totalsRowFunction="sum" dataDxfId="111" totalsRowDxfId="34">
      <calculatedColumnFormula>IFERROR(INDEX(tbl_hojascb_estado_hoy[duplicados],tbl_HojasCB[[#This Row],[Coincidir]]),"")</calculatedColumnFormula>
    </tableColumn>
    <tableColumn id="8" name="REFRESCADA" dataDxfId="110" totalsRowDxfId="33">
      <calculatedColumnFormula>IFERROR(INDEX(tbl_hojascb_estado_hoy[refrescada],tbl_HojasCB[[#This Row],[Coincidir]]),"")&amp;" - "&amp;IFERROR(INDEX(tbl_hojascb_estado_hoy[base_datos],tbl_HojasCB[[#This Row],[Coincidir]]),"")</calculatedColumnFormula>
    </tableColumn>
    <tableColumn id="15" name="REFRESCADO_INI" dataDxfId="109" totalsRowDxfId="32">
      <calculatedColumnFormula>IFERROR(INDEX(tbl_hojascb_estado_hoy[inicio_refrescado],tbl_HojasCB[[#This Row],[Coincidir]]),"")</calculatedColumnFormula>
    </tableColumn>
    <tableColumn id="16" name="REFRESCADO_FIN" dataDxfId="108" totalsRowDxfId="31">
      <calculatedColumnFormula>IFERROR(INDEX(tbl_hojascb_estado_hoy[fin_refrescado],tbl_HojasCB[[#This Row],[Coincidir]]),"")</calculatedColumnFormula>
    </tableColumn>
    <tableColumn id="17" name="DURACIÓN" totalsRowFunction="sum" dataDxfId="107" totalsRowDxfId="30">
      <calculatedColumnFormula>IFERROR(tbl_HojasCB[[#This Row],[REFRESCADO_FIN]]-tbl_HojasCB[[#This Row],[REFRESCADO_INI]],"")</calculatedColumnFormula>
    </tableColumn>
    <tableColumn id="14" name="GUARDADO" dataDxfId="106" totalsRowDxfId="29">
      <calculatedColumnFormula>IFERROR(INDEX(tbl_hojascb_estado_hoy[guardado],tbl_HojasCB[[#This Row],[Coincidir]]),"")</calculatedColumnFormula>
    </tableColumn>
    <tableColumn id="18" name="RAZÓN" dataDxfId="105" totalsRowDxfId="28">
      <calculatedColumnFormula>IF(IFERROR(INDEX(tbl_hojascb_estado_hoy[razon],tbl_HojasCB[[#This Row],[Coincidir]]),"")=0,"",IFERROR(INDEX(tbl_hojascb_estado_hoy[razon],tbl_HojasCB[[#This Row],[Coincidir]]),""))</calculatedColumnFormula>
    </tableColumn>
    <tableColumn id="19" name="Coincidir" dataDxfId="104" totalsRowDxfId="27">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5" totalsRowShown="0">
  <autoFilter ref="A1:T5"/>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3">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2">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101">
  <autoFilter ref="B1:Q4"/>
  <sortState ref="B2:Q4">
    <sortCondition descending="1" ref="H1:H4"/>
  </sortState>
  <tableColumns count="16">
    <tableColumn id="1" name="EMPRESA" totalsRowLabel="Total"/>
    <tableColumn id="2" name="HOJA CB" totalsRowFunction="count" totalsRowDxfId="100"/>
    <tableColumn id="3" name="REFRESCADO" dataDxfId="99" totalsRowDxfId="98"/>
    <tableColumn id="14" name="TIPO" dataDxfId="97" totalsRowDxfId="96"/>
    <tableColumn id="16" name="BASE DATOS" dataDxfId="95" totalsRowDxfId="94"/>
    <tableColumn id="4" name="INICIO" totalsRowFunction="min" dataDxfId="93" totalsRowDxfId="92"/>
    <tableColumn id="7" name="FIN" totalsRowFunction="max" dataDxfId="91" totalsRowDxfId="90"/>
    <tableColumn id="5" name="DURACIÓN" totalsRowFunction="sum" dataDxfId="89" totalsRowDxfId="88">
      <calculatedColumnFormula>tbl_Fechas_Refrescado[[#This Row],[FIN]]-tbl_Fechas_Refrescado[[#This Row],[INICIO]]</calculatedColumnFormula>
    </tableColumn>
    <tableColumn id="15" name="RAZÓN" dataDxfId="87" totalsRowDxfId="86"/>
    <tableColumn id="6" name="DIAS PERIODO" totalsRowFunction="max" dataDxfId="85" totalsRowDxfId="84"/>
    <tableColumn id="13" name="DUPLICADOS" totalsRowFunction="sum" dataDxfId="83" totalsRowDxfId="82"/>
    <tableColumn id="8" name="SKUs Totales" totalsRowFunction="sum" dataDxfId="81" totalsRowDxfId="80"/>
    <tableColumn id="9" name="SKUs Buffer" totalsRowFunction="sum" dataDxfId="79" totalsRowDxfId="78"/>
    <tableColumn id="10" name="COSTO BUFFER" totalsRowFunction="sum" dataDxfId="77" totalsRowDxfId="76"/>
    <tableColumn id="11" name="COSTO FISICO" totalsRowFunction="sum" dataDxfId="75" totalsRowDxfId="74"/>
    <tableColumn id="12" name="COSTO TRANSITO" totalsRowFunction="sum" dataDxfId="73" totalsRowDxfId="72"/>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1"/>
    <tableColumn id="5" name="EMPRESA"/>
    <tableColumn id="2" name="DIRECTORIO"/>
    <tableColumn id="3" name="ARCHIVO"/>
    <tableColumn id="4" name="PATH" dataDxfId="70">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9"/>
    <tableColumn id="5" name="EMPRESA"/>
    <tableColumn id="6" name="BODEGA"/>
    <tableColumn id="4" name="PATH" dataDxfId="68"/>
    <tableColumn id="2" name="ARCHIVO" dataDxfId="67">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6" dataDxfId="65">
  <autoFilter ref="B1:F2"/>
  <tableColumns count="5">
    <tableColumn id="5" name="PERFIL" dataDxfId="64"/>
    <tableColumn id="1" name="FREC REP" dataDxfId="63"/>
    <tableColumn id="2" name="TIEMP SUMINIS" dataDxfId="62"/>
    <tableColumn id="3" name="HORIZONTE" dataDxfId="61"/>
    <tableColumn id="4" name="T NIV SER (DIAS)" dataDxfId="60"/>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9"/>
    <tableColumn id="3" name="RESTAN" dataDxfId="58">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57">
  <autoFilter ref="A2:D3"/>
  <tableColumns count="4">
    <tableColumn id="2" name="HOJA CB" totalsRowLabel="TOTALES" totalsRowDxfId="56"/>
    <tableColumn id="3" name="TODOS ITEMS" totalsRowFunction="sum" dataDxfId="55" totalsRowDxfId="54"/>
    <tableColumn id="4" name="ITEMS CON BUFFER" totalsRowFunction="sum" dataDxfId="53" totalsRowDxfId="52"/>
    <tableColumn id="1" name="% ITEMS CON BUFFER" totalsRowFunction="average" dataDxfId="51" totalsRowDxfId="50">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9"/>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8"/>
    <tableColumn id="7" uniqueName="7" name="PATH" queryTableFieldId="7" dataDxfId="47"/>
    <tableColumn id="5" uniqueName="5" name="COMPLETO" queryTableFieldId="5" dataDxfId="46">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2" name="CAFE MATERIA PRIMA.xlsm"/>
    <tableColumn id="3" name="Maquinas ECHO - SHINDAIWA.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table" Target="../tables/table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trlProp" Target="../ctrlProps/ctrlProp3.xml"/><Relationship Id="rId8"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7.emf"/><Relationship Id="rId4" Type="http://schemas.openxmlformats.org/officeDocument/2006/relationships/control" Target="../activeX/activeX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19.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5.xml"/><Relationship Id="rId5" Type="http://schemas.openxmlformats.org/officeDocument/2006/relationships/image" Target="../media/image18.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0.emf"/><Relationship Id="rId4" Type="http://schemas.openxmlformats.org/officeDocument/2006/relationships/control" Target="../activeX/activeX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1.emf"/><Relationship Id="rId4" Type="http://schemas.openxmlformats.org/officeDocument/2006/relationships/control" Target="../activeX/activeX1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3.emf"/><Relationship Id="rId5" Type="http://schemas.openxmlformats.org/officeDocument/2006/relationships/control" Target="../activeX/activeX19.xml"/><Relationship Id="rId4" Type="http://schemas.openxmlformats.org/officeDocument/2006/relationships/image" Target="../media/image22.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21.xml"/><Relationship Id="rId5" Type="http://schemas.openxmlformats.org/officeDocument/2006/relationships/image" Target="../media/image24.emf"/><Relationship Id="rId4" Type="http://schemas.openxmlformats.org/officeDocument/2006/relationships/control" Target="../activeX/activeX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table" Target="../tables/table21.xml"/><Relationship Id="rId5" Type="http://schemas.openxmlformats.org/officeDocument/2006/relationships/image" Target="../media/image26.emf"/><Relationship Id="rId4" Type="http://schemas.openxmlformats.org/officeDocument/2006/relationships/control" Target="../activeX/activeX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31"/>
  <sheetViews>
    <sheetView showGridLines="0" tabSelected="1" zoomScale="80" zoomScaleNormal="80" workbookViewId="0">
      <selection activeCell="R35" sqref="R35"/>
    </sheetView>
  </sheetViews>
  <sheetFormatPr baseColWidth="10" defaultColWidth="11.42578125" defaultRowHeight="15" x14ac:dyDescent="0.25"/>
  <cols>
    <col min="1" max="1" width="33.7109375" style="33" customWidth="1"/>
    <col min="2" max="7" width="12.7109375" style="33" customWidth="1"/>
    <col min="8" max="8" width="12.42578125" style="33" customWidth="1"/>
    <col min="9" max="13" width="11.7109375" style="33" customWidth="1"/>
    <col min="14" max="15" width="13.7109375" style="33" customWidth="1"/>
    <col min="16" max="16" width="13.140625" style="33" customWidth="1"/>
    <col min="17" max="17" width="13.85546875" style="33" customWidth="1"/>
    <col min="18" max="18" width="29.85546875" style="33" customWidth="1"/>
    <col min="19" max="19" width="13.42578125" style="33" hidden="1" customWidth="1"/>
    <col min="20" max="183" width="11.42578125" style="33"/>
    <col min="184" max="184" width="21.85546875" style="33" customWidth="1"/>
    <col min="185" max="16384" width="11.42578125" style="33"/>
  </cols>
  <sheetData>
    <row r="1" spans="1:15" x14ac:dyDescent="0.25">
      <c r="A1" s="30"/>
      <c r="B1" s="31"/>
      <c r="C1" s="31"/>
      <c r="D1" s="31"/>
      <c r="E1" s="31"/>
      <c r="F1" s="31"/>
      <c r="G1" s="32"/>
      <c r="H1" s="32"/>
      <c r="I1" s="32"/>
    </row>
    <row r="2" spans="1:15" x14ac:dyDescent="0.25">
      <c r="A2" s="32"/>
      <c r="B2" s="32"/>
      <c r="C2" s="32"/>
      <c r="D2" s="32"/>
      <c r="E2" s="32"/>
      <c r="F2" s="32"/>
      <c r="G2" s="32"/>
      <c r="H2" s="32"/>
      <c r="I2" s="32"/>
      <c r="J2" s="32"/>
      <c r="K2" s="32"/>
    </row>
    <row r="3" spans="1:15" x14ac:dyDescent="0.25">
      <c r="A3" s="32"/>
      <c r="B3" s="32"/>
      <c r="C3" s="32"/>
      <c r="D3" s="32"/>
      <c r="E3" s="32"/>
      <c r="F3" s="32"/>
      <c r="G3" s="32"/>
      <c r="H3" s="32"/>
      <c r="I3" s="34" t="s">
        <v>297</v>
      </c>
      <c r="J3" s="32"/>
      <c r="K3" s="32"/>
    </row>
    <row r="4" spans="1:15" ht="15.75" customHeight="1" x14ac:dyDescent="0.3">
      <c r="A4" s="32"/>
      <c r="B4" s="35" t="s">
        <v>180</v>
      </c>
      <c r="C4" s="36"/>
      <c r="D4" s="36"/>
      <c r="E4" s="36"/>
      <c r="F4" s="36"/>
      <c r="G4" s="36"/>
      <c r="H4" s="36"/>
      <c r="I4" s="36"/>
      <c r="J4" s="32"/>
      <c r="K4" s="32"/>
      <c r="O4" s="37"/>
    </row>
    <row r="5" spans="1:15" ht="23.25" x14ac:dyDescent="0.35">
      <c r="A5" s="38"/>
      <c r="B5" s="39"/>
      <c r="C5" s="39"/>
      <c r="D5" s="39"/>
      <c r="E5" s="39"/>
      <c r="F5" s="39"/>
      <c r="G5" s="40" t="s">
        <v>60</v>
      </c>
      <c r="H5" s="40"/>
      <c r="I5" s="41" t="str">
        <f ca="1">IF(AND(ESTADOREFRESCADO="Completo",AlertaHojasCB="",$A$14=""),"Completo",IF(OR(AlertaHojasCB&lt;&gt;"",ESTADOREFRESCADO&lt;&gt;"Completo",$A$14&lt;&gt;""),"Incompleto",0))</f>
        <v>Completo</v>
      </c>
    </row>
    <row r="6" spans="1:15" ht="17.25" x14ac:dyDescent="0.3">
      <c r="A6" s="42"/>
      <c r="B6" s="32"/>
      <c r="C6" s="32"/>
      <c r="D6" s="32"/>
      <c r="E6" s="32"/>
      <c r="F6" s="32"/>
      <c r="G6" s="32" t="s">
        <v>61</v>
      </c>
      <c r="H6" s="32"/>
      <c r="I6" s="43">
        <v>43234</v>
      </c>
    </row>
    <row r="7" spans="1:15" x14ac:dyDescent="0.25">
      <c r="A7" s="32"/>
      <c r="B7" s="32"/>
      <c r="C7" s="32"/>
      <c r="D7" s="32"/>
      <c r="E7" s="32"/>
      <c r="F7" s="32"/>
      <c r="G7" s="32" t="s">
        <v>67</v>
      </c>
      <c r="H7" s="32"/>
      <c r="I7" s="44">
        <f>DURACIONREFRESCADO</f>
        <v>4.7800925967749208E-3</v>
      </c>
    </row>
    <row r="8" spans="1:15" x14ac:dyDescent="0.25">
      <c r="A8" s="32"/>
      <c r="B8" s="32"/>
      <c r="C8" s="32"/>
      <c r="D8" s="32"/>
      <c r="E8" s="45"/>
      <c r="F8" s="32"/>
      <c r="G8" s="32" t="s">
        <v>62</v>
      </c>
      <c r="H8" s="32"/>
      <c r="I8" s="46">
        <v>43234</v>
      </c>
    </row>
    <row r="9" spans="1:15" ht="15" customHeight="1" x14ac:dyDescent="0.25">
      <c r="A9" s="47" t="s">
        <v>88</v>
      </c>
      <c r="B9" s="48"/>
      <c r="C9" s="39"/>
      <c r="D9" s="49" t="str">
        <f ca="1">HYPERLINK("["&amp;LEFT(CELL("filename",A1),FIND("[",CELL("filename",A1))-2)&amp;"\CONTROL DE BUFFERS\ARCHIVO\ARCHIVO.xlsm]","Archivo")</f>
        <v>Archivo</v>
      </c>
      <c r="E9" s="50" t="str">
        <f ca="1">HYPERLINK(LEFT(CELL("filename",A1),FIND("[",CELL("filename",A1))-2)&amp;"\CONTROL DE BUFFERS\ARCHIVO\","dir")</f>
        <v>dir</v>
      </c>
      <c r="F9" s="32"/>
      <c r="G9" s="32" t="s">
        <v>63</v>
      </c>
      <c r="H9" s="32"/>
      <c r="I9" s="46">
        <v>43234</v>
      </c>
    </row>
    <row r="10" spans="1:15" ht="15" customHeight="1" x14ac:dyDescent="0.25">
      <c r="A10" s="51" t="str">
        <f>HYPERLINK("[O:\COMPROMETIDOS Y BACKORDERS\COMPROMETIDOS Y BACKORDERS.xlsm]Comprometidos!a1","Comprometidos")</f>
        <v>Comprometidos</v>
      </c>
      <c r="B10" s="52" t="str">
        <f>HYPERLINK("O:\COMPROMETIDOS Y BACKORDERS\","dir")</f>
        <v>dir</v>
      </c>
      <c r="C10" s="32"/>
      <c r="D10" s="51" t="str">
        <f ca="1">HYPERLINK("["&amp;LEFT(CELL("filename",L3),FIND("[",CELL("filename",L3))-2)&amp;"\CONTROL DE BUFFERS\SIMULADOR\Simulacion RAM CAS.xlsm]","SIMULADOR BUFFERS")</f>
        <v>SIMULADOR BUFFERS</v>
      </c>
      <c r="E10" s="52"/>
      <c r="F10" s="32"/>
      <c r="G10" s="32" t="s">
        <v>64</v>
      </c>
      <c r="H10" s="32"/>
      <c r="I10" s="46">
        <v>43234</v>
      </c>
    </row>
    <row r="11" spans="1:15" ht="15" customHeight="1" x14ac:dyDescent="0.25">
      <c r="A11" s="51" t="str">
        <f>HYPERLINK("[O:\COMPROMETIDOS Y BACKORDERS\COMPROMETIDOS Y BACKORDERS.xlsm]Backorders!a1","Backorders")</f>
        <v>Backorders</v>
      </c>
      <c r="B11" s="52" t="str">
        <f>HYPERLINK("O:\COMPROMETIDOS Y BACKORDERS\","dir")</f>
        <v>dir</v>
      </c>
      <c r="C11" s="32"/>
      <c r="D11" s="53" t="str">
        <f>IFERROR(IF(COUNTA(Alertas!$A$1)&gt;0,"HAY ALERTAS","NO HAY ALERTAS"),"NO HAY ALERTAS")</f>
        <v>HAY ALERTAS</v>
      </c>
      <c r="E11" s="54"/>
      <c r="F11" s="32"/>
      <c r="G11" s="32" t="s">
        <v>73</v>
      </c>
      <c r="H11" s="55"/>
      <c r="I11" s="46" t="s">
        <v>109</v>
      </c>
    </row>
    <row r="12" spans="1:15" ht="15" customHeight="1" x14ac:dyDescent="0.25">
      <c r="A12" s="56"/>
      <c r="B12" s="32"/>
      <c r="C12" s="32"/>
      <c r="D12" s="51" t="str">
        <f ca="1">HYPERLINK("["&amp;LEFT(CELL("filename",A1),FIND("[",CELL("filename",A1))-2)&amp;"\CONTROL DE BUFFERS\PLANTILLAS\Plantilla Copiado Pegado.xlsx]","Copiado y Pegado")</f>
        <v>Copiado y Pegado</v>
      </c>
      <c r="E12" s="52"/>
      <c r="F12" s="32"/>
      <c r="G12" s="32" t="s">
        <v>74</v>
      </c>
      <c r="H12" s="32"/>
      <c r="I12" s="46">
        <v>43229</v>
      </c>
    </row>
    <row r="13" spans="1:15" ht="15" customHeight="1" x14ac:dyDescent="0.25">
      <c r="A13" s="56"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2"/>
      <c r="C13" s="32"/>
      <c r="D13" s="32"/>
      <c r="E13" s="32"/>
      <c r="F13" s="32"/>
      <c r="G13" s="32" t="s">
        <v>68</v>
      </c>
      <c r="H13" s="32"/>
      <c r="I13" s="57">
        <v>0.50624999999999998</v>
      </c>
    </row>
    <row r="14" spans="1:15" ht="15" customHeight="1" x14ac:dyDescent="0.25">
      <c r="A14" s="58" t="str">
        <f t="array" ref="A14">IF(SUM(("incompleto"=tbl_Fechas_Refrescado[TIPO])*1),"Hay Hojas CB con refrescado incompleto.","")</f>
        <v/>
      </c>
      <c r="B14" s="32"/>
      <c r="C14" s="32"/>
      <c r="D14" s="32"/>
      <c r="E14" s="32"/>
      <c r="F14" s="32"/>
      <c r="G14" s="32" t="s">
        <v>78</v>
      </c>
      <c r="H14" s="32"/>
      <c r="I14" s="57">
        <v>0.97916666666666663</v>
      </c>
    </row>
    <row r="15" spans="1:15" ht="15" customHeight="1" x14ac:dyDescent="0.25">
      <c r="A15" s="32"/>
      <c r="B15" s="32"/>
      <c r="C15" s="32"/>
      <c r="D15" s="32"/>
      <c r="E15" s="32"/>
      <c r="F15" s="32"/>
      <c r="G15" s="32" t="s">
        <v>144</v>
      </c>
      <c r="H15" s="32"/>
      <c r="I15" s="57">
        <v>0.16666666666666666</v>
      </c>
    </row>
    <row r="16" spans="1:15" ht="15" customHeight="1" x14ac:dyDescent="0.25">
      <c r="A16" s="32"/>
      <c r="B16" s="32"/>
      <c r="C16" s="32"/>
      <c r="D16" s="32"/>
      <c r="E16" s="32"/>
      <c r="F16" s="32"/>
      <c r="G16" s="32"/>
      <c r="H16" s="32"/>
      <c r="I16" s="57"/>
    </row>
    <row r="17" spans="1:19" ht="15" customHeight="1" x14ac:dyDescent="0.25">
      <c r="A17" s="32"/>
      <c r="B17" s="32"/>
      <c r="C17" s="32"/>
      <c r="D17" s="32"/>
      <c r="E17" s="32"/>
      <c r="F17" s="32"/>
      <c r="G17" s="32"/>
      <c r="H17" s="32"/>
      <c r="I17" s="32"/>
    </row>
    <row r="18" spans="1:19" ht="26.25" customHeight="1" x14ac:dyDescent="0.25">
      <c r="A18" s="59" t="s">
        <v>265</v>
      </c>
      <c r="B18" s="59" t="s">
        <v>98</v>
      </c>
      <c r="C18" s="59" t="s">
        <v>268</v>
      </c>
      <c r="D18" s="59" t="s">
        <v>270</v>
      </c>
      <c r="E18" s="59" t="s">
        <v>272</v>
      </c>
      <c r="F18" s="59" t="s">
        <v>273</v>
      </c>
      <c r="G18" s="60" t="s">
        <v>269</v>
      </c>
      <c r="H18" s="60" t="s">
        <v>299</v>
      </c>
      <c r="I18" s="59" t="s">
        <v>266</v>
      </c>
      <c r="J18" s="59" t="s">
        <v>267</v>
      </c>
      <c r="K18" s="59" t="s">
        <v>271</v>
      </c>
      <c r="L18" s="59" t="s">
        <v>101</v>
      </c>
      <c r="M18" s="59" t="s">
        <v>277</v>
      </c>
      <c r="N18" s="59" t="s">
        <v>275</v>
      </c>
      <c r="O18" s="59" t="s">
        <v>276</v>
      </c>
      <c r="P18" s="59" t="s">
        <v>91</v>
      </c>
      <c r="Q18" s="59" t="s">
        <v>274</v>
      </c>
      <c r="R18" s="59" t="s">
        <v>111</v>
      </c>
      <c r="S18" s="59" t="s">
        <v>300</v>
      </c>
    </row>
    <row r="19" spans="1:19" ht="15" customHeight="1" x14ac:dyDescent="0.25">
      <c r="A19" s="37" t="s">
        <v>262</v>
      </c>
      <c r="B19" s="61">
        <f>IFERROR(INDEX(tbl_hojascb_estado_hoy[costo_buffer],tbl_HojasCB[[#This Row],[Coincidir]]),"")</f>
        <v>4206.5</v>
      </c>
      <c r="C19" s="61">
        <f>IFERROR(INDEX(tbl_hojascb_estado_hoy[costo_fisico],tbl_HojasCB[[#This Row],[Coincidir]]),"")</f>
        <v>7227.07</v>
      </c>
      <c r="D19" s="61">
        <f>IFERROR(INDEX(tbl_hojascb_estado_hoy[costo_transito],tbl_HojasCB[[#This Row],[Coincidir]]),"")</f>
        <v>0</v>
      </c>
      <c r="E19" s="61">
        <f>IFERROR(INDEX(tbl_hojascb_estado_hoy[costo_comprometido],tbl_HojasCB[[#This Row],[Coincidir]]),"")</f>
        <v>0</v>
      </c>
      <c r="F19" s="61">
        <f>IFERROR(INDEX(tbl_hojascb_estado_hoy[costo_backorder],tbl_HojasCB[[#This Row],[Coincidir]]),"")</f>
        <v>0</v>
      </c>
      <c r="G19" s="61">
        <f>IFERROR(INDEX(tbl_hojascb_estado_hoy[costo_proyectado],tbl_HojasCB[[#This Row],[Coincidir]]),"")</f>
        <v>7227.07</v>
      </c>
      <c r="H19" s="61">
        <f>IFERROR(INDEX(tbl_hojascb_estado_hoy[costo_total],tbl_HojasCB[[#This Row],[Coincidir]]),"")</f>
        <v>7227.07</v>
      </c>
      <c r="I19" s="62">
        <f>IFERROR(INDEX(tbl_hojascb_estado_hoy[sku_totales],tbl_HojasCB[[#This Row],[Coincidir]]),"")</f>
        <v>6</v>
      </c>
      <c r="J19" s="62">
        <f>IFERROR(INDEX(tbl_hojascb_estado_hoy[sku_buffer],tbl_HojasCB[[#This Row],[Coincidir]]),"")</f>
        <v>6</v>
      </c>
      <c r="K19" s="62">
        <f>IFERROR(INDEX(tbl_hojascb_estado_hoy[dias_periodo],tbl_HojasCB[[#This Row],[Coincidir]]),"")</f>
        <v>71</v>
      </c>
      <c r="L19" s="62">
        <f>IFERROR(INDEX(tbl_hojascb_estado_hoy[duplicados],tbl_HojasCB[[#This Row],[Coincidir]]),"")</f>
        <v>0</v>
      </c>
      <c r="M19" s="63" t="str">
        <f>IFERROR(INDEX(tbl_hojascb_estado_hoy[refrescada],tbl_HojasCB[[#This Row],[Coincidir]]),"")&amp;" - "&amp;IFERROR(INDEX(tbl_hojascb_estado_hoy[base_datos],tbl_HojasCB[[#This Row],[Coincidir]]),"")</f>
        <v>1 - 1</v>
      </c>
      <c r="N19" s="64">
        <f>IFERROR(INDEX(tbl_hojascb_estado_hoy[inicio_refrescado],tbl_HojasCB[[#This Row],[Coincidir]]),"")</f>
        <v>43234.402349537035</v>
      </c>
      <c r="O19" s="64">
        <f>IFERROR(INDEX(tbl_hojascb_estado_hoy[fin_refrescado],tbl_HojasCB[[#This Row],[Coincidir]]),"")</f>
        <v>43234.402986111112</v>
      </c>
      <c r="P19" s="65">
        <f>IFERROR(tbl_HojasCB[[#This Row],[REFRESCADO_FIN]]-tbl_HojasCB[[#This Row],[REFRESCADO_INI]],"")</f>
        <v>6.36574077361729E-4</v>
      </c>
      <c r="Q19" s="64">
        <f>IFERROR(INDEX(tbl_hojascb_estado_hoy[guardado],tbl_HojasCB[[#This Row],[Coincidir]]),"")</f>
        <v>43234.455914351849</v>
      </c>
      <c r="R19" s="66" t="str">
        <f>IF(IFERROR(INDEX(tbl_hojascb_estado_hoy[razon],tbl_HojasCB[[#This Row],[Coincidir]]),"")=0,"",IFERROR(INDEX(tbl_hojascb_estado_hoy[razon],tbl_HojasCB[[#This Row],[Coincidir]]),""))</f>
        <v/>
      </c>
      <c r="S19" s="63">
        <f>MATCH(EMP&amp;tbl_HojasCB[[#This Row],[HOJAS]],tbl_hojascb_estado_hoy[empresa_hoja],0)</f>
        <v>2</v>
      </c>
    </row>
    <row r="20" spans="1:19" ht="15" customHeight="1" x14ac:dyDescent="0.25">
      <c r="A20" s="37" t="s">
        <v>250</v>
      </c>
      <c r="B20" s="61">
        <f>IFERROR(INDEX(tbl_hojascb_estado_hoy[costo_buffer],tbl_HojasCB[[#This Row],[Coincidir]]),"")</f>
        <v>887483.71</v>
      </c>
      <c r="C20" s="61">
        <f>IFERROR(INDEX(tbl_hojascb_estado_hoy[costo_fisico],tbl_HojasCB[[#This Row],[Coincidir]]),"")</f>
        <v>287838.52</v>
      </c>
      <c r="D20" s="61">
        <f>IFERROR(INDEX(tbl_hojascb_estado_hoy[costo_transito],tbl_HojasCB[[#This Row],[Coincidir]]),"")</f>
        <v>209520.14</v>
      </c>
      <c r="E20" s="61">
        <f>IFERROR(INDEX(tbl_hojascb_estado_hoy[costo_comprometido],tbl_HojasCB[[#This Row],[Coincidir]]),"")</f>
        <v>0</v>
      </c>
      <c r="F20" s="61">
        <f>IFERROR(INDEX(tbl_hojascb_estado_hoy[costo_backorder],tbl_HojasCB[[#This Row],[Coincidir]]),"")</f>
        <v>1426.24</v>
      </c>
      <c r="G20" s="61">
        <f>IFERROR(INDEX(tbl_hojascb_estado_hoy[costo_proyectado],tbl_HojasCB[[#This Row],[Coincidir]]),"")</f>
        <v>498784.9</v>
      </c>
      <c r="H20" s="61">
        <f>IFERROR(INDEX(tbl_hojascb_estado_hoy[costo_total],tbl_HojasCB[[#This Row],[Coincidir]]),"")</f>
        <v>497358.66</v>
      </c>
      <c r="I20" s="62">
        <f>IFERROR(INDEX(tbl_hojascb_estado_hoy[sku_totales],tbl_HojasCB[[#This Row],[Coincidir]]),"")</f>
        <v>57</v>
      </c>
      <c r="J20" s="62">
        <f>IFERROR(INDEX(tbl_hojascb_estado_hoy[sku_buffer],tbl_HojasCB[[#This Row],[Coincidir]]),"")</f>
        <v>45</v>
      </c>
      <c r="K20" s="62">
        <f>IFERROR(INDEX(tbl_hojascb_estado_hoy[dias_periodo],tbl_HojasCB[[#This Row],[Coincidir]]),"")</f>
        <v>228</v>
      </c>
      <c r="L20" s="62">
        <f>IFERROR(INDEX(tbl_hojascb_estado_hoy[duplicados],tbl_HojasCB[[#This Row],[Coincidir]]),"")</f>
        <v>0</v>
      </c>
      <c r="M20" s="63" t="str">
        <f>IFERROR(INDEX(tbl_hojascb_estado_hoy[refrescada],tbl_HojasCB[[#This Row],[Coincidir]]),"")&amp;" - "&amp;IFERROR(INDEX(tbl_hojascb_estado_hoy[base_datos],tbl_HojasCB[[#This Row],[Coincidir]]),"")</f>
        <v>1 - 1</v>
      </c>
      <c r="N20" s="64">
        <f>IFERROR(INDEX(tbl_hojascb_estado_hoy[inicio_refrescado],tbl_HojasCB[[#This Row],[Coincidir]]),"")</f>
        <v>43234.403414351851</v>
      </c>
      <c r="O20" s="64">
        <f>IFERROR(INDEX(tbl_hojascb_estado_hoy[fin_refrescado],tbl_HojasCB[[#This Row],[Coincidir]]),"")</f>
        <v>43234.404861111114</v>
      </c>
      <c r="P20" s="65">
        <f>IFERROR(tbl_HojasCB[[#This Row],[REFRESCADO_FIN]]-tbl_HojasCB[[#This Row],[REFRESCADO_INI]],"")</f>
        <v>1.4467592627624981E-3</v>
      </c>
      <c r="Q20" s="64">
        <f>IFERROR(INDEX(tbl_hojascb_estado_hoy[guardado],tbl_HojasCB[[#This Row],[Coincidir]]),"")</f>
        <v>43234.404965277776</v>
      </c>
      <c r="R20" s="66" t="str">
        <f>IF(IFERROR(INDEX(tbl_hojascb_estado_hoy[razon],tbl_HojasCB[[#This Row],[Coincidir]]),"")=0,"",IFERROR(INDEX(tbl_hojascb_estado_hoy[razon],tbl_HojasCB[[#This Row],[Coincidir]]),""))</f>
        <v/>
      </c>
      <c r="S20" s="63">
        <f>MATCH(EMP&amp;tbl_HojasCB[[#This Row],[HOJAS]],tbl_hojascb_estado_hoy[empresa_hoja],0)</f>
        <v>4</v>
      </c>
    </row>
    <row r="21" spans="1:19" ht="15" customHeight="1" x14ac:dyDescent="0.25">
      <c r="A21" s="67" t="str">
        <f>"Total Hojas:  "&amp;SUBTOTAL(103,tbl_HojasCB[HOJAS])</f>
        <v>Total Hojas:  2</v>
      </c>
      <c r="B21" s="61">
        <f>SUBTOTAL(109,tbl_HojasCB[COSTO BUFFER])</f>
        <v>891690.21</v>
      </c>
      <c r="C21" s="61">
        <f>SUBTOTAL(109,tbl_HojasCB[COSTO FÍSICO])</f>
        <v>295065.59000000003</v>
      </c>
      <c r="D21" s="61">
        <f>SUBTOTAL(109,tbl_HojasCB[COSTO TRÁNSITO])</f>
        <v>209520.14</v>
      </c>
      <c r="E21" s="61">
        <f>SUBTOTAL(109,tbl_HojasCB[COSTO COMPROM])</f>
        <v>0</v>
      </c>
      <c r="F21" s="61">
        <f>SUBTOTAL(109,tbl_HojasCB[COSTO BACKORDER])</f>
        <v>1426.24</v>
      </c>
      <c r="G21" s="61">
        <f>SUBTOTAL(109,tbl_HojasCB[COSTO PROYECTADO])</f>
        <v>506011.97000000003</v>
      </c>
      <c r="H21" s="61">
        <f>SUBTOTAL(109,tbl_HojasCB[COSTO TOTAL])</f>
        <v>504585.73</v>
      </c>
      <c r="I21" s="68">
        <f>SUBTOTAL(109,tbl_HojasCB[ÍTEMS TOTALES])</f>
        <v>63</v>
      </c>
      <c r="J21" s="68">
        <f>SUBTOTAL(109,tbl_HojasCB[ÍTEMS CON BUFFER])</f>
        <v>51</v>
      </c>
      <c r="K21" s="68">
        <f>SUBTOTAL(109,tbl_HojasCB[DÍAS PERÍODO])</f>
        <v>299</v>
      </c>
      <c r="L21" s="68">
        <f>SUBTOTAL(109,tbl_HojasCB[DUPLICADOS])</f>
        <v>0</v>
      </c>
      <c r="M21" s="67"/>
      <c r="N21" s="67"/>
      <c r="O21" s="67"/>
      <c r="P21" s="65">
        <f>SUBTOTAL(109,tbl_HojasCB[DURACIÓN])</f>
        <v>2.0833333401242271E-3</v>
      </c>
      <c r="Q21" s="67"/>
      <c r="S21" s="67"/>
    </row>
    <row r="22" spans="1:19" ht="15" customHeight="1" x14ac:dyDescent="0.25"/>
    <row r="23" spans="1:19" ht="15" customHeight="1" x14ac:dyDescent="0.25"/>
    <row r="24" spans="1:19" ht="15" customHeight="1" x14ac:dyDescent="0.25"/>
    <row r="25" spans="1:19" ht="15" customHeight="1" x14ac:dyDescent="0.25"/>
    <row r="26" spans="1:19" ht="15" customHeight="1" x14ac:dyDescent="0.25"/>
    <row r="131" spans="184:185" x14ac:dyDescent="0.25">
      <c r="GB131" s="69" t="s">
        <v>194</v>
      </c>
      <c r="GC131" s="33" t="s">
        <v>145</v>
      </c>
    </row>
  </sheetData>
  <sheetProtection algorithmName="SHA-512" hashValue="pBwTOODbmpMyqlZ6eYC/KpWwgfrR3Bf+JeUOVIsdNcYdpoaWDJ+yzkNIZLUsarX6JfQ7xuX5CVsmsD3dnjq3kA==" saltValue="yT4lqEJhIae1kKrqb0hCpA==" spinCount="100000" sheet="1" objects="1" scenarios="1" sort="0" autoFilter="0"/>
  <conditionalFormatting sqref="I8:I12">
    <cfRule type="expression" dxfId="26" priority="23">
      <formula>I8&lt;&gt;$I$6</formula>
    </cfRule>
  </conditionalFormatting>
  <conditionalFormatting sqref="I5">
    <cfRule type="expression" dxfId="25" priority="13" stopIfTrue="1">
      <formula>REFRESCADO="Completo"</formula>
    </cfRule>
    <cfRule type="expression" dxfId="24" priority="22">
      <formula>REFRESCADO="Incompleto"</formula>
    </cfRule>
  </conditionalFormatting>
  <conditionalFormatting sqref="D11:E11">
    <cfRule type="expression" dxfId="23" priority="18">
      <formula>$D11="NO HAY ALERTAS"</formula>
    </cfRule>
    <cfRule type="expression" dxfId="22" priority="19">
      <formula>$D11="HAY ALERTAS"</formula>
    </cfRule>
  </conditionalFormatting>
  <conditionalFormatting sqref="I6">
    <cfRule type="expression" dxfId="21" priority="14">
      <formula>I6&lt;&gt;TODAY()</formula>
    </cfRule>
  </conditionalFormatting>
  <conditionalFormatting sqref="A13:E14">
    <cfRule type="expression" dxfId="20" priority="2242">
      <formula>$A13&lt;&gt;""</formula>
    </cfRule>
  </conditionalFormatting>
  <conditionalFormatting sqref="A19:R20">
    <cfRule type="expression" dxfId="19" priority="2744">
      <formula>OR(TRUNC($O19)&lt;TODAY(),$M19&lt;&gt;"1 - 1")</formula>
    </cfRule>
    <cfRule type="expression" dxfId="18" priority="2745">
      <formula>$L19&gt;0</formula>
    </cfRule>
  </conditionalFormatting>
  <conditionalFormatting sqref="B19:B20">
    <cfRule type="dataBar" priority="2964">
      <dataBar>
        <cfvo type="min"/>
        <cfvo type="max"/>
        <color rgb="FFFFB628"/>
      </dataBar>
      <extLst>
        <ext xmlns:x14="http://schemas.microsoft.com/office/spreadsheetml/2009/9/main" uri="{B025F937-C7B1-47D3-B67F-A62EFF666E3E}">
          <x14:id>{FB5FB2B2-C023-4D87-B7B1-C1AAB0250117}</x14:id>
        </ext>
      </extLst>
    </cfRule>
  </conditionalFormatting>
  <conditionalFormatting sqref="C19:C20">
    <cfRule type="dataBar" priority="2965">
      <dataBar>
        <cfvo type="min"/>
        <cfvo type="max"/>
        <color rgb="FFFFB628"/>
      </dataBar>
      <extLst>
        <ext xmlns:x14="http://schemas.microsoft.com/office/spreadsheetml/2009/9/main" uri="{B025F937-C7B1-47D3-B67F-A62EFF666E3E}">
          <x14:id>{2C29C2A8-FAA1-440F-BFA2-C382BCC5E323}</x14:id>
        </ext>
      </extLst>
    </cfRule>
  </conditionalFormatting>
  <conditionalFormatting sqref="D19:D20">
    <cfRule type="dataBar" priority="2966">
      <dataBar>
        <cfvo type="min"/>
        <cfvo type="max"/>
        <color rgb="FFFFB628"/>
      </dataBar>
      <extLst>
        <ext xmlns:x14="http://schemas.microsoft.com/office/spreadsheetml/2009/9/main" uri="{B025F937-C7B1-47D3-B67F-A62EFF666E3E}">
          <x14:id>{897C27A1-00D3-4A3C-88D0-3BDD15241711}</x14:id>
        </ext>
      </extLst>
    </cfRule>
  </conditionalFormatting>
  <conditionalFormatting sqref="F19:F20">
    <cfRule type="dataBar" priority="2967">
      <dataBar>
        <cfvo type="min"/>
        <cfvo type="max"/>
        <color rgb="FFFFB628"/>
      </dataBar>
      <extLst>
        <ext xmlns:x14="http://schemas.microsoft.com/office/spreadsheetml/2009/9/main" uri="{B025F937-C7B1-47D3-B67F-A62EFF666E3E}">
          <x14:id>{A341B4D6-0E62-4FBD-A05F-008DFBB8B5DE}</x14:id>
        </ext>
      </extLst>
    </cfRule>
  </conditionalFormatting>
  <conditionalFormatting sqref="G19:G20">
    <cfRule type="dataBar" priority="2968">
      <dataBar>
        <cfvo type="min"/>
        <cfvo type="max"/>
        <color rgb="FFFFB628"/>
      </dataBar>
      <extLst>
        <ext xmlns:x14="http://schemas.microsoft.com/office/spreadsheetml/2009/9/main" uri="{B025F937-C7B1-47D3-B67F-A62EFF666E3E}">
          <x14:id>{3158811A-C7EB-4B8B-A785-C7535AC56E09}</x14:id>
        </ext>
      </extLst>
    </cfRule>
  </conditionalFormatting>
  <conditionalFormatting sqref="H19:H20">
    <cfRule type="dataBar" priority="2969">
      <dataBar>
        <cfvo type="min"/>
        <cfvo type="max"/>
        <color rgb="FFFFB628"/>
      </dataBar>
      <extLst>
        <ext xmlns:x14="http://schemas.microsoft.com/office/spreadsheetml/2009/9/main" uri="{B025F937-C7B1-47D3-B67F-A62EFF666E3E}">
          <x14:id>{5996A4CF-CC5E-4A69-B718-A80ADBBD7738}</x14:id>
        </ext>
      </extLst>
    </cfRule>
  </conditionalFormatting>
  <conditionalFormatting sqref="I19:I20">
    <cfRule type="dataBar" priority="2970">
      <dataBar>
        <cfvo type="min"/>
        <cfvo type="max"/>
        <color rgb="FF63C384"/>
      </dataBar>
      <extLst>
        <ext xmlns:x14="http://schemas.microsoft.com/office/spreadsheetml/2009/9/main" uri="{B025F937-C7B1-47D3-B67F-A62EFF666E3E}">
          <x14:id>{CEB8BC71-8DBD-4C07-BC20-C7C459ABDFD2}</x14:id>
        </ext>
      </extLst>
    </cfRule>
  </conditionalFormatting>
  <conditionalFormatting sqref="J19:J20">
    <cfRule type="dataBar" priority="2971">
      <dataBar>
        <cfvo type="min"/>
        <cfvo type="max"/>
        <color rgb="FF63C384"/>
      </dataBar>
      <extLst>
        <ext xmlns:x14="http://schemas.microsoft.com/office/spreadsheetml/2009/9/main" uri="{B025F937-C7B1-47D3-B67F-A62EFF666E3E}">
          <x14:id>{0308F7F1-29C8-46E6-B876-11EB063F781A}</x14:id>
        </ext>
      </extLst>
    </cfRule>
  </conditionalFormatting>
  <conditionalFormatting sqref="E19:E20">
    <cfRule type="dataBar" priority="2972">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0</xdr:col>
                <xdr:colOff>1885950</xdr:colOff>
                <xdr:row>6</xdr:row>
                <xdr:rowOff>123825</xdr:rowOff>
              </from>
              <to>
                <xdr:col>0</xdr:col>
                <xdr:colOff>2238375</xdr:colOff>
                <xdr:row>8</xdr:row>
                <xdr:rowOff>28575</xdr:rowOff>
              </to>
            </anchor>
          </controlPr>
        </control>
      </mc:Choice>
      <mc:Fallback>
        <control shapeId="97019" r:id="rId4" name="cmdTransferenciasActivas"/>
      </mc:Fallback>
    </mc:AlternateContent>
    <mc:AlternateContent xmlns:mc="http://schemas.openxmlformats.org/markup-compatibility/2006">
      <mc:Choice Requires="x14">
        <control shapeId="1061" r:id="rId6" name="cmd_Refrescar_Alertas">
          <controlPr defaultSize="0" autoLine="0" r:id="rId7">
            <anchor>
              <from>
                <xdr:col>4</xdr:col>
                <xdr:colOff>323850</xdr:colOff>
                <xdr:row>10</xdr:row>
                <xdr:rowOff>47625</xdr:rowOff>
              </from>
              <to>
                <xdr:col>4</xdr:col>
                <xdr:colOff>619125</xdr:colOff>
                <xdr:row>11</xdr:row>
                <xdr:rowOff>28575</xdr:rowOff>
              </to>
            </anchor>
          </controlPr>
        </control>
      </mc:Choice>
      <mc:Fallback>
        <control shapeId="1061" r:id="rId6" name="cmd_Refrescar_Alertas"/>
      </mc:Fallback>
    </mc:AlternateContent>
    <mc:AlternateContent xmlns:mc="http://schemas.openxmlformats.org/markup-compatibility/2006">
      <mc:Choice Requires="x14">
        <control shapeId="1060" r:id="rId8" name="cmd_refresca_items">
          <controlPr defaultSize="0" autoLine="0" r:id="rId9">
            <anchor>
              <from>
                <xdr:col>2</xdr:col>
                <xdr:colOff>676275</xdr:colOff>
                <xdr:row>4</xdr:row>
                <xdr:rowOff>28575</xdr:rowOff>
              </from>
              <to>
                <xdr:col>3</xdr:col>
                <xdr:colOff>514350</xdr:colOff>
                <xdr:row>4</xdr:row>
                <xdr:rowOff>285750</xdr:rowOff>
              </to>
            </anchor>
          </controlPr>
        </control>
      </mc:Choice>
      <mc:Fallback>
        <control shapeId="1060" r:id="rId8" name="cmd_refresca_items"/>
      </mc:Fallback>
    </mc:AlternateContent>
    <mc:AlternateContent xmlns:mc="http://schemas.openxmlformats.org/markup-compatibility/2006">
      <mc:Choice Requires="x14">
        <control shapeId="1057" r:id="rId10" name="cmdMantenimiento">
          <controlPr defaultSize="0" autoLine="0" r:id="rId11">
            <anchor>
              <from>
                <xdr:col>4</xdr:col>
                <xdr:colOff>171450</xdr:colOff>
                <xdr:row>4</xdr:row>
                <xdr:rowOff>28575</xdr:rowOff>
              </from>
              <to>
                <xdr:col>5</xdr:col>
                <xdr:colOff>514350</xdr:colOff>
                <xdr:row>5</xdr:row>
                <xdr:rowOff>0</xdr:rowOff>
              </to>
            </anchor>
          </controlPr>
        </control>
      </mc:Choice>
      <mc:Fallback>
        <control shapeId="1057" r:id="rId10" name="cmdMantenimiento"/>
      </mc:Fallback>
    </mc:AlternateContent>
    <mc:AlternateContent xmlns:mc="http://schemas.openxmlformats.org/markup-compatibility/2006">
      <mc:Choice Requires="x14">
        <control shapeId="1053" r:id="rId12" name="cmdControl">
          <controlPr defaultSize="0" autoLine="0" r:id="rId13">
            <anchor>
              <from>
                <xdr:col>0</xdr:col>
                <xdr:colOff>28575</xdr:colOff>
                <xdr:row>5</xdr:row>
                <xdr:rowOff>47625</xdr:rowOff>
              </from>
              <to>
                <xdr:col>0</xdr:col>
                <xdr:colOff>904875</xdr:colOff>
                <xdr:row>8</xdr:row>
                <xdr:rowOff>19050</xdr:rowOff>
              </to>
            </anchor>
          </controlPr>
        </control>
      </mc:Choice>
      <mc:Fallback>
        <control shapeId="1053" r:id="rId12" name="cmdControl"/>
      </mc:Fallback>
    </mc:AlternateContent>
    <mc:AlternateContent xmlns:mc="http://schemas.openxmlformats.org/markup-compatibility/2006">
      <mc:Choice Requires="x14">
        <control shapeId="1034" r:id="rId14" name="cboEmpresa">
          <controlPr defaultSize="0" autoLine="0" r:id="rId15">
            <anchor>
              <from>
                <xdr:col>0</xdr:col>
                <xdr:colOff>0</xdr:colOff>
                <xdr:row>4</xdr:row>
                <xdr:rowOff>28575</xdr:rowOff>
              </from>
              <to>
                <xdr:col>0</xdr:col>
                <xdr:colOff>1266825</xdr:colOff>
                <xdr:row>4</xdr:row>
                <xdr:rowOff>276225</xdr:rowOff>
              </to>
            </anchor>
          </controlPr>
        </control>
      </mc:Choice>
      <mc:Fallback>
        <control shapeId="1034" r:id="rId14" name="cboEmpresa"/>
      </mc:Fallback>
    </mc:AlternateContent>
    <mc:AlternateContent xmlns:mc="http://schemas.openxmlformats.org/markup-compatibility/2006">
      <mc:Choice Requires="x14">
        <control shapeId="1056" r:id="rId16" name="cmdTransferencias">
          <controlPr defaultSize="0" autoLine="0" r:id="rId17">
            <anchor>
              <from>
                <xdr:col>0</xdr:col>
                <xdr:colOff>933450</xdr:colOff>
                <xdr:row>5</xdr:row>
                <xdr:rowOff>47625</xdr:rowOff>
              </from>
              <to>
                <xdr:col>0</xdr:col>
                <xdr:colOff>1885950</xdr:colOff>
                <xdr:row>8</xdr:row>
                <xdr:rowOff>19050</xdr:rowOff>
              </to>
            </anchor>
          </controlPr>
        </control>
      </mc:Choice>
      <mc:Fallback>
        <control shapeId="1056" r:id="rId16" name="cmdTransferencias"/>
      </mc:Fallback>
    </mc:AlternateContent>
    <mc:AlternateContent xmlns:mc="http://schemas.openxmlformats.org/markup-compatibility/2006">
      <mc:Choice Requires="x14">
        <control shapeId="1062" r:id="rId18" name="cmd_Alertas_Actuales">
          <controlPr defaultSize="0" autoLine="0" r:id="rId19">
            <anchor>
              <from>
                <xdr:col>3</xdr:col>
                <xdr:colOff>838200</xdr:colOff>
                <xdr:row>10</xdr:row>
                <xdr:rowOff>47625</xdr:rowOff>
              </from>
              <to>
                <xdr:col>4</xdr:col>
                <xdr:colOff>333375</xdr:colOff>
                <xdr:row>11</xdr:row>
                <xdr:rowOff>28575</xdr:rowOff>
              </to>
            </anchor>
          </controlPr>
        </control>
      </mc:Choice>
      <mc:Fallback>
        <control shapeId="1062" r:id="rId18" name="cmd_Alertas_Actuales"/>
      </mc:Fallback>
    </mc:AlternateContent>
    <mc:AlternateContent xmlns:mc="http://schemas.openxmlformats.org/markup-compatibility/2006">
      <mc:Choice Requires="x14">
        <control shapeId="1064" r:id="rId20" name="lstArchivos">
          <controlPr defaultSize="0" autoLine="0" autoPict="0" r:id="rId21">
            <anchor moveWithCells="1">
              <from>
                <xdr:col>8</xdr:col>
                <xdr:colOff>723900</xdr:colOff>
                <xdr:row>3</xdr:row>
                <xdr:rowOff>0</xdr:rowOff>
              </from>
              <to>
                <xdr:col>13</xdr:col>
                <xdr:colOff>476250</xdr:colOff>
                <xdr:row>12</xdr:row>
                <xdr:rowOff>38100</xdr:rowOff>
              </to>
            </anchor>
          </controlPr>
        </control>
      </mc:Choice>
      <mc:Fallback>
        <control shapeId="1064" r:id="rId20" name="lstArchivos"/>
      </mc:Fallback>
    </mc:AlternateContent>
    <mc:AlternateContent xmlns:mc="http://schemas.openxmlformats.org/markup-compatibility/2006">
      <mc:Choice Requires="x14">
        <control shapeId="1517" r:id="rId22" name="cmdTraeFechasRefrescado">
          <controlPr defaultSize="0" autoLine="0" r:id="rId23">
            <anchor>
              <from>
                <xdr:col>1</xdr:col>
                <xdr:colOff>762000</xdr:colOff>
                <xdr:row>4</xdr:row>
                <xdr:rowOff>28575</xdr:rowOff>
              </from>
              <to>
                <xdr:col>2</xdr:col>
                <xdr:colOff>590550</xdr:colOff>
                <xdr:row>4</xdr:row>
                <xdr:rowOff>285750</xdr:rowOff>
              </to>
            </anchor>
          </controlPr>
        </control>
      </mc:Choice>
      <mc:Fallback>
        <control shapeId="1517" r:id="rId22" name="cmdTraeFechasRefrescado"/>
      </mc:Fallback>
    </mc:AlternateContent>
    <mc:AlternateContent xmlns:mc="http://schemas.openxmlformats.org/markup-compatibility/2006">
      <mc:Choice Requires="x14">
        <control shapeId="49451" r:id="rId24" name="cmd_Reportaje">
          <controlPr defaultSize="0" autoLine="0" r:id="rId25">
            <anchor>
              <from>
                <xdr:col>1</xdr:col>
                <xdr:colOff>0</xdr:colOff>
                <xdr:row>5</xdr:row>
                <xdr:rowOff>47625</xdr:rowOff>
              </from>
              <to>
                <xdr:col>2</xdr:col>
                <xdr:colOff>114300</xdr:colOff>
                <xdr:row>8</xdr:row>
                <xdr:rowOff>19050</xdr:rowOff>
              </to>
            </anchor>
          </controlPr>
        </control>
      </mc:Choice>
      <mc:Fallback>
        <control shapeId="49451" r:id="rId24" name="cmd_Reportaje"/>
      </mc:Fallback>
    </mc:AlternateContent>
    <mc:AlternateContent xmlns:mc="http://schemas.openxmlformats.org/markup-compatibility/2006">
      <mc:Choice Requires="x14">
        <control shapeId="96465" r:id="rId26" name="cmdNuevaTransfer">
          <controlPr defaultSize="0" autoLine="0" r:id="rId27">
            <anchor>
              <from>
                <xdr:col>0</xdr:col>
                <xdr:colOff>1885950</xdr:colOff>
                <xdr:row>5</xdr:row>
                <xdr:rowOff>47625</xdr:rowOff>
              </from>
              <to>
                <xdr:col>0</xdr:col>
                <xdr:colOff>2238375</xdr:colOff>
                <xdr:row>6</xdr:row>
                <xdr:rowOff>114300</xdr:rowOff>
              </to>
            </anchor>
          </controlPr>
        </control>
      </mc:Choice>
      <mc:Fallback>
        <control shapeId="96465" r:id="rId26" name="cmdNuevaTransfer"/>
      </mc:Fallback>
    </mc:AlternateContent>
    <mc:AlternateContent xmlns:mc="http://schemas.openxmlformats.org/markup-compatibility/2006">
      <mc:Choice Requires="x14">
        <control shapeId="170283" r:id="rId28" name="cmd_Importa_Datos_ERP">
          <controlPr defaultSize="0" print="0" autoFill="0" autoPict="0" macro="[0]!Trae_Datos_del_ERP">
            <anchor>
              <from>
                <xdr:col>2</xdr:col>
                <xdr:colOff>200025</xdr:colOff>
                <xdr:row>5</xdr:row>
                <xdr:rowOff>57150</xdr:rowOff>
              </from>
              <to>
                <xdr:col>3</xdr:col>
                <xdr:colOff>171450</xdr:colOff>
                <xdr:row>8</xdr:row>
                <xdr:rowOff>9525</xdr:rowOff>
              </to>
            </anchor>
          </controlPr>
        </control>
      </mc:Choice>
    </mc:AlternateContent>
    <mc:AlternateContent xmlns:mc="http://schemas.openxmlformats.org/markup-compatibility/2006">
      <mc:Choice Requires="x14">
        <control shapeId="170289" r:id="rId29" name="cmd_Ayuda_CCB">
          <controlPr defaultSize="0" print="0" autoFill="0" autoPict="0" macro="[0]!Abre_Ayuda_de_Centrocontrol">
            <anchor>
              <from>
                <xdr:col>4</xdr:col>
                <xdr:colOff>657225</xdr:colOff>
                <xdr:row>5</xdr:row>
                <xdr:rowOff>47625</xdr:rowOff>
              </from>
              <to>
                <xdr:col>5</xdr:col>
                <xdr:colOff>504825</xdr:colOff>
                <xdr:row>6</xdr:row>
                <xdr:rowOff>133350</xdr:rowOff>
              </to>
            </anchor>
          </controlPr>
        </control>
      </mc:Choice>
    </mc:AlternateContent>
    <mc:AlternateContent xmlns:mc="http://schemas.openxmlformats.org/markup-compatibility/2006">
      <mc:Choice Requires="x14">
        <control shapeId="170298" r:id="rId30" name="cmd_Cambia_Usuario">
          <controlPr defaultSize="0" print="0" autoFill="0" autoPict="0" macro="[0]!Cambia_Usuario">
            <anchor>
              <from>
                <xdr:col>0</xdr:col>
                <xdr:colOff>28575</xdr:colOff>
                <xdr:row>2</xdr:row>
                <xdr:rowOff>0</xdr:rowOff>
              </from>
              <to>
                <xdr:col>0</xdr:col>
                <xdr:colOff>962025</xdr:colOff>
                <xdr:row>2</xdr:row>
                <xdr:rowOff>152400</xdr:rowOff>
              </to>
            </anchor>
          </controlPr>
        </control>
      </mc:Choice>
    </mc:AlternateContent>
    <mc:AlternateContent xmlns:mc="http://schemas.openxmlformats.org/markup-compatibility/2006">
      <mc:Choice Requires="x14">
        <control shapeId="170502" r:id="rId31" name="Button 3590">
          <controlPr defaultSize="0" print="0" autoFill="0" autoPict="0" macro="[0]!Abre_Hojas_CB_CCB">
            <anchor moveWithCells="1" sizeWithCells="1">
              <from>
                <xdr:col>0</xdr:col>
                <xdr:colOff>1323975</xdr:colOff>
                <xdr:row>14</xdr:row>
                <xdr:rowOff>142875</xdr:rowOff>
              </from>
              <to>
                <xdr:col>1</xdr:col>
                <xdr:colOff>457200</xdr:colOff>
                <xdr:row>16</xdr:row>
                <xdr:rowOff>104775</xdr:rowOff>
              </to>
            </anchor>
          </controlPr>
        </control>
      </mc:Choice>
    </mc:AlternateContent>
  </controls>
  <tableParts count="1">
    <tablePart r:id="rId32"/>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B19:B20</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C19:C20</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D19:D20</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F19:F20</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G19:G20</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H19:H20</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I19:I20</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J19:J20</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E19:E20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5"/>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278</v>
      </c>
      <c r="B1" t="s">
        <v>279</v>
      </c>
      <c r="C1" t="s">
        <v>280</v>
      </c>
      <c r="D1" t="s">
        <v>281</v>
      </c>
      <c r="E1" t="s">
        <v>282</v>
      </c>
      <c r="F1" t="s">
        <v>283</v>
      </c>
      <c r="G1" t="s">
        <v>284</v>
      </c>
      <c r="H1" t="s">
        <v>285</v>
      </c>
      <c r="I1" t="s">
        <v>286</v>
      </c>
      <c r="J1" t="s">
        <v>287</v>
      </c>
      <c r="K1" t="s">
        <v>288</v>
      </c>
      <c r="L1" t="s">
        <v>289</v>
      </c>
      <c r="M1" t="s">
        <v>290</v>
      </c>
      <c r="N1" t="s">
        <v>291</v>
      </c>
      <c r="O1" t="s">
        <v>292</v>
      </c>
      <c r="P1" t="s">
        <v>293</v>
      </c>
      <c r="Q1" t="s">
        <v>294</v>
      </c>
      <c r="R1" t="s">
        <v>295</v>
      </c>
      <c r="S1" t="s">
        <v>296</v>
      </c>
      <c r="T1" t="s">
        <v>298</v>
      </c>
    </row>
    <row r="2" spans="1:20" x14ac:dyDescent="0.25">
      <c r="A2" t="s">
        <v>0</v>
      </c>
      <c r="B2" t="s">
        <v>253</v>
      </c>
      <c r="C2">
        <v>1</v>
      </c>
      <c r="D2">
        <v>1</v>
      </c>
      <c r="E2" s="24">
        <v>43234.400671296295</v>
      </c>
      <c r="F2" s="24">
        <v>43234.401909722219</v>
      </c>
      <c r="G2" s="24">
        <v>43234.402037037034</v>
      </c>
      <c r="I2">
        <v>174</v>
      </c>
      <c r="J2">
        <v>0</v>
      </c>
      <c r="K2">
        <v>80</v>
      </c>
      <c r="L2">
        <v>63</v>
      </c>
      <c r="M2">
        <v>108648.03</v>
      </c>
      <c r="N2">
        <v>44453.3</v>
      </c>
      <c r="O2">
        <v>66202.210000000006</v>
      </c>
      <c r="P2">
        <v>0</v>
      </c>
      <c r="Q2">
        <v>32485.01</v>
      </c>
      <c r="R2">
        <v>143140.51999999999</v>
      </c>
      <c r="S2">
        <v>110655.51</v>
      </c>
      <c r="T2" s="2" t="str">
        <f>tbl_hojascb_estado_hoy[[#This Row],[empresa]]&amp;tbl_hojascb_estado_hoy[[#This Row],[hoja_cb]]</f>
        <v>AGROTAAccesorios.xlsm</v>
      </c>
    </row>
    <row r="3" spans="1:20" x14ac:dyDescent="0.25">
      <c r="A3" t="s">
        <v>0</v>
      </c>
      <c r="B3" t="s">
        <v>262</v>
      </c>
      <c r="C3">
        <v>1</v>
      </c>
      <c r="D3">
        <v>1</v>
      </c>
      <c r="E3" s="24">
        <v>43234.402349537035</v>
      </c>
      <c r="F3" s="24">
        <v>43234.402986111112</v>
      </c>
      <c r="G3" s="24">
        <v>43234.455914351849</v>
      </c>
      <c r="I3">
        <v>71</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43233.899895833332</v>
      </c>
      <c r="F4" s="24">
        <v>43233.902037037034</v>
      </c>
      <c r="G4" s="24">
        <v>43234.377569444441</v>
      </c>
      <c r="I4">
        <v>223</v>
      </c>
      <c r="J4">
        <v>0</v>
      </c>
      <c r="K4">
        <v>57</v>
      </c>
      <c r="L4">
        <v>45</v>
      </c>
      <c r="M4">
        <v>887483.71</v>
      </c>
      <c r="N4">
        <v>287836.81</v>
      </c>
      <c r="O4">
        <v>209520.14</v>
      </c>
      <c r="P4">
        <v>0</v>
      </c>
      <c r="Q4">
        <v>1426.24</v>
      </c>
      <c r="R4">
        <v>498783.19</v>
      </c>
      <c r="S4">
        <v>497356.95</v>
      </c>
      <c r="T4" s="2" t="str">
        <f>tbl_hojascb_estado_hoy[[#This Row],[empresa]]&amp;tbl_hojascb_estado_hoy[[#This Row],[hoja_cb]]</f>
        <v>AGROTAControl Buffers.xlsm</v>
      </c>
    </row>
    <row r="5" spans="1:20" x14ac:dyDescent="0.25">
      <c r="A5" t="s">
        <v>0</v>
      </c>
      <c r="B5" t="s">
        <v>250</v>
      </c>
      <c r="C5">
        <v>1</v>
      </c>
      <c r="D5">
        <v>1</v>
      </c>
      <c r="E5" s="24">
        <v>43234.403414351851</v>
      </c>
      <c r="F5" s="24">
        <v>43234.404861111114</v>
      </c>
      <c r="G5" s="24">
        <v>43234.404965277776</v>
      </c>
      <c r="I5">
        <v>228</v>
      </c>
      <c r="J5">
        <v>0</v>
      </c>
      <c r="K5">
        <v>57</v>
      </c>
      <c r="L5">
        <v>45</v>
      </c>
      <c r="M5">
        <v>887483.71</v>
      </c>
      <c r="N5">
        <v>287838.52</v>
      </c>
      <c r="O5">
        <v>209520.14</v>
      </c>
      <c r="P5">
        <v>0</v>
      </c>
      <c r="Q5">
        <v>1426.24</v>
      </c>
      <c r="R5">
        <v>498784.9</v>
      </c>
      <c r="S5">
        <v>497358.66</v>
      </c>
      <c r="T5" s="2" t="str">
        <f>tbl_hojascb_estado_hoy[[#This Row],[empresa]]&amp;tbl_hojascb_estado_hoy[[#This Row],[hoja_cb]]</f>
        <v>AGROTAMaquinas ECHO - SHINDAIWA.xlsm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250</v>
      </c>
      <c r="D2" s="6">
        <v>1</v>
      </c>
      <c r="E2" s="6" t="s">
        <v>104</v>
      </c>
      <c r="F2" s="6">
        <v>1</v>
      </c>
      <c r="G2" s="26">
        <v>43234.403414351851</v>
      </c>
      <c r="H2" s="26">
        <v>43234.404861111114</v>
      </c>
      <c r="I2" s="25">
        <f>tbl_Fechas_Refrescado[[#This Row],[FIN]]-tbl_Fechas_Refrescado[[#This Row],[INICIO]]</f>
        <v>1.4467592627624981E-3</v>
      </c>
      <c r="J2" s="25"/>
      <c r="K2" s="22">
        <v>228</v>
      </c>
      <c r="L2" s="22">
        <v>0</v>
      </c>
      <c r="M2" s="22">
        <v>57</v>
      </c>
      <c r="N2" s="22">
        <v>45</v>
      </c>
      <c r="O2" s="23">
        <v>887484</v>
      </c>
      <c r="P2" s="23">
        <v>287839</v>
      </c>
      <c r="Q2" s="23">
        <v>209520</v>
      </c>
      <c r="V2" s="24"/>
    </row>
    <row r="3" spans="2:22" x14ac:dyDescent="0.25">
      <c r="B3" t="s">
        <v>0</v>
      </c>
      <c r="C3" t="s">
        <v>262</v>
      </c>
      <c r="D3" s="6">
        <v>1</v>
      </c>
      <c r="E3" s="6" t="s">
        <v>104</v>
      </c>
      <c r="F3" s="6">
        <v>1</v>
      </c>
      <c r="G3" s="26">
        <v>43234.402349537035</v>
      </c>
      <c r="H3" s="26">
        <v>43234.402986111112</v>
      </c>
      <c r="I3" s="25">
        <f>tbl_Fechas_Refrescado[[#This Row],[FIN]]-tbl_Fechas_Refrescado[[#This Row],[INICIO]]</f>
        <v>6.36574077361729E-4</v>
      </c>
      <c r="J3" s="25"/>
      <c r="K3" s="22">
        <v>71</v>
      </c>
      <c r="L3" s="22">
        <v>0</v>
      </c>
      <c r="M3" s="22">
        <v>6</v>
      </c>
      <c r="N3" s="22">
        <v>6</v>
      </c>
      <c r="O3" s="23">
        <v>4206</v>
      </c>
      <c r="P3" s="23">
        <v>7227</v>
      </c>
      <c r="Q3" s="23">
        <v>0</v>
      </c>
    </row>
    <row r="4" spans="2:22" x14ac:dyDescent="0.25">
      <c r="B4" t="s">
        <v>0</v>
      </c>
      <c r="C4" t="s">
        <v>253</v>
      </c>
      <c r="D4" s="6">
        <v>1</v>
      </c>
      <c r="E4" s="6" t="s">
        <v>104</v>
      </c>
      <c r="F4" s="6">
        <v>1</v>
      </c>
      <c r="G4" s="26">
        <v>43234.400671296295</v>
      </c>
      <c r="H4" s="26">
        <v>43234.401909722219</v>
      </c>
      <c r="I4" s="25">
        <f>tbl_Fechas_Refrescado[[#This Row],[FIN]]-tbl_Fechas_Refrescado[[#This Row],[INICIO]]</f>
        <v>1.2384259243845008E-3</v>
      </c>
      <c r="J4" s="25"/>
      <c r="K4" s="22">
        <v>174</v>
      </c>
      <c r="L4" s="22">
        <v>0</v>
      </c>
      <c r="M4" s="22">
        <v>80</v>
      </c>
      <c r="N4" s="22">
        <v>63</v>
      </c>
      <c r="O4" s="23">
        <v>108648</v>
      </c>
      <c r="P4" s="23">
        <v>44453</v>
      </c>
      <c r="Q4" s="23">
        <v>66202</v>
      </c>
    </row>
    <row r="5" spans="2:22" x14ac:dyDescent="0.25">
      <c r="B5" t="s">
        <v>105</v>
      </c>
      <c r="C5" s="6">
        <f>SUBTOTAL(103,tbl_Fechas_Refrescado[HOJA CB])</f>
        <v>3</v>
      </c>
      <c r="D5" s="6"/>
      <c r="E5" s="6"/>
      <c r="F5" s="6"/>
      <c r="G5" s="26">
        <f>SUBTOTAL(105,tbl_Fechas_Refrescado[INICIO])</f>
        <v>43234.400671296295</v>
      </c>
      <c r="H5" s="26">
        <f>SUBTOTAL(104,tbl_Fechas_Refrescado[FIN])</f>
        <v>43234.404861111114</v>
      </c>
      <c r="I5" s="25">
        <f>SUBTOTAL(109,tbl_Fechas_Refrescado[DURACIÓN])</f>
        <v>3.3217592645087279E-3</v>
      </c>
      <c r="J5" s="25"/>
      <c r="K5" s="6">
        <f>SUBTOTAL(104,tbl_Fechas_Refrescado[DIAS PERIODO])</f>
        <v>228</v>
      </c>
      <c r="L5" s="6">
        <f>SUBTOTAL(109,tbl_Fechas_Refrescado[DUPLICADOS])</f>
        <v>0</v>
      </c>
      <c r="M5" s="6">
        <f>SUBTOTAL(109,tbl_Fechas_Refrescado[SKUs Totales])</f>
        <v>143</v>
      </c>
      <c r="N5" s="6">
        <f>SUBTOTAL(109,tbl_Fechas_Refrescado[SKUs Buffer])</f>
        <v>114</v>
      </c>
      <c r="O5" s="23">
        <f>SUBTOTAL(109,tbl_Fechas_Refrescado[COSTO BUFFER])</f>
        <v>1000338</v>
      </c>
      <c r="P5" s="23">
        <f>SUBTOTAL(109,tbl_Fechas_Refrescado[COSTO FISICO])</f>
        <v>339519</v>
      </c>
      <c r="Q5" s="23">
        <f>SUBTOTAL(109,tbl_Fechas_Refrescado[COSTO TRANSITO])</f>
        <v>275722</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2906">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-1382</v>
      </c>
    </row>
    <row r="4" spans="1:3" x14ac:dyDescent="0.25">
      <c r="A4" s="1" t="s">
        <v>75</v>
      </c>
      <c r="B4" s="16">
        <v>41866</v>
      </c>
      <c r="C4" s="7">
        <f ca="1">Tabla_DIAS_RESTANTES[[#This Row],[FIN PERÍODO]]-TODAY()</f>
        <v>-1368</v>
      </c>
    </row>
    <row r="5" spans="1:3" x14ac:dyDescent="0.25">
      <c r="A5" s="1" t="s">
        <v>77</v>
      </c>
      <c r="B5" s="16">
        <v>41866</v>
      </c>
      <c r="C5" s="7">
        <f ca="1">Tabla_DIAS_RESTANTES[[#This Row],[FIN PERÍODO]]-TODAY()</f>
        <v>-1368</v>
      </c>
    </row>
    <row r="6" spans="1:3" x14ac:dyDescent="0.25">
      <c r="A6" s="1" t="s">
        <v>72</v>
      </c>
      <c r="B6" s="16">
        <v>41873</v>
      </c>
      <c r="C6" s="7">
        <f ca="1">Tabla_DIAS_RESTANTES[[#This Row],[FIN PERÍODO]]-TODAY()</f>
        <v>-1361</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3"/>
  <sheetViews>
    <sheetView topLeftCell="B1" workbookViewId="0">
      <selection activeCell="P2" sqref="P2:P3"/>
    </sheetView>
  </sheetViews>
  <sheetFormatPr baseColWidth="10" defaultColWidth="11.42578125" defaultRowHeight="15" x14ac:dyDescent="0.25"/>
  <sheetData>
    <row r="1" spans="1:18" x14ac:dyDescent="0.25">
      <c r="A1">
        <v>1</v>
      </c>
      <c r="B1" t="s">
        <v>58</v>
      </c>
      <c r="P1" t="s">
        <v>252</v>
      </c>
      <c r="R1" t="s">
        <v>0</v>
      </c>
    </row>
    <row r="2" spans="1:18" x14ac:dyDescent="0.25">
      <c r="P2" t="s">
        <v>262</v>
      </c>
    </row>
    <row r="3" spans="1:18" x14ac:dyDescent="0.25">
      <c r="P3" t="s">
        <v>250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43234.400231481479</v>
      </c>
    </row>
    <row r="2" spans="1:2" x14ac:dyDescent="0.25">
      <c r="A2" t="s">
        <v>66</v>
      </c>
      <c r="B2" s="17">
        <v>43234.405011574076</v>
      </c>
    </row>
    <row r="4" spans="1:2" x14ac:dyDescent="0.25">
      <c r="A4" t="s">
        <v>67</v>
      </c>
      <c r="B4" s="18">
        <f>IF((FINREFRESCADO-INICIOREFRESCADO)&gt;0,FINREFRESCADO-INICIOREFRESCADO,"")</f>
        <v>4.7800925967749208E-3</v>
      </c>
    </row>
    <row r="6" spans="1:2" x14ac:dyDescent="0.25">
      <c r="A6" t="s">
        <v>123</v>
      </c>
      <c r="B6" t="s">
        <v>263</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27.7109375" bestFit="1" customWidth="1"/>
    <col min="3" max="3" width="34.85546875" bestFit="1" customWidth="1"/>
  </cols>
  <sheetData>
    <row r="1" spans="1:3" ht="38.25" customHeight="1" x14ac:dyDescent="0.25">
      <c r="A1" t="s">
        <v>253</v>
      </c>
      <c r="B1" t="s">
        <v>262</v>
      </c>
      <c r="C1" t="s">
        <v>250</v>
      </c>
    </row>
    <row r="2" spans="1:3" x14ac:dyDescent="0.25">
      <c r="A2" t="s">
        <v>255</v>
      </c>
      <c r="B2" t="s">
        <v>255</v>
      </c>
      <c r="C2" t="s">
        <v>255</v>
      </c>
    </row>
    <row r="3" spans="1:3" x14ac:dyDescent="0.25">
      <c r="A3" t="s">
        <v>256</v>
      </c>
      <c r="B3" t="s">
        <v>256</v>
      </c>
      <c r="C3" t="s">
        <v>256</v>
      </c>
    </row>
    <row r="4" spans="1:3" x14ac:dyDescent="0.25">
      <c r="A4" t="s">
        <v>257</v>
      </c>
      <c r="B4" t="s">
        <v>257</v>
      </c>
      <c r="C4" t="s">
        <v>257</v>
      </c>
    </row>
    <row r="5" spans="1:3" x14ac:dyDescent="0.25">
      <c r="A5" t="s">
        <v>258</v>
      </c>
      <c r="B5" t="s">
        <v>258</v>
      </c>
      <c r="C5" t="s">
        <v>258</v>
      </c>
    </row>
    <row r="6" spans="1:3" x14ac:dyDescent="0.25">
      <c r="A6" t="s">
        <v>259</v>
      </c>
      <c r="C6" t="s">
        <v>260</v>
      </c>
    </row>
    <row r="7" spans="1:3" x14ac:dyDescent="0.25">
      <c r="A7" t="s">
        <v>260</v>
      </c>
    </row>
    <row r="8" spans="1:3" x14ac:dyDescent="0.25">
      <c r="A8" t="s">
        <v>261</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254</v>
      </c>
    </row>
    <row r="3" spans="1:3" x14ac:dyDescent="0.25">
      <c r="A3" t="s">
        <v>0</v>
      </c>
      <c r="B3" t="s">
        <v>262</v>
      </c>
      <c r="C3" t="s">
        <v>264</v>
      </c>
    </row>
    <row r="4" spans="1:3" x14ac:dyDescent="0.25">
      <c r="A4" t="s">
        <v>0</v>
      </c>
      <c r="B4" t="s">
        <v>250</v>
      </c>
      <c r="C4" t="s">
        <v>251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3F14CE-BDD6-42DC-96CB-52C92B0F80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34</vt:i4>
      </vt:variant>
    </vt:vector>
  </HeadingPairs>
  <TitlesOfParts>
    <vt:vector size="35" baseType="lpstr">
      <vt:lpstr>CENTROCONTROL</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2018-05-14T20:39:49Z</dcterms:modified>
</cp:coreProperties>
</file>