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CENTROCONTROL!$I$8</definedName>
    <definedName name="ACTUALIZACIONPRODUCTO">CENTROCONTROL!$I$7</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T2" i="36" l="1"/>
  <c r="T3" i="36"/>
  <c r="T4" i="36"/>
  <c r="T5" i="36"/>
  <c r="T17" i="1" s="1"/>
  <c r="T6" i="36"/>
  <c r="T16" i="1"/>
  <c r="C16" i="1" s="1"/>
  <c r="B16" i="1"/>
  <c r="B17" i="1"/>
  <c r="C17" i="1" l="1"/>
  <c r="E17" i="1"/>
  <c r="G17" i="1"/>
  <c r="I17" i="1"/>
  <c r="K17" i="1"/>
  <c r="M17" i="1"/>
  <c r="O17" i="1"/>
  <c r="S17" i="1"/>
  <c r="D17" i="1"/>
  <c r="F17" i="1"/>
  <c r="H17" i="1"/>
  <c r="J17" i="1"/>
  <c r="L17" i="1"/>
  <c r="N17" i="1"/>
  <c r="P17" i="1"/>
  <c r="Q17" i="1" s="1"/>
  <c r="R17" i="1"/>
  <c r="S16" i="1"/>
  <c r="O16" i="1"/>
  <c r="I16" i="1"/>
  <c r="R16" i="1"/>
  <c r="P16" i="1"/>
  <c r="Q16" i="1" s="1"/>
  <c r="N16" i="1"/>
  <c r="L16" i="1"/>
  <c r="J16" i="1"/>
  <c r="H16" i="1"/>
  <c r="F16" i="1"/>
  <c r="D16" i="1"/>
  <c r="M16" i="1"/>
  <c r="K16" i="1"/>
  <c r="G16" i="1"/>
  <c r="E16" i="1"/>
  <c r="B1" i="1"/>
  <c r="C2" i="24"/>
  <c r="C3" i="24"/>
  <c r="C4" i="24"/>
  <c r="C5" i="24"/>
  <c r="C6" i="24"/>
  <c r="C3" i="30" l="1"/>
  <c r="G3" i="30"/>
  <c r="H3" i="30"/>
  <c r="K3" i="30"/>
  <c r="L3" i="30"/>
  <c r="M3" i="30"/>
  <c r="N3" i="30"/>
  <c r="O3" i="30"/>
  <c r="P3" i="30"/>
  <c r="Q3" i="30"/>
  <c r="I3" i="30" l="1"/>
  <c r="I10" i="1"/>
  <c r="I7" i="1"/>
  <c r="I8" i="1"/>
  <c r="I6" i="1"/>
  <c r="P18" i="1" l="1"/>
  <c r="O18" i="1"/>
  <c r="B18" i="1"/>
  <c r="I3" i="1"/>
  <c r="A18" i="1" l="1"/>
  <c r="J18" i="1" l="1"/>
  <c r="I18" i="1"/>
  <c r="K18" i="1"/>
  <c r="M18" i="1"/>
  <c r="D18" i="1"/>
  <c r="L18" i="1"/>
  <c r="C18" i="1"/>
  <c r="Q18" i="1" l="1"/>
  <c r="H18" i="1"/>
  <c r="G18" i="1"/>
  <c r="F18" i="1"/>
  <c r="E18"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3" i="5"/>
  <c r="D4" i="5" s="1"/>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producto.txt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inventario.txt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 ref="A15"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5"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5"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5"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5"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5"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5"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5"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5" authorId="0" shapeId="0">
      <text>
        <r>
          <rPr>
            <b/>
            <sz val="9"/>
            <color indexed="81"/>
            <rFont val="Tahoma"/>
            <family val="2"/>
          </rPr>
          <t>RAMCAS:</t>
        </r>
        <r>
          <rPr>
            <sz val="9"/>
            <color indexed="81"/>
            <rFont val="Tahoma"/>
            <family val="2"/>
          </rPr>
          <t xml:space="preserve">
Es el COSTO FÍSICO + COSTO TRÁNSITO.</t>
        </r>
      </text>
    </comment>
    <comment ref="J15"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5"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5"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5"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5"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5"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5"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5" authorId="0" shapeId="0">
      <text>
        <r>
          <rPr>
            <b/>
            <sz val="9"/>
            <color indexed="81"/>
            <rFont val="Tahoma"/>
            <family val="2"/>
          </rPr>
          <t>RAMCAS:</t>
        </r>
        <r>
          <rPr>
            <sz val="9"/>
            <color indexed="81"/>
            <rFont val="Tahoma"/>
            <family val="2"/>
          </rPr>
          <t xml:space="preserve">
La duración del último refrescado de la presente Hoja CB.</t>
        </r>
      </text>
    </comment>
    <comment ref="R15"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5"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5"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<sst xmlns="http://schemas.openxmlformats.org/spreadsheetml/2006/main" count="584" uniqueCount="313">
  <si>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</si>
  <si>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</si>
  <si>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</si>
  <si>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</si>
  <si>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</si>
  <si>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</si>
  <si>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</si>
  <si>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</si>
  <si>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</si>
  <si>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</si>
  <si>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</si>
  <si>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</si>
  <si>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</si>
  <si>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</si>
  <si>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</si>
  <si>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</si>
  <si>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</si>
  <si>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</si>
  <si>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</si>
  <si>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</si>
  <si>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</si>
  <si>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</si>
  <si>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</si>
  <si>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</si>
  <si>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</si>
  <si>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</si>
  <si>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</si>
  <si>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</si>
  <si>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</si>
  <si>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</si>
  <si>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</si>
  <si>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</si>
  <si>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</si>
  <si>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</si>
  <si>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</si>
  <si>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</si>
  <si>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</si>
  <si>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</si>
  <si>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</si>
  <si>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</si>
  <si>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</si>
  <si>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</si>
  <si>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</si>
  <si>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</si>
  <si>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</si>
  <si>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</si>
  <si>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</si>
  <si>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</si>
  <si>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</si>
  <si>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</si>
  <si>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</si>
  <si>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</si>
  <si>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</si>
  <si>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</si>
  <si>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</si>
  <si>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</si>
  <si>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</si>
  <si>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</si>
  <si>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</si>
  <si>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</si>
  <si>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</si>
  <si>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</si>
  <si>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</si>
  <si>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</si>
  <si>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</si>
  <si>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</si>
  <si>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</si>
  <si>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</si>
  <si>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</si>
  <si>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</si>
  <si>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</si>
  <si>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</si>
  <si>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</si>
  <si>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</si>
  <si>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</si>
  <si>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</si>
  <si>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</si>
  <si>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</si>
  <si>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</si>
  <si>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</si>
  <si>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</si>
  <si>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</si>
  <si>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</si>
  <si>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</si>
  <si>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</si>
  <si>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</si>
  <si>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</si>
  <si>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</si>
  <si>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</si>
  <si>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</si>
  <si>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</si>
  <si>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</si>
  <si>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</si>
  <si>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</si>
  <si>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</si>
  <si>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</si>
  <si>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</si>
  <si>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</si>
  <si>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</si>
  <si>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</si>
  <si>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</si>
  <si>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</si>
  <si>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</si>
  <si>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</si>
  <si>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</si>
  <si>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</si>
  <si>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</si>
  <si>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</si>
  <si>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</si>
  <si>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</si>
  <si>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</si>
  <si>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</si>
  <si>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</si>
  <si>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</si>
  <si>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</si>
  <si>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</si>
  <si>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</si>
  <si>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</si>
  <si>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</si>
  <si>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</si>
  <si>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</si>
  <si>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</si>
  <si>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</si>
  <si>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</si>
  <si>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</si>
  <si>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</si>
  <si>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</si>
  <si>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</si>
  <si>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</si>
  <si>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</si>
  <si>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</si>
  <si>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</si>
  <si>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</si>
  <si>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</si>
  <si>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</si>
  <si>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</si>
  <si>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</si>
  <si>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</si>
  <si>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</si>
  <si>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</si>
  <si>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</si>
  <si>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</si>
  <si>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</si>
  <si>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</si>
  <si>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</si>
  <si>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</si>
  <si>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</si>
  <si>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</si>
  <si>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</si>
  <si>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</si>
  <si>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</si>
  <si>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</si>
  <si>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</si>
  <si>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</si>
  <si>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</si>
  <si>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</si>
  <si>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</si>
  <si>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</si>
  <si>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</si>
  <si>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</si>
  <si>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</si>
  <si>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</si>
  <si>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</si>
  <si>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</si>
  <si>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</si>
  <si>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</si>
  <si>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</si>
  <si>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</si>
  <si>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</si>
  <si>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</si>
  <si>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</si>
  <si>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</si>
  <si>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</si>
  <si>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</si>
  <si>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</si>
  <si>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</si>
  <si>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</si>
  <si>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</si>
  <si>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</si>
  <si>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</si>
  <si>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</si>
  <si>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</si>
  <si>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</si>
  <si>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</si>
  <si>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</si>
  <si>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</si>
  <si>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</si>
  <si>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</si>
  <si>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</si>
  <si>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</si>
  <si>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</si>
  <si>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</si>
  <si>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</si>
  <si>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</si>
  <si>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</si>
  <si>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</si>
  <si>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</si>
  <si>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</si>
  <si>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</si>
  <si>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</si>
  <si>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</si>
  <si>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</si>
  <si>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</si>
  <si>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</si>
  <si>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</si>
  <si>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</si>
  <si>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</si>
  <si>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</si>
  <si>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</si>
  <si>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</si>
  <si>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</si>
  <si>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</si>
  <si>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</si>
  <si>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</si>
  <si>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</si>
  <si>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</si>
  <si>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</si>
  <si>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</si>
  <si>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</si>
  <si>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</si>
  <si>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</si>
  <si>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</si>
  <si>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</si>
  <si>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</si>
  <si>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</si>
  <si>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</si>
  <si>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</si>
  <si>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</si>
  <si>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</si>
  <si>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</si>
  <si>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</si>
  <si>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</si>
  <si>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</si>
  <si>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</si>
  <si>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</si>
  <si>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</si>
  <si>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</si>
  <si>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</si>
  <si>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</si>
  <si>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</si>
  <si>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</si>
  <si>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</si>
  <si>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</si>
  <si>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</si>
  <si>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</si>
  <si>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</si>
  <si>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</si>
  <si>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</si>
  <si>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</si>
  <si>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</si>
  <si>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</si>
  <si>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</si>
  <si>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</si>
  <si>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</si>
  <si>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</si>
  <si>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</si>
  <si>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</si>
  <si>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</si>
  <si>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</si>
  <si>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</si>
  <si>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</si>
  <si>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</si>
  <si>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</si>
  <si>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</si>
  <si>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</si>
  <si>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</si>
  <si>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</si>
  <si>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</si>
  <si>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</si>
  <si>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</si>
  <si>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</si>
  <si>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</si>
  <si>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</si>
  <si>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</si>
  <si>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</si>
  <si>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</si>
  <si>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</si>
  <si>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</si>
  <si>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</si>
  <si>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</si>
  <si>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</si>
  <si>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</si>
  <si>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</si>
  <si>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</si>
  <si>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</si>
  <si>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</si>
  <si>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</si>
  <si>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</si>
  <si>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</si>
  <si>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</si>
  <si>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</si>
  <si>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</si>
  <si>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</si>
  <si>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O:\Accesorios.xlsm</t>
  </si>
  <si>
    <t>TABLA</t>
  </si>
  <si>
    <t>FECHA</t>
  </si>
  <si>
    <t>PRODUCTO</t>
  </si>
  <si>
    <t>CONSUMO</t>
  </si>
  <si>
    <t>Producto</t>
  </si>
  <si>
    <t>Inventario</t>
  </si>
  <si>
    <t>Consumo</t>
  </si>
  <si>
    <t>Sugerencias GDB</t>
  </si>
  <si>
    <t>Comportamiento especial</t>
  </si>
  <si>
    <t>Ítems sin reposición alguna</t>
  </si>
  <si>
    <t>Mal atendidos Cantidad</t>
  </si>
  <si>
    <t>Sobre atendidos Cantidad</t>
  </si>
  <si>
    <t>Mal atendido Frec Repos</t>
  </si>
  <si>
    <t>Buffers nunca inicializados</t>
  </si>
  <si>
    <t>3 Sugerencia GDB</t>
  </si>
  <si>
    <t>19 Comportamiento</t>
  </si>
  <si>
    <t>3 Sin reposiciones</t>
  </si>
  <si>
    <t>1 Mal Atendido Cantidad</t>
  </si>
  <si>
    <t>5 Mal atendido Frecuencia</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</si>
</sst>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 numFmtId="172" formatCode="[h]&quot;h&quot;:mm&quot;m&quot;:ss&quot;s&quot;"/>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theme="2" tint="-0.24994659260841701"/>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5">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2" fontId="0" fillId="5" borderId="0" xfId="0" applyNumberFormat="1" applyFill="1" applyAlignment="1">
      <alignment horizontal="center"/>
    </xf>
    <xf numFmtId="0" fontId="0" fillId="5" borderId="8" xfId="0" applyFill="1" applyBorder="1" applyAlignment="1" applyProtection="1">
      <alignment horizontal="center" vertical="center"/>
      <protection hidden="1"/>
    </xf>
    <xf numFmtId="171" fontId="23" fillId="5" borderId="10" xfId="0" applyNumberFormat="1" applyFont="1" applyFill="1" applyBorder="1" applyAlignment="1" applyProtection="1">
      <alignment horizontal="center" vertical="center"/>
      <protection hidden="1"/>
    </xf>
    <xf numFmtId="167" fontId="23" fillId="5" borderId="10" xfId="0" applyNumberFormat="1" applyFont="1" applyFill="1" applyBorder="1" applyAlignment="1" applyProtection="1">
      <alignment horizontal="center" vertical="center"/>
      <protection locked="0" hidden="1"/>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2"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0" fontId="25" fillId="6" borderId="2" xfId="0" applyFont="1" applyFill="1" applyBorder="1" applyAlignment="1">
      <alignment vertical="center"/>
    </xf>
    <xf numFmtId="0" fontId="0" fillId="6" borderId="9" xfId="0" applyFont="1" applyFill="1" applyBorder="1"/>
  </cellXfs>
  <cellStyles count="3">
    <cellStyle name="Normal" xfId="0" builtinId="0"/>
    <cellStyle name="Normal 2" xfId="1"/>
    <cellStyle name="Título" xfId="2" builtinId="15"/>
  </cellStyles>
  <dxfs count="130">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trae_Bodega" lockText="1" noThreeD="1"/>
</file>

<file path=xl/ctrlProps/ctrlProp6.xml><?xml version="1.0" encoding="utf-8"?>
<formControlPr xmlns="http://schemas.microsoft.com/office/spreadsheetml/2009/9/main" objectType="CheckBox" checked="Checked" fmlaLink="trae_Inventario" lockText="1" noThreeD="1"/>
</file>

<file path=xl/ctrlProps/ctrlProp7.xml><?xml version="1.0" encoding="utf-8"?>
<formControlPr xmlns="http://schemas.microsoft.com/office/spreadsheetml/2009/9/main" objectType="CheckBox" checked="Checked" fmlaLink="trae_Producto" lockText="1" noThreeD="1"/>
</file>

<file path=xl/ctrlProps/ctrlProp8.xml><?xml version="1.0" encoding="utf-8"?>
<formControlPr xmlns="http://schemas.microsoft.com/office/spreadsheetml/2009/9/main" objectType="CheckBox" checked="Checked" fmlaLink="trae_Consumo"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v3.8.7</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257"/>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11</xdr:row>
      <xdr:rowOff>130845</xdr:rowOff>
    </xdr:from>
    <xdr:to>
      <xdr:col>0</xdr:col>
      <xdr:colOff>1906322</xdr:colOff>
      <xdr:row>13</xdr:row>
      <xdr:rowOff>21829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2226345"/>
          <a:ext cx="262599" cy="271984"/>
        </a:xfrm>
        <a:prstGeom prst="rect">
          <a:avLst/>
        </a:prstGeom>
      </xdr:spPr>
    </xdr:pic>
    <xdr:clientData/>
  </xdr:twoCellAnchor>
  <xdr:twoCellAnchor editAs="oneCell">
    <xdr:from>
      <xdr:col>0</xdr:col>
      <xdr:colOff>308873</xdr:colOff>
      <xdr:row>11</xdr:row>
      <xdr:rowOff>128806</xdr:rowOff>
    </xdr:from>
    <xdr:to>
      <xdr:col>0</xdr:col>
      <xdr:colOff>692505</xdr:colOff>
      <xdr:row>13</xdr:row>
      <xdr:rowOff>35806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2224306"/>
          <a:ext cx="383632" cy="288000"/>
        </a:xfrm>
        <a:prstGeom prst="rect">
          <a:avLst/>
        </a:prstGeom>
      </xdr:spPr>
    </xdr:pic>
    <xdr:clientData/>
  </xdr:twoCellAnchor>
  <xdr:twoCellAnchor editAs="oneCell">
    <xdr:from>
      <xdr:col>0</xdr:col>
      <xdr:colOff>38961</xdr:colOff>
      <xdr:row>11</xdr:row>
      <xdr:rowOff>128806</xdr:rowOff>
    </xdr:from>
    <xdr:to>
      <xdr:col>0</xdr:col>
      <xdr:colOff>271849</xdr:colOff>
      <xdr:row>13</xdr:row>
      <xdr:rowOff>35806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2224306"/>
          <a:ext cx="232888" cy="288000"/>
        </a:xfrm>
        <a:prstGeom prst="rect">
          <a:avLst/>
        </a:prstGeom>
      </xdr:spPr>
    </xdr:pic>
    <xdr:clientData/>
  </xdr:twoCellAnchor>
  <xdr:twoCellAnchor editAs="oneCell">
    <xdr:from>
      <xdr:col>0</xdr:col>
      <xdr:colOff>729529</xdr:colOff>
      <xdr:row>11</xdr:row>
      <xdr:rowOff>128806</xdr:rowOff>
    </xdr:from>
    <xdr:to>
      <xdr:col>0</xdr:col>
      <xdr:colOff>945529</xdr:colOff>
      <xdr:row>13</xdr:row>
      <xdr:rowOff>35806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2224306"/>
          <a:ext cx="216000" cy="288000"/>
        </a:xfrm>
        <a:prstGeom prst="rect">
          <a:avLst/>
        </a:prstGeom>
      </xdr:spPr>
    </xdr:pic>
    <xdr:clientData/>
  </xdr:twoCellAnchor>
  <xdr:twoCellAnchor editAs="oneCell">
    <xdr:from>
      <xdr:col>0</xdr:col>
      <xdr:colOff>1148292</xdr:colOff>
      <xdr:row>11</xdr:row>
      <xdr:rowOff>164806</xdr:rowOff>
    </xdr:from>
    <xdr:to>
      <xdr:col>0</xdr:col>
      <xdr:colOff>1562076</xdr:colOff>
      <xdr:row>13</xdr:row>
      <xdr:rowOff>35806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2260306"/>
          <a:ext cx="413784" cy="252000"/>
        </a:xfrm>
        <a:prstGeom prst="rect">
          <a:avLst/>
        </a:prstGeom>
      </xdr:spPr>
    </xdr:pic>
    <xdr:clientData/>
  </xdr:twoCellAnchor>
  <xdr:twoCellAnchor editAs="oneCell">
    <xdr:from>
      <xdr:col>0</xdr:col>
      <xdr:colOff>905742</xdr:colOff>
      <xdr:row>11</xdr:row>
      <xdr:rowOff>128806</xdr:rowOff>
    </xdr:from>
    <xdr:to>
      <xdr:col>0</xdr:col>
      <xdr:colOff>1121742</xdr:colOff>
      <xdr:row>13</xdr:row>
      <xdr:rowOff>35806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222430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4</xdr:row>
          <xdr:rowOff>161925</xdr:rowOff>
        </xdr:from>
        <xdr:to>
          <xdr:col>8</xdr:col>
          <xdr:colOff>180975</xdr:colOff>
          <xdr:row>6</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183360</xdr:rowOff>
        </xdr:from>
        <xdr:to>
          <xdr:col>8</xdr:col>
          <xdr:colOff>180975</xdr:colOff>
          <xdr:row>8</xdr:row>
          <xdr:rowOff>21435</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183360</xdr:rowOff>
        </xdr:from>
        <xdr:to>
          <xdr:col>8</xdr:col>
          <xdr:colOff>190500</xdr:colOff>
          <xdr:row>7</xdr:row>
          <xdr:rowOff>21435</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8</xdr:row>
          <xdr:rowOff>180975</xdr:rowOff>
        </xdr:from>
        <xdr:to>
          <xdr:col>8</xdr:col>
          <xdr:colOff>190500</xdr:colOff>
          <xdr:row>10</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9051"/>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8" totalsRowCount="1" headerRowDxfId="129" dataDxfId="128" totalsRowDxfId="127">
  <autoFilter ref="A15:T16"/>
  <sortState ref="A16:T17">
    <sortCondition ref="A15"/>
  </sortState>
  <tableColumns count="20">
    <tableColumn id="1" name="HOJAS" totalsRowFunction="custom" dataDxfId="126" totalsRowDxfId="48">
      <totalsRowFormula>"Total Hojas:  "&amp;SUBTOTAL(103,tbl_HojasCB[HOJAS])</totalsRowFormula>
    </tableColumn>
    <tableColumn id="20" name="ALERTAS" totalsRowFunction="sum" dataDxfId="125" totalsRowDxfId="47">
      <calculatedColumnFormula>IFERROR(COUNTA(INDIRECT("Alertas["&amp;tbl_HojasCB[[#This Row],[HOJAS]]&amp;"]")),0)</calculatedColumnFormula>
    </tableColumn>
    <tableColumn id="4" name="COSTO BUFFER" totalsRowFunction="sum" dataDxfId="124" totalsRowDxfId="46">
      <calculatedColumnFormula>IFERROR(INDEX(tbl_hojascb_estado_hoy[costo_buffer],tbl_HojasCB[[#This Row],[Coincidir]]),"")</calculatedColumnFormula>
    </tableColumn>
    <tableColumn id="5" name="COSTO FÍSICO" totalsRowFunction="sum" dataDxfId="123" totalsRowDxfId="45">
      <calculatedColumnFormula>IFERROR(INDEX(tbl_hojascb_estado_hoy[costo_fisico],tbl_HojasCB[[#This Row],[Coincidir]]),"")</calculatedColumnFormula>
    </tableColumn>
    <tableColumn id="6" name="COSTO TRÁNSITO" totalsRowFunction="sum" dataDxfId="122" totalsRowDxfId="44">
      <calculatedColumnFormula>IFERROR(INDEX(tbl_hojascb_estado_hoy[costo_transito],tbl_HojasCB[[#This Row],[Coincidir]]),"")</calculatedColumnFormula>
    </tableColumn>
    <tableColumn id="12" name="COSTO COMPROM" totalsRowFunction="sum" dataDxfId="121" totalsRowDxfId="43">
      <calculatedColumnFormula>IFERROR(INDEX(tbl_hojascb_estado_hoy[costo_comprometido],tbl_HojasCB[[#This Row],[Coincidir]]),"")</calculatedColumnFormula>
    </tableColumn>
    <tableColumn id="13" name="COSTO BACKORDER" totalsRowFunction="sum" dataDxfId="120" totalsRowDxfId="42">
      <calculatedColumnFormula>IFERROR(INDEX(tbl_hojascb_estado_hoy[costo_backorder],tbl_HojasCB[[#This Row],[Coincidir]]),"")</calculatedColumnFormula>
    </tableColumn>
    <tableColumn id="7" name="COSTO PROYECTADO" totalsRowFunction="sum" dataDxfId="119" totalsRowDxfId="41">
      <calculatedColumnFormula>IFERROR(INDEX(tbl_hojascb_estado_hoy[costo_proyectado],tbl_HojasCB[[#This Row],[Coincidir]]),"")</calculatedColumnFormula>
    </tableColumn>
    <tableColumn id="9" name="COSTO TOTAL" totalsRowFunction="sum" dataDxfId="118" totalsRowDxfId="40">
      <calculatedColumnFormula>IFERROR(INDEX(tbl_hojascb_estado_hoy[costo_total],tbl_HojasCB[[#This Row],[Coincidir]]),"")</calculatedColumnFormula>
    </tableColumn>
    <tableColumn id="2" name="ÍTEMS TOTALES" totalsRowFunction="sum" dataDxfId="117" totalsRowDxfId="39">
      <calculatedColumnFormula>IFERROR(INDEX(tbl_hojascb_estado_hoy[sku_totales],tbl_HojasCB[[#This Row],[Coincidir]]),"")</calculatedColumnFormula>
    </tableColumn>
    <tableColumn id="3" name="ÍTEMS CON BUFFER" totalsRowFunction="sum" dataDxfId="116" totalsRowDxfId="38">
      <calculatedColumnFormula>IFERROR(INDEX(tbl_hojascb_estado_hoy[sku_buffer],tbl_HojasCB[[#This Row],[Coincidir]]),"")</calculatedColumnFormula>
    </tableColumn>
    <tableColumn id="11" name="DÍAS PERÍODO" totalsRowFunction="sum" dataDxfId="115" totalsRowDxfId="37">
      <calculatedColumnFormula>IFERROR(INDEX(tbl_hojascb_estado_hoy[dias_periodo],tbl_HojasCB[[#This Row],[Coincidir]]),"")</calculatedColumnFormula>
    </tableColumn>
    <tableColumn id="10" name="DUPLICADOS" totalsRowFunction="sum" dataDxfId="114" totalsRowDxfId="36">
      <calculatedColumnFormula>IFERROR(INDEX(tbl_hojascb_estado_hoy[duplicados],tbl_HojasCB[[#This Row],[Coincidir]]),"")</calculatedColumnFormula>
    </tableColumn>
    <tableColumn id="8" name="REFRESCADA" dataDxfId="113" totalsRowDxfId="35">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2" totalsRowDxfId="34">
      <calculatedColumnFormula>IFERROR(INDEX(tbl_hojascb_estado_hoy[inicio_refrescado],tbl_HojasCB[[#This Row],[Coincidir]]),"")</calculatedColumnFormula>
    </tableColumn>
    <tableColumn id="16" name="REFRESCADO_FIN" totalsRowFunction="max" dataDxfId="111" totalsRowDxfId="33">
      <calculatedColumnFormula>IFERROR(INDEX(tbl_hojascb_estado_hoy[fin_refrescado],tbl_HojasCB[[#This Row],[Coincidir]]),"")</calculatedColumnFormula>
    </tableColumn>
    <tableColumn id="17" name="DURACIÓN" totalsRowFunction="sum" dataDxfId="110" totalsRowDxfId="32">
      <calculatedColumnFormula>IFERROR(tbl_HojasCB[[#This Row],[REFRESCADO_FIN]]-tbl_HojasCB[[#This Row],[REFRESCADO_INI]],"")</calculatedColumnFormula>
    </tableColumn>
    <tableColumn id="14" name="GUARDADO" dataDxfId="109" totalsRowDxfId="31">
      <calculatedColumnFormula>IFERROR(INDEX(tbl_hojascb_estado_hoy[guardado],tbl_HojasCB[[#This Row],[Coincidir]]),"")</calculatedColumnFormula>
    </tableColumn>
    <tableColumn id="18" name="RAZÓN" dataDxfId="108" totalsRowDxfId="30">
      <calculatedColumnFormula>IF(IFERROR(INDEX(tbl_hojascb_estado_hoy[razon],tbl_HojasCB[[#This Row],[Coincidir]]),"")=0,"",IFERROR(INDEX(tbl_hojascb_estado_hoy[razon],tbl_HojasCB[[#This Row],[Coincidir]]),""))</calculatedColumnFormula>
    </tableColumn>
    <tableColumn id="19" name="Coincidir" dataDxfId="107" totalsRowDxfId="29">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6">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5">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3" insertRow="1" totalsRowCount="1" headerRowDxfId="104">
  <autoFilter ref="B1:Q2"/>
  <sortState ref="B2:Q3">
    <sortCondition descending="1" ref="H1:H3"/>
  </sortState>
  <tableColumns count="16">
    <tableColumn id="1" name="EMPRESA" totalsRowLabel="Total"/>
    <tableColumn id="2" name="HOJA CB" totalsRowFunction="count" totalsRowDxfId="103"/>
    <tableColumn id="3" name="REFRESCADO" dataDxfId="102" totalsRowDxfId="101"/>
    <tableColumn id="14" name="TIPO" dataDxfId="100" totalsRowDxfId="99"/>
    <tableColumn id="16" name="BASE DATOS" dataDxfId="98" totalsRowDxfId="97"/>
    <tableColumn id="4" name="INICIO" totalsRowFunction="min" dataDxfId="96" totalsRowDxfId="95"/>
    <tableColumn id="7" name="FIN" totalsRowFunction="max" dataDxfId="94" totalsRowDxfId="93"/>
    <tableColumn id="5" name="DURACIÓN" totalsRowFunction="sum" dataDxfId="92" totalsRowDxfId="91">
      <calculatedColumnFormula>tbl_Fechas_Refrescado[[#This Row],[FIN]]-tbl_Fechas_Refrescado[[#This Row],[INICIO]]</calculatedColumnFormula>
    </tableColumn>
    <tableColumn id="15" name="RAZÓN" dataDxfId="90" totalsRowDxfId="89"/>
    <tableColumn id="6" name="DIAS PERIODO" totalsRowFunction="max" dataDxfId="88" totalsRowDxfId="87"/>
    <tableColumn id="13" name="DUPLICADOS" totalsRowFunction="sum" dataDxfId="86" totalsRowDxfId="85"/>
    <tableColumn id="8" name="SKUs Totales" totalsRowFunction="sum" dataDxfId="84" totalsRowDxfId="83"/>
    <tableColumn id="9" name="SKUs Buffer" totalsRowFunction="sum" dataDxfId="82" totalsRowDxfId="81"/>
    <tableColumn id="10" name="COSTO BUFFER" totalsRowFunction="sum" dataDxfId="80" totalsRowDxfId="79"/>
    <tableColumn id="11" name="COSTO FISICO" totalsRowFunction="sum" dataDxfId="78" totalsRowDxfId="77"/>
    <tableColumn id="12" name="COSTO TRANSITO" totalsRowFunction="sum" dataDxfId="76" totalsRowDxfId="75"/>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4"/>
    <tableColumn id="5" name="EMPRESA"/>
    <tableColumn id="2" name="DIRECTORIO"/>
    <tableColumn id="3" name="ARCHIVO"/>
    <tableColumn id="4" name="PATH" dataDxfId="73">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2"/>
    <tableColumn id="5" name="EMPRESA"/>
    <tableColumn id="6" name="BODEGA"/>
    <tableColumn id="4" name="PATH" dataDxfId="71"/>
    <tableColumn id="2" name="ARCHIVO" dataDxfId="70">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9" dataDxfId="68">
  <autoFilter ref="B1:F2"/>
  <tableColumns count="5">
    <tableColumn id="5" name="PERFIL" dataDxfId="67"/>
    <tableColumn id="1" name="FREC REP" dataDxfId="66"/>
    <tableColumn id="2" name="TIEMP SUMINIS" dataDxfId="65"/>
    <tableColumn id="3" name="HORIZONTE" dataDxfId="64"/>
    <tableColumn id="4" name="T NIV SER (DIAS)" dataDxfId="63"/>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62"/>
    <tableColumn id="3" name="RESTAN" dataDxfId="61">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60">
  <autoFilter ref="A2:D3"/>
  <tableColumns count="4">
    <tableColumn id="2" name="HOJA CB" totalsRowLabel="TOTALES" totalsRowDxfId="59"/>
    <tableColumn id="3" name="TODOS ITEMS" totalsRowFunction="sum" dataDxfId="58" totalsRowDxfId="57"/>
    <tableColumn id="4" name="ITEMS CON BUFFER" totalsRowFunction="sum" dataDxfId="56" totalsRowDxfId="55"/>
    <tableColumn id="1" name="% ITEMS CON BUFFER" totalsRowFunction="average" dataDxfId="54" totalsRowDxfId="53">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2"/>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1"/>
    <tableColumn id="7" uniqueName="7" name="PATH" queryTableFieldId="7" dataDxfId="50"/>
    <tableColumn id="5" uniqueName="5" name="COMPLETO" queryTableFieldId="5" dataDxfId="49">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3" totalsRowShown="0">
  <autoFilter ref="E1:F3"/>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B8" totalsRowShown="0">
  <autoFilter ref="A1:B8"/>
  <tableColumns count="2">
    <tableColumn id="1" name="Accesorios.xlsm"/>
    <tableColumn id="4" name="Maquinas ECHO - SHINDAIWA.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table" Target="../tables/table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8.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0.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19.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1.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2.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4.emf"/><Relationship Id="rId5" Type="http://schemas.openxmlformats.org/officeDocument/2006/relationships/control" Target="../activeX/activeX15.xml"/><Relationship Id="rId4" Type="http://schemas.openxmlformats.org/officeDocument/2006/relationships/image" Target="../media/image23.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5.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K23" sqref="K23"/>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77" t="str">
        <f ca="1">INDEX(Indicaciones[Indicación],RANDBETWEEN(1,MAX(Indicaciones[ID])))</f>
        <v>¿No se puede cumplir con la frecuencia de reposición establecida? Comunicar.</v>
      </c>
      <c r="C1" s="31"/>
      <c r="D1" s="31"/>
      <c r="E1" s="31"/>
      <c r="F1" s="31"/>
      <c r="G1" s="32"/>
      <c r="H1" s="32"/>
      <c r="I1" s="32"/>
      <c r="J1" s="57">
        <v>43221</v>
      </c>
    </row>
    <row r="2" spans="1:20" ht="15" customHeight="1" x14ac:dyDescent="0.25">
      <c r="A2" s="32"/>
      <c r="B2" s="32"/>
      <c r="C2" s="32"/>
      <c r="D2" s="32"/>
      <c r="E2" s="32"/>
      <c r="F2" s="78"/>
      <c r="G2" s="78"/>
      <c r="H2" s="32"/>
      <c r="I2" s="32"/>
      <c r="J2" s="32"/>
      <c r="K2" s="32"/>
    </row>
    <row r="3" spans="1:20" ht="15" customHeight="1" x14ac:dyDescent="0.25">
      <c r="A3" s="32"/>
      <c r="C3" s="37"/>
      <c r="D3" s="37"/>
      <c r="E3" s="32"/>
      <c r="F3" s="78"/>
      <c r="G3" s="79" t="s">
        <v>60</v>
      </c>
      <c r="H3" s="50"/>
      <c r="I3" s="63" t="str">
        <f>IF(COUNTIF(tbl_HojasCB[REFRESCADA],"1 - 1")=COUNTA(tbl_HojasCB[HOJAS]),"Completo","Incompleto")</f>
        <v>Completo</v>
      </c>
      <c r="J3" s="32"/>
      <c r="K3" s="32"/>
    </row>
    <row r="4" spans="1:20" ht="15" customHeight="1" x14ac:dyDescent="0.25">
      <c r="A4" s="32"/>
      <c r="C4" s="34"/>
      <c r="D4" s="34"/>
      <c r="E4" s="34"/>
      <c r="F4" s="80"/>
      <c r="G4" s="81" t="s">
        <v>61</v>
      </c>
      <c r="H4" s="49"/>
      <c r="I4" s="64">
        <v>43243</v>
      </c>
      <c r="J4" s="32"/>
      <c r="K4" s="32"/>
      <c r="O4" s="35"/>
    </row>
    <row r="5" spans="1:20" ht="15" customHeight="1" x14ac:dyDescent="0.35">
      <c r="A5" s="36"/>
      <c r="B5" s="37"/>
      <c r="E5" s="37"/>
      <c r="F5" s="82"/>
      <c r="G5" s="81" t="s">
        <v>291</v>
      </c>
      <c r="H5" s="49"/>
      <c r="I5" s="65">
        <f>DURACIONREFRESCADO</f>
        <v>4.8958333354676142E-3</v>
      </c>
    </row>
    <row r="6" spans="1:20" ht="15" customHeight="1" x14ac:dyDescent="0.3">
      <c r="A6" s="38"/>
      <c r="B6" s="32"/>
      <c r="C6" s="32"/>
      <c r="D6" s="32"/>
      <c r="E6" s="32"/>
      <c r="F6" s="32"/>
      <c r="G6" s="58" t="s">
        <v>62</v>
      </c>
      <c r="H6" s="51"/>
      <c r="I6" s="64" t="str">
        <f>IFERROR(INDEX(tbl_Refrescado_ERP[FECHA],MATCH("BODEGA",tbl_Refrescado_ERP[TABLA],0)),"SIN DATOS")</f>
        <v>SIN DATOS</v>
      </c>
    </row>
    <row r="7" spans="1:20" ht="15" customHeight="1" x14ac:dyDescent="0.25">
      <c r="A7" s="32"/>
      <c r="B7" s="32"/>
      <c r="C7" s="32"/>
      <c r="D7" s="32"/>
      <c r="E7" s="32"/>
      <c r="F7" s="32"/>
      <c r="G7" s="59" t="s">
        <v>64</v>
      </c>
      <c r="H7" s="49"/>
      <c r="I7" s="64">
        <f>IFERROR(INDEX(tbl_Refrescado_ERP[FECHA],MATCH("PRODUCTO",tbl_Refrescado_ERP[TABLA],0)),"SIN DATOS")</f>
        <v>43244</v>
      </c>
    </row>
    <row r="8" spans="1:20" ht="15" customHeight="1" x14ac:dyDescent="0.25">
      <c r="A8" s="54" t="s">
        <v>88</v>
      </c>
      <c r="B8" s="55"/>
      <c r="C8" s="37"/>
      <c r="D8" s="66" t="str">
        <f ca="1">HYPERLINK("["&amp;LEFT(CELL("filename",A1),FIND("[",CELL("filename",A1))-2)&amp;"\CONTROL DE BUFFERS\ARCHIVO\ARCHIVO.xlsm]","Archivo")</f>
        <v>Archivo</v>
      </c>
      <c r="E8" s="68" t="str">
        <f ca="1">HYPERLINK(LEFT(CELL("filename",A1),FIND("[",CELL("filename",A1))-2)&amp;"\CONTROL DE BUFFERS\ARCHIVO\","dir")</f>
        <v>dir</v>
      </c>
      <c r="F8" s="32"/>
      <c r="G8" s="59" t="s">
        <v>63</v>
      </c>
      <c r="H8" s="49"/>
      <c r="I8" s="64" t="str">
        <f>IFERROR(INDEX(tbl_Refrescado_ERP[FECHA],MATCH("INVENTARIO",tbl_Refrescado_ERP[TABLA],0)),"SIN DATOS")</f>
        <v>SIN DATOS</v>
      </c>
    </row>
    <row r="9" spans="1:20" ht="15" customHeight="1" x14ac:dyDescent="0.25">
      <c r="A9" s="66" t="str">
        <f>HYPERLINK("[O:\COMPROMETIDOS Y BACKORDERS\COMPROMETIDOS Y BACKORDERS.xlsm]Comprometidos!a1","Comprometidos")</f>
        <v>Comprometidos</v>
      </c>
      <c r="B9" s="68" t="str">
        <f>HYPERLINK("O:\COMPROMETIDOS Y BACKORDERS\","dir")</f>
        <v>dir</v>
      </c>
      <c r="C9" s="32"/>
      <c r="D9" s="66" t="str">
        <f ca="1">HYPERLINK("["&amp;LEFT(CELL("filename",L3),FIND("[",CELL("filename",L3))-2)&amp;"\CONTROL DE BUFFERS\SIMULADOR\Simulacion RAM CAS.xlsm]","SIMULADOR BUFFERS")</f>
        <v>SIMULADOR BUFFERS</v>
      </c>
      <c r="E9" s="39"/>
      <c r="F9" s="32"/>
      <c r="G9" s="83" t="s">
        <v>73</v>
      </c>
      <c r="H9" s="84"/>
      <c r="I9" s="64" t="s">
        <v>108</v>
      </c>
    </row>
    <row r="10" spans="1:20" ht="15" customHeight="1" x14ac:dyDescent="0.25">
      <c r="A10" s="66" t="str">
        <f>HYPERLINK("[O:\COMPROMETIDOS Y BACKORDERS\COMPROMETIDOS Y BACKORDERS.xlsm]Backorders!a1","Backorders")</f>
        <v>Backorders</v>
      </c>
      <c r="B10" s="68" t="str">
        <f>HYPERLINK("O:\COMPROMETIDOS Y BACKORDERS\","dir")</f>
        <v>dir</v>
      </c>
      <c r="C10" s="32"/>
      <c r="D10" s="67" t="str">
        <f>IFERROR(IF(COUNTA(Alertas!$A$1)&gt;0,"HAY ALERTAS","NO HAY ALERTAS"),"NO HAY ALERTAS")</f>
        <v>HAY ALERTAS</v>
      </c>
      <c r="E10" s="40"/>
      <c r="F10" s="32"/>
      <c r="G10" s="58" t="s">
        <v>74</v>
      </c>
      <c r="H10" s="51"/>
      <c r="I10" s="64">
        <f>IFERROR(INDEX(tbl_Refrescado_ERP[FECHA],MATCH("CONSUMO",tbl_Refrescado_ERP[TABLA],0)),"SIN DATOS")</f>
        <v>43243</v>
      </c>
    </row>
    <row r="11" spans="1:20" ht="15" customHeight="1" x14ac:dyDescent="0.25">
      <c r="A11" s="41"/>
      <c r="B11" s="32"/>
      <c r="C11" s="32"/>
      <c r="D11" s="66" t="str">
        <f ca="1">HYPERLINK("["&amp;LEFT(CELL("filename",A1),FIND("[",CELL("filename",A1))-2)&amp;"\CONTROL DE BUFFERS\PLANTILLAS\Plantilla Copiado Pegado.xlsx]","Copiado y Pegado")</f>
        <v>Copiado y Pegado</v>
      </c>
      <c r="E11" s="39"/>
      <c r="F11" s="32"/>
      <c r="G11" s="60" t="s">
        <v>68</v>
      </c>
      <c r="H11" s="51"/>
      <c r="I11" s="52">
        <v>9.7222222222222224E-2</v>
      </c>
    </row>
    <row r="12" spans="1:20" ht="15" customHeight="1" x14ac:dyDescent="0.25">
      <c r="G12" s="61" t="s">
        <v>143</v>
      </c>
      <c r="H12" s="49"/>
      <c r="I12" s="53">
        <v>8.3333333333333329E-2</v>
      </c>
    </row>
    <row r="13" spans="1:20" ht="15" customHeight="1" x14ac:dyDescent="0.25">
      <c r="G13" s="61" t="s">
        <v>78</v>
      </c>
      <c r="H13" s="49"/>
      <c r="I13" s="53">
        <v>0.97916666666666663</v>
      </c>
    </row>
    <row r="14" spans="1:20" ht="5.0999999999999996" customHeight="1" x14ac:dyDescent="0.25">
      <c r="G14" s="32"/>
      <c r="H14" s="32"/>
      <c r="I14" s="56"/>
    </row>
    <row r="15" spans="1:20" ht="26.25" customHeight="1" x14ac:dyDescent="0.25">
      <c r="A15" s="42" t="s">
        <v>255</v>
      </c>
      <c r="B15" s="42" t="s">
        <v>290</v>
      </c>
      <c r="C15" s="42" t="s">
        <v>98</v>
      </c>
      <c r="D15" s="42" t="s">
        <v>258</v>
      </c>
      <c r="E15" s="42" t="s">
        <v>260</v>
      </c>
      <c r="F15" s="42" t="s">
        <v>262</v>
      </c>
      <c r="G15" s="42" t="s">
        <v>263</v>
      </c>
      <c r="H15" s="43" t="s">
        <v>259</v>
      </c>
      <c r="I15" s="43" t="s">
        <v>288</v>
      </c>
      <c r="J15" s="42" t="s">
        <v>256</v>
      </c>
      <c r="K15" s="42" t="s">
        <v>257</v>
      </c>
      <c r="L15" s="42" t="s">
        <v>261</v>
      </c>
      <c r="M15" s="42" t="s">
        <v>101</v>
      </c>
      <c r="N15" s="42" t="s">
        <v>267</v>
      </c>
      <c r="O15" s="42" t="s">
        <v>265</v>
      </c>
      <c r="P15" s="42" t="s">
        <v>266</v>
      </c>
      <c r="Q15" s="42" t="s">
        <v>91</v>
      </c>
      <c r="R15" s="42" t="s">
        <v>264</v>
      </c>
      <c r="S15" s="42" t="s">
        <v>110</v>
      </c>
      <c r="T15" s="42" t="s">
        <v>289</v>
      </c>
    </row>
    <row r="16" spans="1:20" ht="15" customHeight="1" x14ac:dyDescent="0.25">
      <c r="A16" s="69" t="s">
        <v>252</v>
      </c>
      <c r="B16" s="70">
        <f ca="1">IFERROR(COUNTA(INDIRECT("Alertas["&amp;tbl_HojasCB[[#This Row],[HOJAS]]&amp;"]")),0)</f>
        <v>7</v>
      </c>
      <c r="C16" s="71">
        <f>IFERROR(INDEX(tbl_hojascb_estado_hoy[costo_buffer],tbl_HojasCB[[#This Row],[Coincidir]]),"")</f>
        <v>108648.23</v>
      </c>
      <c r="D16" s="71">
        <f>IFERROR(INDEX(tbl_hojascb_estado_hoy[costo_fisico],tbl_HojasCB[[#This Row],[Coincidir]]),"")</f>
        <v>39589.599999999999</v>
      </c>
      <c r="E16" s="71">
        <f>IFERROR(INDEX(tbl_hojascb_estado_hoy[costo_transito],tbl_HojasCB[[#This Row],[Coincidir]]),"")</f>
        <v>66202.33</v>
      </c>
      <c r="F16" s="71">
        <f>IFERROR(INDEX(tbl_hojascb_estado_hoy[costo_comprometido],tbl_HojasCB[[#This Row],[Coincidir]]),"")</f>
        <v>0</v>
      </c>
      <c r="G16" s="71">
        <f>IFERROR(INDEX(tbl_hojascb_estado_hoy[costo_backorder],tbl_HojasCB[[#This Row],[Coincidir]]),"")</f>
        <v>32485.01</v>
      </c>
      <c r="H16" s="71">
        <f>IFERROR(INDEX(tbl_hojascb_estado_hoy[costo_proyectado],tbl_HojasCB[[#This Row],[Coincidir]]),"")</f>
        <v>138276.94</v>
      </c>
      <c r="I16" s="71">
        <f>IFERROR(INDEX(tbl_hojascb_estado_hoy[costo_total],tbl_HojasCB[[#This Row],[Coincidir]]),"")</f>
        <v>105791.93</v>
      </c>
      <c r="J16" s="72">
        <f>IFERROR(INDEX(tbl_hojascb_estado_hoy[sku_totales],tbl_HojasCB[[#This Row],[Coincidir]]),"")</f>
        <v>80</v>
      </c>
      <c r="K16" s="72">
        <f>IFERROR(INDEX(tbl_hojascb_estado_hoy[sku_buffer],tbl_HojasCB[[#This Row],[Coincidir]]),"")</f>
        <v>63</v>
      </c>
      <c r="L16" s="72">
        <f>IFERROR(INDEX(tbl_hojascb_estado_hoy[dias_periodo],tbl_HojasCB[[#This Row],[Coincidir]]),"")</f>
        <v>193</v>
      </c>
      <c r="M16" s="72">
        <f>IFERROR(INDEX(tbl_hojascb_estado_hoy[duplicados],tbl_HojasCB[[#This Row],[Coincidir]]),"")</f>
        <v>0</v>
      </c>
      <c r="N16" s="73" t="str">
        <f>IFERROR(INDEX(tbl_hojascb_estado_hoy[refrescada],tbl_HojasCB[[#This Row],[Coincidir]]),"")&amp;" - "&amp;IFERROR(INDEX(tbl_hojascb_estado_hoy[base_datos],tbl_HojasCB[[#This Row],[Coincidir]]),"")</f>
        <v>1 - 1</v>
      </c>
      <c r="O16" s="74">
        <f>IFERROR(INDEX(tbl_hojascb_estado_hoy[inicio_refrescado],tbl_HojasCB[[#This Row],[Coincidir]]),"")</f>
        <v>43244.729895833334</v>
      </c>
      <c r="P16" s="74">
        <f>IFERROR(INDEX(tbl_hojascb_estado_hoy[fin_refrescado],tbl_HojasCB[[#This Row],[Coincidir]]),"")</f>
        <v>43244.73170138889</v>
      </c>
      <c r="Q16" s="75">
        <f>IFERROR(tbl_HojasCB[[#This Row],[REFRESCADO_FIN]]-tbl_HojasCB[[#This Row],[REFRESCADO_INI]],"")</f>
        <v>1.8055555556202307E-3</v>
      </c>
      <c r="R16" s="74">
        <f>IFERROR(INDEX(tbl_hojascb_estado_hoy[guardado],tbl_HojasCB[[#This Row],[Coincidir]]),"")</f>
        <v>43244.731851851851</v>
      </c>
      <c r="S16" s="76" t="str">
        <f>IF(IFERROR(INDEX(tbl_hojascb_estado_hoy[razon],tbl_HojasCB[[#This Row],[Coincidir]]),"")=0,"",IFERROR(INDEX(tbl_hojascb_estado_hoy[razon],tbl_HojasCB[[#This Row],[Coincidir]]),""))</f>
        <v/>
      </c>
      <c r="T16" s="73">
        <f>MATCH(EMP&amp;tbl_HojasCB[[#This Row],[HOJAS]],tbl_hojascb_estado_hoy[empresa_hoja],0)</f>
        <v>1</v>
      </c>
    </row>
    <row r="17" spans="1:20" ht="15" customHeight="1" x14ac:dyDescent="0.25">
      <c r="A17" s="69" t="s">
        <v>249</v>
      </c>
      <c r="B17" s="70">
        <f ca="1">IFERROR(COUNTA(INDIRECT("Alertas["&amp;tbl_HojasCB[[#This Row],[HOJAS]]&amp;"]")),0)</f>
        <v>5</v>
      </c>
      <c r="C17" s="71">
        <f>IFERROR(INDEX(tbl_hojascb_estado_hoy[costo_buffer],tbl_HojasCB[[#This Row],[Coincidir]]),"")</f>
        <v>887483.71</v>
      </c>
      <c r="D17" s="71">
        <f>IFERROR(INDEX(tbl_hojascb_estado_hoy[costo_fisico],tbl_HojasCB[[#This Row],[Coincidir]]),"")</f>
        <v>241747.46</v>
      </c>
      <c r="E17" s="71">
        <f>IFERROR(INDEX(tbl_hojascb_estado_hoy[costo_transito],tbl_HojasCB[[#This Row],[Coincidir]]),"")</f>
        <v>209520.14</v>
      </c>
      <c r="F17" s="71">
        <f>IFERROR(INDEX(tbl_hojascb_estado_hoy[costo_comprometido],tbl_HojasCB[[#This Row],[Coincidir]]),"")</f>
        <v>0</v>
      </c>
      <c r="G17" s="71">
        <f>IFERROR(INDEX(tbl_hojascb_estado_hoy[costo_backorder],tbl_HojasCB[[#This Row],[Coincidir]]),"")</f>
        <v>1426.24</v>
      </c>
      <c r="H17" s="71">
        <f>IFERROR(INDEX(tbl_hojascb_estado_hoy[costo_proyectado],tbl_HojasCB[[#This Row],[Coincidir]]),"")</f>
        <v>452693.84</v>
      </c>
      <c r="I17" s="71">
        <f>IFERROR(INDEX(tbl_hojascb_estado_hoy[costo_total],tbl_HojasCB[[#This Row],[Coincidir]]),"")</f>
        <v>451267.6</v>
      </c>
      <c r="J17" s="72">
        <f>IFERROR(INDEX(tbl_hojascb_estado_hoy[sku_totales],tbl_HojasCB[[#This Row],[Coincidir]]),"")</f>
        <v>57</v>
      </c>
      <c r="K17" s="72">
        <f>IFERROR(INDEX(tbl_hojascb_estado_hoy[sku_buffer],tbl_HojasCB[[#This Row],[Coincidir]]),"")</f>
        <v>45</v>
      </c>
      <c r="L17" s="72">
        <f>IFERROR(INDEX(tbl_hojascb_estado_hoy[dias_periodo],tbl_HojasCB[[#This Row],[Coincidir]]),"")</f>
        <v>217</v>
      </c>
      <c r="M17" s="72">
        <f>IFERROR(INDEX(tbl_hojascb_estado_hoy[duplicados],tbl_HojasCB[[#This Row],[Coincidir]]),"")</f>
        <v>0</v>
      </c>
      <c r="N17" s="73" t="str">
        <f>IFERROR(INDEX(tbl_hojascb_estado_hoy[refrescada],tbl_HojasCB[[#This Row],[Coincidir]]),"")&amp;" - "&amp;IFERROR(INDEX(tbl_hojascb_estado_hoy[base_datos],tbl_HojasCB[[#This Row],[Coincidir]]),"")</f>
        <v>1 - 1</v>
      </c>
      <c r="O17" s="74">
        <f>IFERROR(INDEX(tbl_hojascb_estado_hoy[inicio_refrescado],tbl_HojasCB[[#This Row],[Coincidir]]),"")</f>
        <v>43244.732256944444</v>
      </c>
      <c r="P17" s="74">
        <f>IFERROR(INDEX(tbl_hojascb_estado_hoy[fin_refrescado],tbl_HojasCB[[#This Row],[Coincidir]]),"")</f>
        <v>43244.734131944446</v>
      </c>
      <c r="Q17" s="75">
        <f>IFERROR(tbl_HojasCB[[#This Row],[REFRESCADO_FIN]]-tbl_HojasCB[[#This Row],[REFRESCADO_INI]],"")</f>
        <v>1.8750000017462298E-3</v>
      </c>
      <c r="R17" s="74">
        <f>IFERROR(INDEX(tbl_hojascb_estado_hoy[guardado],tbl_HojasCB[[#This Row],[Coincidir]]),"")</f>
        <v>43244.734247685185</v>
      </c>
      <c r="S17" s="76" t="str">
        <f>IF(IFERROR(INDEX(tbl_hojascb_estado_hoy[razon],tbl_HojasCB[[#This Row],[Coincidir]]),"")=0,"",IFERROR(INDEX(tbl_hojascb_estado_hoy[razon],tbl_HojasCB[[#This Row],[Coincidir]]),""))</f>
        <v/>
      </c>
      <c r="T17" s="73">
        <f>MATCH(EMP&amp;tbl_HojasCB[[#This Row],[HOJAS]],tbl_hojascb_estado_hoy[empresa_hoja],0)</f>
        <v>4</v>
      </c>
    </row>
    <row r="18" spans="1:20" ht="15" customHeight="1" x14ac:dyDescent="0.25">
      <c r="A18" s="46" t="str">
        <f>"Total Hojas:  "&amp;SUBTOTAL(103,tbl_HojasCB[HOJAS])</f>
        <v>Total Hojas:  2</v>
      </c>
      <c r="B18" s="46">
        <f ca="1">SUBTOTAL(109,tbl_HojasCB[ALERTAS])</f>
        <v>12</v>
      </c>
      <c r="C18" s="44">
        <f>SUBTOTAL(109,tbl_HojasCB[COSTO BUFFER])</f>
        <v>996131.94</v>
      </c>
      <c r="D18" s="44">
        <f>SUBTOTAL(109,tbl_HojasCB[COSTO FÍSICO])</f>
        <v>281337.06</v>
      </c>
      <c r="E18" s="44">
        <f>SUBTOTAL(109,tbl_HojasCB[COSTO TRÁNSITO])</f>
        <v>275722.47000000003</v>
      </c>
      <c r="F18" s="44">
        <f>SUBTOTAL(109,tbl_HojasCB[COSTO COMPROM])</f>
        <v>0</v>
      </c>
      <c r="G18" s="44">
        <f>SUBTOTAL(109,tbl_HojasCB[COSTO BACKORDER])</f>
        <v>33911.25</v>
      </c>
      <c r="H18" s="44">
        <f>SUBTOTAL(109,tbl_HojasCB[COSTO PROYECTADO])</f>
        <v>590970.78</v>
      </c>
      <c r="I18" s="44">
        <f>SUBTOTAL(109,tbl_HojasCB[COSTO TOTAL])</f>
        <v>557059.53</v>
      </c>
      <c r="J18" s="47">
        <f>SUBTOTAL(109,tbl_HojasCB[ÍTEMS TOTALES])</f>
        <v>137</v>
      </c>
      <c r="K18" s="47">
        <f>SUBTOTAL(109,tbl_HojasCB[ÍTEMS CON BUFFER])</f>
        <v>108</v>
      </c>
      <c r="L18" s="47">
        <f>SUBTOTAL(109,tbl_HojasCB[DÍAS PERÍODO])</f>
        <v>410</v>
      </c>
      <c r="M18" s="47">
        <f>SUBTOTAL(109,tbl_HojasCB[DUPLICADOS])</f>
        <v>0</v>
      </c>
      <c r="N18" s="46"/>
      <c r="O18" s="45">
        <f>SUBTOTAL(105,tbl_HojasCB[REFRESCADO_INI])</f>
        <v>43244.729895833334</v>
      </c>
      <c r="P18" s="45">
        <f>SUBTOTAL(104,tbl_HojasCB[REFRESCADO_FIN])</f>
        <v>43244.734131944446</v>
      </c>
      <c r="Q18" s="62">
        <f>SUBTOTAL(109,tbl_HojasCB[DURACIÓN])</f>
        <v>3.6805555573664606E-3</v>
      </c>
      <c r="R18" s="46"/>
      <c r="T18" s="46"/>
    </row>
    <row r="19" spans="1:20" ht="15" customHeight="1" x14ac:dyDescent="0.25"/>
    <row r="20" spans="1:20" ht="15" customHeight="1" x14ac:dyDescent="0.25"/>
    <row r="21" spans="1:20" ht="15" customHeight="1" x14ac:dyDescent="0.25"/>
    <row r="22" spans="1:20" ht="15" customHeight="1" x14ac:dyDescent="0.25"/>
    <row r="23" spans="1:20" ht="15" customHeight="1" x14ac:dyDescent="0.25"/>
    <row r="128" spans="184:185" x14ac:dyDescent="0.25">
      <c r="GB128" s="48" t="s">
        <v>193</v>
      </c>
      <c r="GC128" s="33" t="s">
        <v>144</v>
      </c>
    </row>
  </sheetData>
  <sheetProtection algorithmName="SHA-512" hashValue="n/HtWbqm2ebsngyjl0hh8wpuSlGHa+cSGxylt1/MUBnfKkZHwVmMX8kMVPUThrIz4Be0kLhEdwWReDZTF6DmJg==" saltValue="W/sCj2Tctraekk3Y5QMjVg==" spinCount="100000" sheet="1" objects="1" scenarios="1" sort="0" autoFilter="0"/>
  <conditionalFormatting sqref="I3">
    <cfRule type="expression" dxfId="28" priority="20" stopIfTrue="1">
      <formula>REFRESCADO="Completo"</formula>
    </cfRule>
    <cfRule type="expression" dxfId="27" priority="29">
      <formula>REFRESCADO="Incompleto"</formula>
    </cfRule>
  </conditionalFormatting>
  <conditionalFormatting sqref="D10:E10">
    <cfRule type="expression" dxfId="26" priority="25">
      <formula>$D10="NO HAY ALERTAS"</formula>
    </cfRule>
    <cfRule type="expression" dxfId="25" priority="26">
      <formula>$D10="HAY ALERTAS"</formula>
    </cfRule>
  </conditionalFormatting>
  <conditionalFormatting sqref="I4 I6:I10">
    <cfRule type="expression" dxfId="24" priority="21">
      <formula>$I4&lt;&gt;TODAY()</formula>
    </cfRule>
  </conditionalFormatting>
  <conditionalFormatting sqref="A16:S17">
    <cfRule type="expression" dxfId="23" priority="6" stopIfTrue="1">
      <formula>OR(TRUNC($P16)&lt;TODAY(),$N16&lt;&gt;"1 - 1")</formula>
    </cfRule>
    <cfRule type="expression" dxfId="22" priority="3121" stopIfTrue="1">
      <formula>$M16&gt;0</formula>
    </cfRule>
  </conditionalFormatting>
  <conditionalFormatting sqref="B16:B17">
    <cfRule type="colorScale" priority="3122">
      <colorScale>
        <cfvo type="num" val="0"/>
        <cfvo type="percentile" val="50"/>
        <cfvo type="num" val="6"/>
        <color rgb="FF63BE7B"/>
        <color rgb="FFFFEB84"/>
        <color rgb="FFF8696B"/>
      </colorScale>
    </cfRule>
  </conditionalFormatting>
  <conditionalFormatting sqref="G6:H6">
    <cfRule type="expression" dxfId="21" priority="4">
      <formula>NOT(trae_Bodega)</formula>
    </cfRule>
  </conditionalFormatting>
  <conditionalFormatting sqref="G8:H8">
    <cfRule type="expression" dxfId="20" priority="3">
      <formula>NOT(trae_Inventario)</formula>
    </cfRule>
  </conditionalFormatting>
  <conditionalFormatting sqref="G7:H7">
    <cfRule type="expression" dxfId="19" priority="2">
      <formula>NOT(trae_Producto)</formula>
    </cfRule>
  </conditionalFormatting>
  <conditionalFormatting sqref="G10:H10">
    <cfRule type="expression" dxfId="18" priority="1">
      <formula>NOT(trae_Consumo)</formula>
    </cfRule>
  </conditionalFormatting>
  <conditionalFormatting sqref="C16:C17">
    <cfRule type="dataBar" priority="4622">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7">
    <cfRule type="dataBar" priority="4623">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7">
    <cfRule type="dataBar" priority="4624">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7">
    <cfRule type="dataBar" priority="4625">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7">
    <cfRule type="dataBar" priority="4626">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7">
    <cfRule type="dataBar" priority="4627">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7">
    <cfRule type="dataBar" priority="4628">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7">
    <cfRule type="dataBar" priority="4629">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7">
    <cfRule type="dataBar" priority="4630">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89" r:id="rId20"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1"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2" name="cmd_Importa_Datos_ERP">
          <controlPr defaultSize="0" print="0" autoFill="0" autoPict="0" macro="[0]!Trae_Datos_Del_ERP_Manual">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3"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4" name="cas_Bodega">
          <controlPr defaultSize="0" autoFill="0" autoLine="0" autoPict="0">
            <anchor>
              <from>
                <xdr:col>7</xdr:col>
                <xdr:colOff>647700</xdr:colOff>
                <xdr:row>4</xdr:row>
                <xdr:rowOff>161925</xdr:rowOff>
              </from>
              <to>
                <xdr:col>8</xdr:col>
                <xdr:colOff>180975</xdr:colOff>
                <xdr:row>6</xdr:row>
                <xdr:rowOff>0</xdr:rowOff>
              </to>
            </anchor>
          </controlPr>
        </control>
      </mc:Choice>
    </mc:AlternateContent>
    <mc:AlternateContent xmlns:mc="http://schemas.openxmlformats.org/markup-compatibility/2006">
      <mc:Choice Requires="x14">
        <control shapeId="170965" r:id="rId25" name="cas_Inventario">
          <controlPr defaultSize="0" autoFill="0" autoLine="0" autoPict="0">
            <anchor>
              <from>
                <xdr:col>7</xdr:col>
                <xdr:colOff>647700</xdr:colOff>
                <xdr:row>6</xdr:row>
                <xdr:rowOff>180975</xdr:rowOff>
              </from>
              <to>
                <xdr:col>8</xdr:col>
                <xdr:colOff>180975</xdr:colOff>
                <xdr:row>8</xdr:row>
                <xdr:rowOff>19050</xdr:rowOff>
              </to>
            </anchor>
          </controlPr>
        </control>
      </mc:Choice>
    </mc:AlternateContent>
    <mc:AlternateContent xmlns:mc="http://schemas.openxmlformats.org/markup-compatibility/2006">
      <mc:Choice Requires="x14">
        <control shapeId="170966" r:id="rId26" name="cas_Producto">
          <controlPr defaultSize="0" autoFill="0" autoLine="0" autoPict="0">
            <anchor>
              <from>
                <xdr:col>7</xdr:col>
                <xdr:colOff>647700</xdr:colOff>
                <xdr:row>5</xdr:row>
                <xdr:rowOff>180975</xdr:rowOff>
              </from>
              <to>
                <xdr:col>8</xdr:col>
                <xdr:colOff>190500</xdr:colOff>
                <xdr:row>7</xdr:row>
                <xdr:rowOff>19050</xdr:rowOff>
              </to>
            </anchor>
          </controlPr>
        </control>
      </mc:Choice>
    </mc:AlternateContent>
    <mc:AlternateContent xmlns:mc="http://schemas.openxmlformats.org/markup-compatibility/2006">
      <mc:Choice Requires="x14">
        <control shapeId="170967" r:id="rId27" name="cas_Consumo">
          <controlPr defaultSize="0" autoFill="0" autoLine="0" autoPict="0">
            <anchor>
              <from>
                <xdr:col>7</xdr:col>
                <xdr:colOff>647700</xdr:colOff>
                <xdr:row>8</xdr:row>
                <xdr:rowOff>180975</xdr:rowOff>
              </from>
              <to>
                <xdr:col>8</xdr:col>
                <xdr:colOff>190500</xdr:colOff>
                <xdr:row>10</xdr:row>
                <xdr:rowOff>19050</xdr:rowOff>
              </to>
            </anchor>
          </controlPr>
        </control>
      </mc:Choice>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C16:C17</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D16:D17</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E16:E17</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G16:G17</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H16:H17</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I16:I17</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J16:J17</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K16:K17</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268</v>
      </c>
      <c r="B1" t="s">
        <v>269</v>
      </c>
      <c r="C1" t="s">
        <v>270</v>
      </c>
      <c r="D1" t="s">
        <v>271</v>
      </c>
      <c r="E1" t="s">
        <v>272</v>
      </c>
      <c r="F1" t="s">
        <v>273</v>
      </c>
      <c r="G1" t="s">
        <v>274</v>
      </c>
      <c r="H1" t="s">
        <v>275</v>
      </c>
      <c r="I1" t="s">
        <v>276</v>
      </c>
      <c r="J1" t="s">
        <v>277</v>
      </c>
      <c r="K1" t="s">
        <v>278</v>
      </c>
      <c r="L1" t="s">
        <v>279</v>
      </c>
      <c r="M1" t="s">
        <v>280</v>
      </c>
      <c r="N1" t="s">
        <v>281</v>
      </c>
      <c r="O1" t="s">
        <v>282</v>
      </c>
      <c r="P1" t="s">
        <v>283</v>
      </c>
      <c r="Q1" t="s">
        <v>284</v>
      </c>
      <c r="R1" t="s">
        <v>285</v>
      </c>
      <c r="S1" t="s">
        <v>286</v>
      </c>
      <c r="T1" t="s">
        <v>287</v>
      </c>
    </row>
    <row r="2" spans="1:20" x14ac:dyDescent="0.25">
      <c r="A2" t="s">
        <v>0</v>
      </c>
      <c r="B2" t="s">
        <v>252</v>
      </c>
      <c r="C2">
        <v>1</v>
      </c>
      <c r="D2">
        <v>1</v>
      </c>
      <c r="E2" s="24">
        <v>43244.729895833334</v>
      </c>
      <c r="F2" s="24">
        <v>43244.73170138889</v>
      </c>
      <c r="G2" s="24">
        <v>43244.731851851851</v>
      </c>
      <c r="H2" s="24"/>
      <c r="I2" s="24">
        <v>193</v>
      </c>
      <c r="J2" s="24">
        <v>0</v>
      </c>
      <c r="K2" s="24">
        <v>80</v>
      </c>
      <c r="L2" s="24">
        <v>63</v>
      </c>
      <c r="M2" s="24">
        <v>108648.23</v>
      </c>
      <c r="N2" s="24">
        <v>39589.599999999999</v>
      </c>
      <c r="O2" s="24">
        <v>66202.33</v>
      </c>
      <c r="P2" s="24">
        <v>0</v>
      </c>
      <c r="Q2" s="24">
        <v>32485.01</v>
      </c>
      <c r="R2" s="24">
        <v>138276.94</v>
      </c>
      <c r="S2" s="24">
        <v>105791.93</v>
      </c>
      <c r="T2" s="24" t="str">
        <f>tbl_hojascb_estado_hoy[[#This Row],[empresa]]&amp;tbl_hojascb_estado_hoy[[#This Row],[hoja_cb]]</f>
        <v>AGROTAAccesorios.xlsm</v>
      </c>
    </row>
    <row r="3" spans="1:20" x14ac:dyDescent="0.25">
      <c r="A3" t="s">
        <v>0</v>
      </c>
      <c r="B3" t="s">
        <v>253</v>
      </c>
      <c r="C3">
        <v>1</v>
      </c>
      <c r="D3">
        <v>1</v>
      </c>
      <c r="E3" s="24">
        <v>43234.402349537035</v>
      </c>
      <c r="F3" s="24">
        <v>43234.402986111112</v>
      </c>
      <c r="G3" s="24">
        <v>43234.455914351849</v>
      </c>
      <c r="H3" s="24"/>
      <c r="I3" s="24">
        <v>71</v>
      </c>
      <c r="J3" s="24">
        <v>0</v>
      </c>
      <c r="K3" s="24">
        <v>6</v>
      </c>
      <c r="L3" s="24">
        <v>6</v>
      </c>
      <c r="M3" s="24">
        <v>4206.5</v>
      </c>
      <c r="N3" s="24">
        <v>7227.07</v>
      </c>
      <c r="O3" s="24">
        <v>0</v>
      </c>
      <c r="P3" s="24">
        <v>0</v>
      </c>
      <c r="Q3" s="24">
        <v>0</v>
      </c>
      <c r="R3" s="24">
        <v>7227.07</v>
      </c>
      <c r="S3" s="24">
        <v>7227.07</v>
      </c>
      <c r="T3" s="24" t="str">
        <f>tbl_hojascb_estado_hoy[[#This Row],[empresa]]&amp;tbl_hojascb_estado_hoy[[#This Row],[hoja_cb]]</f>
        <v>AGROTACAFE MATERIA PRIMA.xlsm</v>
      </c>
    </row>
    <row r="4" spans="1:20" x14ac:dyDescent="0.25">
      <c r="A4" t="s">
        <v>0</v>
      </c>
      <c r="B4" t="s">
        <v>7</v>
      </c>
      <c r="C4">
        <v>1</v>
      </c>
      <c r="D4">
        <v>1</v>
      </c>
      <c r="E4" s="24">
        <v>43242.462002314816</v>
      </c>
      <c r="F4" s="24">
        <v>43242.464178240742</v>
      </c>
      <c r="G4" s="24">
        <v>43242.882743055554</v>
      </c>
      <c r="H4" s="24"/>
      <c r="I4" s="24">
        <v>217</v>
      </c>
      <c r="J4" s="24">
        <v>0</v>
      </c>
      <c r="K4" s="24">
        <v>57</v>
      </c>
      <c r="L4" s="24">
        <v>45</v>
      </c>
      <c r="M4" s="24">
        <v>887483.71</v>
      </c>
      <c r="N4" s="24">
        <v>265942.90000000002</v>
      </c>
      <c r="O4" s="24">
        <v>209520.14</v>
      </c>
      <c r="P4" s="24">
        <v>0</v>
      </c>
      <c r="Q4" s="24">
        <v>1426.24</v>
      </c>
      <c r="R4" s="24">
        <v>476889.28</v>
      </c>
      <c r="S4" s="24">
        <v>475463.04</v>
      </c>
      <c r="T4" s="24" t="str">
        <f>tbl_hojascb_estado_hoy[[#This Row],[empresa]]&amp;tbl_hojascb_estado_hoy[[#This Row],[hoja_cb]]</f>
        <v>AGROTAControl Buffers.xlsm</v>
      </c>
    </row>
    <row r="5" spans="1:20" x14ac:dyDescent="0.25">
      <c r="A5" t="s">
        <v>0</v>
      </c>
      <c r="B5" t="s">
        <v>249</v>
      </c>
      <c r="C5">
        <v>1</v>
      </c>
      <c r="D5">
        <v>1</v>
      </c>
      <c r="E5" s="24">
        <v>43244.732256944444</v>
      </c>
      <c r="F5" s="24">
        <v>43244.734131944446</v>
      </c>
      <c r="G5" s="24">
        <v>43244.734247685185</v>
      </c>
      <c r="H5" s="24"/>
      <c r="I5" s="24">
        <v>217</v>
      </c>
      <c r="J5" s="24">
        <v>0</v>
      </c>
      <c r="K5" s="24">
        <v>57</v>
      </c>
      <c r="L5" s="24">
        <v>45</v>
      </c>
      <c r="M5" s="24">
        <v>887483.71</v>
      </c>
      <c r="N5" s="24">
        <v>241747.46</v>
      </c>
      <c r="O5" s="24">
        <v>209520.14</v>
      </c>
      <c r="P5" s="24">
        <v>0</v>
      </c>
      <c r="Q5" s="24">
        <v>1426.24</v>
      </c>
      <c r="R5" s="24">
        <v>452693.84</v>
      </c>
      <c r="S5" s="24">
        <v>451267.6</v>
      </c>
      <c r="T5" s="24" t="str">
        <f>tbl_hojascb_estado_hoy[[#This Row],[empresa]]&amp;tbl_hojascb_estado_hoy[[#This Row],[hoja_cb]]</f>
        <v>AGROTAMaquinas ECHO - SHINDAIWA.xlsm</v>
      </c>
    </row>
    <row r="6" spans="1:20" x14ac:dyDescent="0.25">
      <c r="A6" t="s">
        <v>0</v>
      </c>
      <c r="B6" t="s">
        <v>292</v>
      </c>
      <c r="C6">
        <v>1</v>
      </c>
      <c r="D6">
        <v>1</v>
      </c>
      <c r="E6" s="24">
        <v>43237.484907407408</v>
      </c>
      <c r="F6" s="24">
        <v>43237.486157407409</v>
      </c>
      <c r="G6" s="24">
        <v>43237.874016203707</v>
      </c>
      <c r="H6" s="24"/>
      <c r="I6" s="24">
        <v>220</v>
      </c>
      <c r="J6" s="24">
        <v>0</v>
      </c>
      <c r="K6" s="24">
        <v>1282</v>
      </c>
      <c r="L6" s="24">
        <v>1171</v>
      </c>
      <c r="M6" s="24">
        <v>97900.01</v>
      </c>
      <c r="N6" s="24">
        <v>120353.16</v>
      </c>
      <c r="O6" s="24">
        <v>8221.1</v>
      </c>
      <c r="P6" s="24">
        <v>0</v>
      </c>
      <c r="Q6" s="24">
        <v>2012.8</v>
      </c>
      <c r="R6" s="24">
        <v>130587.06</v>
      </c>
      <c r="S6" s="24">
        <v>128574.26</v>
      </c>
      <c r="T6" s="24"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147</v>
      </c>
      <c r="B1" t="s">
        <v>145</v>
      </c>
      <c r="C1" t="s">
        <v>146</v>
      </c>
    </row>
    <row r="2" spans="1:3" x14ac:dyDescent="0.25">
      <c r="A2">
        <f>ROW()-ROW(Indicaciones[[#Headers],[ID]])</f>
        <v>1</v>
      </c>
      <c r="C2" t="s">
        <v>183</v>
      </c>
    </row>
    <row r="3" spans="1:3" x14ac:dyDescent="0.25">
      <c r="A3">
        <f>ROW()-ROW(Indicaciones[[#Headers],[ID]])</f>
        <v>2</v>
      </c>
      <c r="C3" t="s">
        <v>184</v>
      </c>
    </row>
    <row r="4" spans="1:3" x14ac:dyDescent="0.25">
      <c r="A4" s="2">
        <f>ROW()-ROW(Indicaciones[[#Headers],[ID]])</f>
        <v>3</v>
      </c>
      <c r="C4" t="s">
        <v>186</v>
      </c>
    </row>
    <row r="5" spans="1:3" x14ac:dyDescent="0.25">
      <c r="A5" s="2">
        <f>ROW()-ROW(Indicaciones[[#Headers],[ID]])</f>
        <v>4</v>
      </c>
      <c r="C5" t="s">
        <v>148</v>
      </c>
    </row>
    <row r="6" spans="1:3" x14ac:dyDescent="0.25">
      <c r="A6" s="2">
        <f>ROW()-ROW(Indicaciones[[#Headers],[ID]])</f>
        <v>5</v>
      </c>
      <c r="C6" t="s">
        <v>149</v>
      </c>
    </row>
    <row r="7" spans="1:3" x14ac:dyDescent="0.25">
      <c r="A7" s="2">
        <f>ROW()-ROW(Indicaciones[[#Headers],[ID]])</f>
        <v>6</v>
      </c>
      <c r="C7" t="s">
        <v>150</v>
      </c>
    </row>
    <row r="8" spans="1:3" x14ac:dyDescent="0.25">
      <c r="A8" s="2">
        <f>ROW()-ROW(Indicaciones[[#Headers],[ID]])</f>
        <v>7</v>
      </c>
      <c r="C8" t="s">
        <v>187</v>
      </c>
    </row>
    <row r="9" spans="1:3" x14ac:dyDescent="0.25">
      <c r="A9" s="2">
        <f>ROW()-ROW(Indicaciones[[#Headers],[ID]])</f>
        <v>8</v>
      </c>
      <c r="C9" t="s">
        <v>151</v>
      </c>
    </row>
    <row r="10" spans="1:3" x14ac:dyDescent="0.25">
      <c r="A10" s="2">
        <f>ROW()-ROW(Indicaciones[[#Headers],[ID]])</f>
        <v>9</v>
      </c>
      <c r="C10" t="s">
        <v>152</v>
      </c>
    </row>
    <row r="11" spans="1:3" x14ac:dyDescent="0.25">
      <c r="A11" s="2">
        <f>ROW()-ROW(Indicaciones[[#Headers],[ID]])</f>
        <v>10</v>
      </c>
      <c r="C11" t="s">
        <v>175</v>
      </c>
    </row>
    <row r="12" spans="1:3" x14ac:dyDescent="0.25">
      <c r="A12" s="2">
        <f>ROW()-ROW(Indicaciones[[#Headers],[ID]])</f>
        <v>11</v>
      </c>
      <c r="C12" t="s">
        <v>176</v>
      </c>
    </row>
    <row r="13" spans="1:3" x14ac:dyDescent="0.25">
      <c r="A13" s="2">
        <f>ROW()-ROW(Indicaciones[[#Headers],[ID]])</f>
        <v>12</v>
      </c>
      <c r="C13" t="s">
        <v>153</v>
      </c>
    </row>
    <row r="14" spans="1:3" x14ac:dyDescent="0.25">
      <c r="A14" s="2">
        <f>ROW()-ROW(Indicaciones[[#Headers],[ID]])</f>
        <v>13</v>
      </c>
      <c r="C14" t="s">
        <v>154</v>
      </c>
    </row>
    <row r="15" spans="1:3" x14ac:dyDescent="0.25">
      <c r="A15" s="2">
        <f>ROW()-ROW(Indicaciones[[#Headers],[ID]])</f>
        <v>14</v>
      </c>
      <c r="C15" t="s">
        <v>155</v>
      </c>
    </row>
    <row r="16" spans="1:3" x14ac:dyDescent="0.25">
      <c r="A16" s="2">
        <f>ROW()-ROW(Indicaciones[[#Headers],[ID]])</f>
        <v>15</v>
      </c>
      <c r="C16" t="s">
        <v>156</v>
      </c>
    </row>
    <row r="17" spans="1:3" x14ac:dyDescent="0.25">
      <c r="A17" s="2">
        <f>ROW()-ROW(Indicaciones[[#Headers],[ID]])</f>
        <v>16</v>
      </c>
      <c r="C17" t="s">
        <v>157</v>
      </c>
    </row>
    <row r="18" spans="1:3" x14ac:dyDescent="0.25">
      <c r="A18" s="2">
        <f>ROW()-ROW(Indicaciones[[#Headers],[ID]])</f>
        <v>17</v>
      </c>
      <c r="C18" t="s">
        <v>190</v>
      </c>
    </row>
    <row r="19" spans="1:3" x14ac:dyDescent="0.25">
      <c r="A19" s="2">
        <f>ROW()-ROW(Indicaciones[[#Headers],[ID]])</f>
        <v>18</v>
      </c>
      <c r="C19" t="s">
        <v>158</v>
      </c>
    </row>
    <row r="20" spans="1:3" x14ac:dyDescent="0.25">
      <c r="A20" s="2">
        <f>ROW()-ROW(Indicaciones[[#Headers],[ID]])</f>
        <v>19</v>
      </c>
      <c r="C20" t="s">
        <v>159</v>
      </c>
    </row>
    <row r="21" spans="1:3" x14ac:dyDescent="0.25">
      <c r="A21" s="2">
        <f>ROW()-ROW(Indicaciones[[#Headers],[ID]])</f>
        <v>20</v>
      </c>
      <c r="C21" t="s">
        <v>160</v>
      </c>
    </row>
    <row r="22" spans="1:3" x14ac:dyDescent="0.25">
      <c r="A22" s="2">
        <f>ROW()-ROW(Indicaciones[[#Headers],[ID]])</f>
        <v>21</v>
      </c>
      <c r="C22" t="s">
        <v>161</v>
      </c>
    </row>
    <row r="23" spans="1:3" x14ac:dyDescent="0.25">
      <c r="A23" s="2">
        <f>ROW()-ROW(Indicaciones[[#Headers],[ID]])</f>
        <v>22</v>
      </c>
      <c r="C23" t="s">
        <v>162</v>
      </c>
    </row>
    <row r="24" spans="1:3" x14ac:dyDescent="0.25">
      <c r="A24" s="2">
        <f>ROW()-ROW(Indicaciones[[#Headers],[ID]])</f>
        <v>23</v>
      </c>
      <c r="C24" t="s">
        <v>163</v>
      </c>
    </row>
    <row r="25" spans="1:3" x14ac:dyDescent="0.25">
      <c r="A25" s="2">
        <f>ROW()-ROW(Indicaciones[[#Headers],[ID]])</f>
        <v>24</v>
      </c>
      <c r="C25" t="s">
        <v>164</v>
      </c>
    </row>
    <row r="26" spans="1:3" x14ac:dyDescent="0.25">
      <c r="A26" s="2">
        <f>ROW()-ROW(Indicaciones[[#Headers],[ID]])</f>
        <v>25</v>
      </c>
      <c r="C26" t="s">
        <v>165</v>
      </c>
    </row>
    <row r="27" spans="1:3" x14ac:dyDescent="0.25">
      <c r="A27" s="2">
        <f>ROW()-ROW(Indicaciones[[#Headers],[ID]])</f>
        <v>26</v>
      </c>
      <c r="C27" t="s">
        <v>166</v>
      </c>
    </row>
    <row r="28" spans="1:3" x14ac:dyDescent="0.25">
      <c r="A28" s="2">
        <f>ROW()-ROW(Indicaciones[[#Headers],[ID]])</f>
        <v>27</v>
      </c>
      <c r="C28" t="s">
        <v>167</v>
      </c>
    </row>
    <row r="29" spans="1:3" x14ac:dyDescent="0.25">
      <c r="A29" s="2">
        <f>ROW()-ROW(Indicaciones[[#Headers],[ID]])</f>
        <v>28</v>
      </c>
      <c r="C29" t="s">
        <v>168</v>
      </c>
    </row>
    <row r="30" spans="1:3" x14ac:dyDescent="0.25">
      <c r="A30" s="2">
        <f>ROW()-ROW(Indicaciones[[#Headers],[ID]])</f>
        <v>29</v>
      </c>
      <c r="C30" t="s">
        <v>169</v>
      </c>
    </row>
    <row r="31" spans="1:3" x14ac:dyDescent="0.25">
      <c r="A31" s="2">
        <f>ROW()-ROW(Indicaciones[[#Headers],[ID]])</f>
        <v>30</v>
      </c>
      <c r="C31" t="s">
        <v>170</v>
      </c>
    </row>
    <row r="32" spans="1:3" x14ac:dyDescent="0.25">
      <c r="A32" s="2">
        <f>ROW()-ROW(Indicaciones[[#Headers],[ID]])</f>
        <v>31</v>
      </c>
      <c r="C32" t="s">
        <v>171</v>
      </c>
    </row>
    <row r="33" spans="1:3" x14ac:dyDescent="0.25">
      <c r="A33" s="2">
        <f>ROW()-ROW(Indicaciones[[#Headers],[ID]])</f>
        <v>32</v>
      </c>
      <c r="C33" t="s">
        <v>172</v>
      </c>
    </row>
    <row r="34" spans="1:3" x14ac:dyDescent="0.25">
      <c r="A34" s="2">
        <f>ROW()-ROW(Indicaciones[[#Headers],[ID]])</f>
        <v>33</v>
      </c>
      <c r="C34" t="s">
        <v>173</v>
      </c>
    </row>
    <row r="35" spans="1:3" x14ac:dyDescent="0.25">
      <c r="A35" s="2">
        <f>ROW()-ROW(Indicaciones[[#Headers],[ID]])</f>
        <v>34</v>
      </c>
      <c r="C35" t="s">
        <v>174</v>
      </c>
    </row>
    <row r="36" spans="1:3" x14ac:dyDescent="0.25">
      <c r="A36" s="2">
        <f>ROW()-ROW(Indicaciones[[#Headers],[ID]])</f>
        <v>35</v>
      </c>
      <c r="C36" t="s">
        <v>177</v>
      </c>
    </row>
    <row r="37" spans="1:3" x14ac:dyDescent="0.25">
      <c r="A37" s="2">
        <f>ROW()-ROW(Indicaciones[[#Headers],[ID]])</f>
        <v>36</v>
      </c>
      <c r="C37" t="s">
        <v>178</v>
      </c>
    </row>
    <row r="38" spans="1:3" x14ac:dyDescent="0.25">
      <c r="A38" s="2">
        <f>ROW()-ROW(Indicaciones[[#Headers],[ID]])</f>
        <v>37</v>
      </c>
      <c r="C38" t="s">
        <v>179</v>
      </c>
    </row>
    <row r="39" spans="1:3" x14ac:dyDescent="0.25">
      <c r="A39" s="2">
        <f>ROW()-ROW(Indicaciones[[#Headers],[ID]])</f>
        <v>38</v>
      </c>
      <c r="C39" t="s">
        <v>180</v>
      </c>
    </row>
    <row r="40" spans="1:3" x14ac:dyDescent="0.25">
      <c r="A40" s="2">
        <f>ROW()-ROW(Indicaciones[[#Headers],[ID]])</f>
        <v>39</v>
      </c>
      <c r="C40" t="s">
        <v>181</v>
      </c>
    </row>
    <row r="41" spans="1:3" x14ac:dyDescent="0.25">
      <c r="A41" s="2">
        <f>ROW()-ROW(Indicaciones[[#Headers],[ID]])</f>
        <v>40</v>
      </c>
      <c r="C41" t="s">
        <v>182</v>
      </c>
    </row>
    <row r="42" spans="1:3" x14ac:dyDescent="0.25">
      <c r="A42" s="2">
        <f>ROW()-ROW(Indicaciones[[#Headers],[ID]])</f>
        <v>41</v>
      </c>
      <c r="C42" t="s">
        <v>185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111</v>
      </c>
    </row>
    <row r="24" spans="3:4" x14ac:dyDescent="0.25">
      <c r="C24">
        <v>1</v>
      </c>
      <c r="D24" t="s">
        <v>112</v>
      </c>
    </row>
    <row r="25" spans="3:4" x14ac:dyDescent="0.25">
      <c r="C25">
        <v>2</v>
      </c>
      <c r="D25" t="s">
        <v>113</v>
      </c>
    </row>
    <row r="26" spans="3:4" x14ac:dyDescent="0.25">
      <c r="C26">
        <v>3</v>
      </c>
      <c r="D26" t="s">
        <v>123</v>
      </c>
    </row>
    <row r="27" spans="3:4" x14ac:dyDescent="0.25">
      <c r="C27">
        <v>4</v>
      </c>
      <c r="D27" t="s">
        <v>114</v>
      </c>
    </row>
    <row r="28" spans="3:4" x14ac:dyDescent="0.25">
      <c r="C28">
        <v>5</v>
      </c>
      <c r="D28" t="s">
        <v>115</v>
      </c>
    </row>
    <row r="29" spans="3:4" x14ac:dyDescent="0.25">
      <c r="C29">
        <v>6</v>
      </c>
      <c r="D29" t="s">
        <v>116</v>
      </c>
    </row>
    <row r="30" spans="3:4" x14ac:dyDescent="0.25">
      <c r="C30">
        <v>7</v>
      </c>
      <c r="D30" t="s">
        <v>117</v>
      </c>
    </row>
    <row r="31" spans="3:4" x14ac:dyDescent="0.25">
      <c r="C31">
        <v>8</v>
      </c>
      <c r="D31" t="s">
        <v>118</v>
      </c>
    </row>
    <row r="32" spans="3:4" x14ac:dyDescent="0.25">
      <c r="C32">
        <v>9</v>
      </c>
      <c r="D32" t="s">
        <v>119</v>
      </c>
    </row>
    <row r="33" spans="3:4" x14ac:dyDescent="0.25">
      <c r="C33">
        <v>10</v>
      </c>
      <c r="D33" t="s">
        <v>120</v>
      </c>
    </row>
    <row r="34" spans="3:4" x14ac:dyDescent="0.25">
      <c r="C34">
        <v>10.1</v>
      </c>
      <c r="D34" t="s">
        <v>142</v>
      </c>
    </row>
    <row r="35" spans="3:4" x14ac:dyDescent="0.25">
      <c r="C35">
        <v>10.199999999999999</v>
      </c>
      <c r="D35" t="s">
        <v>188</v>
      </c>
    </row>
    <row r="36" spans="3:4" x14ac:dyDescent="0.25">
      <c r="C36">
        <v>11</v>
      </c>
      <c r="D36" t="s">
        <v>121</v>
      </c>
    </row>
    <row r="37" spans="3:4" x14ac:dyDescent="0.25">
      <c r="C37">
        <v>12</v>
      </c>
      <c r="D37" t="s">
        <v>124</v>
      </c>
    </row>
    <row r="38" spans="3:4" x14ac:dyDescent="0.25">
      <c r="C38">
        <v>13</v>
      </c>
      <c r="D38" t="s">
        <v>125</v>
      </c>
    </row>
    <row r="39" spans="3:4" x14ac:dyDescent="0.25">
      <c r="C39">
        <v>14</v>
      </c>
      <c r="D39" t="s">
        <v>126</v>
      </c>
    </row>
    <row r="40" spans="3:4" x14ac:dyDescent="0.25">
      <c r="C40">
        <v>15</v>
      </c>
      <c r="D40" t="s">
        <v>127</v>
      </c>
    </row>
    <row r="41" spans="3:4" x14ac:dyDescent="0.25">
      <c r="C41">
        <v>16</v>
      </c>
      <c r="D41" t="s">
        <v>128</v>
      </c>
    </row>
    <row r="42" spans="3:4" x14ac:dyDescent="0.25">
      <c r="C42">
        <v>17</v>
      </c>
      <c r="D42" t="s">
        <v>129</v>
      </c>
    </row>
    <row r="43" spans="3:4" x14ac:dyDescent="0.25">
      <c r="C43">
        <v>18</v>
      </c>
      <c r="D43" t="s">
        <v>130</v>
      </c>
    </row>
    <row r="44" spans="3:4" x14ac:dyDescent="0.25">
      <c r="C44">
        <v>19</v>
      </c>
      <c r="D44" t="s">
        <v>131</v>
      </c>
    </row>
    <row r="45" spans="3:4" x14ac:dyDescent="0.25">
      <c r="C45">
        <v>20</v>
      </c>
      <c r="D45" t="s">
        <v>133</v>
      </c>
    </row>
    <row r="46" spans="3:4" x14ac:dyDescent="0.25">
      <c r="C46">
        <v>21</v>
      </c>
      <c r="D46" t="s">
        <v>132</v>
      </c>
    </row>
    <row r="47" spans="3:4" x14ac:dyDescent="0.25">
      <c r="C47">
        <v>22</v>
      </c>
      <c r="D47" t="s">
        <v>134</v>
      </c>
    </row>
    <row r="48" spans="3:4" x14ac:dyDescent="0.25">
      <c r="C48">
        <v>23</v>
      </c>
      <c r="D48" t="s">
        <v>135</v>
      </c>
    </row>
    <row r="49" spans="3:4" x14ac:dyDescent="0.25">
      <c r="C49">
        <v>24</v>
      </c>
      <c r="D49" t="s">
        <v>136</v>
      </c>
    </row>
    <row r="50" spans="3:4" x14ac:dyDescent="0.25">
      <c r="C50">
        <v>25</v>
      </c>
      <c r="D50" t="s">
        <v>137</v>
      </c>
    </row>
    <row r="51" spans="3:4" x14ac:dyDescent="0.25">
      <c r="C51">
        <v>26</v>
      </c>
      <c r="D51" t="s">
        <v>139</v>
      </c>
    </row>
    <row r="52" spans="3:4" x14ac:dyDescent="0.25">
      <c r="C52">
        <v>27</v>
      </c>
      <c r="D52" t="s">
        <v>140</v>
      </c>
    </row>
    <row r="53" spans="3:4" x14ac:dyDescent="0.25">
      <c r="C53">
        <v>28</v>
      </c>
      <c r="D53" t="s">
        <v>138</v>
      </c>
    </row>
    <row r="54" spans="3:4" x14ac:dyDescent="0.25">
      <c r="C54">
        <v>29</v>
      </c>
      <c r="D54" t="s">
        <v>189</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K2" activePane="bottomRight" state="frozen"/>
      <selection pane="topRight" activeCell="G1" sqref="G1"/>
      <selection pane="bottomLeft" activeCell="A2" sqref="A2"/>
      <selection pane="bottomRight" activeCell="B2" sqref="B2:B3"/>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191</v>
      </c>
      <c r="G1" s="21" t="s">
        <v>93</v>
      </c>
      <c r="H1" s="21" t="s">
        <v>94</v>
      </c>
      <c r="I1" s="21" t="s">
        <v>91</v>
      </c>
      <c r="J1" s="21" t="s">
        <v>110</v>
      </c>
      <c r="K1" s="21" t="s">
        <v>95</v>
      </c>
      <c r="L1" s="21" t="s">
        <v>101</v>
      </c>
      <c r="M1" s="21" t="s">
        <v>97</v>
      </c>
      <c r="N1" s="21" t="s">
        <v>96</v>
      </c>
      <c r="O1" s="21" t="s">
        <v>98</v>
      </c>
      <c r="P1" s="21" t="s">
        <v>99</v>
      </c>
      <c r="Q1" s="21" t="s">
        <v>100</v>
      </c>
    </row>
    <row r="2" spans="2:22" x14ac:dyDescent="0.25">
      <c r="D2" s="6"/>
      <c r="E2" s="6"/>
      <c r="F2" s="6"/>
      <c r="G2" s="26"/>
      <c r="H2" s="26"/>
      <c r="I2" s="25"/>
      <c r="J2" s="25"/>
      <c r="K2" s="22"/>
      <c r="L2" s="22"/>
      <c r="M2" s="22"/>
      <c r="N2" s="22"/>
      <c r="O2" s="23"/>
      <c r="P2" s="23"/>
      <c r="Q2" s="23"/>
      <c r="V2" s="24"/>
    </row>
    <row r="3" spans="2:22" x14ac:dyDescent="0.25">
      <c r="B3" t="s">
        <v>104</v>
      </c>
      <c r="C3" s="6">
        <f>SUBTOTAL(103,tbl_Fechas_Refrescado[HOJA CB])</f>
        <v>0</v>
      </c>
      <c r="D3" s="6"/>
      <c r="E3" s="6"/>
      <c r="F3" s="6"/>
      <c r="G3" s="26">
        <f>SUBTOTAL(105,tbl_Fechas_Refrescado[INICIO])</f>
        <v>0</v>
      </c>
      <c r="H3" s="26">
        <f>SUBTOTAL(104,tbl_Fechas_Refrescado[FIN])</f>
        <v>0</v>
      </c>
      <c r="I3" s="25">
        <f>SUBTOTAL(109,tbl_Fechas_Refrescado[DURACIÓN])</f>
        <v>0</v>
      </c>
      <c r="J3" s="25"/>
      <c r="K3" s="6">
        <f>SUBTOTAL(104,tbl_Fechas_Refrescado[DIAS PERIODO])</f>
        <v>0</v>
      </c>
      <c r="L3" s="6">
        <f>SUBTOTAL(109,tbl_Fechas_Refrescado[DUPLICADOS])</f>
        <v>0</v>
      </c>
      <c r="M3" s="6">
        <f>SUBTOTAL(109,tbl_Fechas_Refrescado[SKUs Totales])</f>
        <v>0</v>
      </c>
      <c r="N3" s="6">
        <f>SUBTOTAL(109,tbl_Fechas_Refrescado[SKUs Buffer])</f>
        <v>0</v>
      </c>
      <c r="O3" s="23">
        <f>SUBTOTAL(109,tbl_Fechas_Refrescado[COSTO BUFFER])</f>
        <v>0</v>
      </c>
      <c r="P3" s="23">
        <f>SUBTOTAL(109,tbl_Fechas_Refrescado[COSTO FISICO])</f>
        <v>0</v>
      </c>
      <c r="Q3" s="23">
        <f>SUBTOTAL(109,tbl_Fechas_Refrescado[COSTO TRANSITO])</f>
        <v>0</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E8" sqref="E8"/>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195</v>
      </c>
      <c r="C2" t="s">
        <v>196</v>
      </c>
      <c r="D2">
        <v>1</v>
      </c>
    </row>
    <row r="3" spans="1:4" x14ac:dyDescent="0.25">
      <c r="A3" t="s">
        <v>0</v>
      </c>
      <c r="B3" t="s">
        <v>197</v>
      </c>
      <c r="C3" t="s">
        <v>196</v>
      </c>
      <c r="D3">
        <v>1</v>
      </c>
    </row>
    <row r="4" spans="1:4" x14ac:dyDescent="0.25">
      <c r="A4" t="s">
        <v>0</v>
      </c>
      <c r="B4" t="s">
        <v>198</v>
      </c>
      <c r="C4" t="s">
        <v>196</v>
      </c>
      <c r="D4">
        <v>1</v>
      </c>
    </row>
    <row r="5" spans="1:4" x14ac:dyDescent="0.25">
      <c r="A5" t="s">
        <v>0</v>
      </c>
      <c r="B5" t="s">
        <v>198</v>
      </c>
      <c r="C5" t="s">
        <v>199</v>
      </c>
      <c r="D5">
        <v>2</v>
      </c>
    </row>
    <row r="6" spans="1:4" x14ac:dyDescent="0.25">
      <c r="A6" t="s">
        <v>0</v>
      </c>
      <c r="B6" t="s">
        <v>200</v>
      </c>
      <c r="C6" t="s">
        <v>196</v>
      </c>
      <c r="D6">
        <v>1</v>
      </c>
    </row>
    <row r="7" spans="1:4" x14ac:dyDescent="0.25">
      <c r="A7" t="s">
        <v>0</v>
      </c>
      <c r="B7" t="s">
        <v>200</v>
      </c>
      <c r="C7" t="s">
        <v>199</v>
      </c>
      <c r="D7">
        <v>2</v>
      </c>
    </row>
    <row r="8" spans="1:4" x14ac:dyDescent="0.25">
      <c r="A8" t="s">
        <v>0</v>
      </c>
      <c r="B8" t="s">
        <v>200</v>
      </c>
      <c r="C8" t="s">
        <v>201</v>
      </c>
      <c r="D8">
        <v>4</v>
      </c>
    </row>
    <row r="9" spans="1:4" x14ac:dyDescent="0.25">
      <c r="A9" t="s">
        <v>0</v>
      </c>
      <c r="B9" t="s">
        <v>202</v>
      </c>
      <c r="C9" t="s">
        <v>196</v>
      </c>
      <c r="D9">
        <v>1</v>
      </c>
    </row>
    <row r="10" spans="1:4" x14ac:dyDescent="0.25">
      <c r="A10" t="s">
        <v>0</v>
      </c>
      <c r="B10" t="s">
        <v>203</v>
      </c>
      <c r="C10" t="s">
        <v>196</v>
      </c>
      <c r="D10">
        <v>1</v>
      </c>
    </row>
    <row r="11" spans="1:4" x14ac:dyDescent="0.25">
      <c r="A11" t="s">
        <v>0</v>
      </c>
      <c r="B11" t="s">
        <v>204</v>
      </c>
      <c r="C11" t="s">
        <v>196</v>
      </c>
      <c r="D11">
        <v>1</v>
      </c>
    </row>
    <row r="12" spans="1:4" x14ac:dyDescent="0.25">
      <c r="A12" t="s">
        <v>0</v>
      </c>
      <c r="B12" t="s">
        <v>204</v>
      </c>
      <c r="C12" t="s">
        <v>201</v>
      </c>
      <c r="D12">
        <v>9</v>
      </c>
    </row>
    <row r="13" spans="1:4" x14ac:dyDescent="0.25">
      <c r="A13" t="s">
        <v>0</v>
      </c>
      <c r="B13" t="s">
        <v>205</v>
      </c>
      <c r="C13" t="s">
        <v>196</v>
      </c>
      <c r="D13">
        <v>1</v>
      </c>
    </row>
    <row r="14" spans="1:4" x14ac:dyDescent="0.25">
      <c r="A14" t="s">
        <v>0</v>
      </c>
      <c r="B14" t="s">
        <v>206</v>
      </c>
      <c r="C14" t="s">
        <v>196</v>
      </c>
      <c r="D14">
        <v>1</v>
      </c>
    </row>
    <row r="15" spans="1:4" x14ac:dyDescent="0.25">
      <c r="A15" t="s">
        <v>0</v>
      </c>
      <c r="B15" t="s">
        <v>207</v>
      </c>
      <c r="C15" t="s">
        <v>196</v>
      </c>
      <c r="D15">
        <v>1</v>
      </c>
    </row>
    <row r="16" spans="1:4" x14ac:dyDescent="0.25">
      <c r="A16" t="s">
        <v>0</v>
      </c>
      <c r="B16" t="s">
        <v>207</v>
      </c>
      <c r="C16" t="s">
        <v>201</v>
      </c>
      <c r="D16">
        <v>2</v>
      </c>
    </row>
    <row r="17" spans="1:4" x14ac:dyDescent="0.25">
      <c r="A17" t="s">
        <v>0</v>
      </c>
      <c r="B17" t="s">
        <v>201</v>
      </c>
      <c r="C17" t="s">
        <v>208</v>
      </c>
      <c r="D17">
        <v>1</v>
      </c>
    </row>
    <row r="18" spans="1:4" x14ac:dyDescent="0.25">
      <c r="A18" t="s">
        <v>0</v>
      </c>
      <c r="B18" t="s">
        <v>201</v>
      </c>
      <c r="C18" t="s">
        <v>209</v>
      </c>
      <c r="D18">
        <v>2</v>
      </c>
    </row>
    <row r="19" spans="1:4" x14ac:dyDescent="0.25">
      <c r="A19" t="s">
        <v>0</v>
      </c>
      <c r="B19" t="s">
        <v>201</v>
      </c>
      <c r="C19" t="s">
        <v>210</v>
      </c>
      <c r="D19">
        <v>3</v>
      </c>
    </row>
    <row r="20" spans="1:4" x14ac:dyDescent="0.25">
      <c r="A20" t="s">
        <v>0</v>
      </c>
      <c r="B20" t="s">
        <v>201</v>
      </c>
      <c r="C20" t="s">
        <v>211</v>
      </c>
      <c r="D20">
        <v>4</v>
      </c>
    </row>
    <row r="21" spans="1:4" x14ac:dyDescent="0.25">
      <c r="A21" t="s">
        <v>0</v>
      </c>
      <c r="B21" t="s">
        <v>201</v>
      </c>
      <c r="C21" t="s">
        <v>212</v>
      </c>
      <c r="D21">
        <v>5</v>
      </c>
    </row>
    <row r="22" spans="1:4" x14ac:dyDescent="0.25">
      <c r="A22" t="s">
        <v>0</v>
      </c>
      <c r="B22" t="s">
        <v>201</v>
      </c>
      <c r="C22" t="s">
        <v>213</v>
      </c>
      <c r="D22">
        <v>6</v>
      </c>
    </row>
    <row r="23" spans="1:4" x14ac:dyDescent="0.25">
      <c r="A23" t="s">
        <v>0</v>
      </c>
      <c r="B23" t="s">
        <v>201</v>
      </c>
      <c r="C23" t="s">
        <v>214</v>
      </c>
      <c r="D23">
        <v>7</v>
      </c>
    </row>
    <row r="24" spans="1:4" x14ac:dyDescent="0.25">
      <c r="A24" t="s">
        <v>0</v>
      </c>
      <c r="B24" t="s">
        <v>196</v>
      </c>
      <c r="C24" t="s">
        <v>208</v>
      </c>
      <c r="D24">
        <v>1</v>
      </c>
    </row>
    <row r="25" spans="1:4" x14ac:dyDescent="0.25">
      <c r="A25" t="s">
        <v>0</v>
      </c>
      <c r="B25" t="s">
        <v>196</v>
      </c>
      <c r="C25" t="s">
        <v>215</v>
      </c>
      <c r="D25">
        <v>2</v>
      </c>
    </row>
    <row r="26" spans="1:4" x14ac:dyDescent="0.25">
      <c r="A26" t="s">
        <v>0</v>
      </c>
      <c r="B26" t="s">
        <v>196</v>
      </c>
      <c r="C26" t="s">
        <v>209</v>
      </c>
      <c r="D26">
        <v>3</v>
      </c>
    </row>
    <row r="27" spans="1:4" x14ac:dyDescent="0.25">
      <c r="A27" t="s">
        <v>0</v>
      </c>
      <c r="B27" t="s">
        <v>196</v>
      </c>
      <c r="C27" t="s">
        <v>210</v>
      </c>
      <c r="D27">
        <v>4</v>
      </c>
    </row>
    <row r="28" spans="1:4" x14ac:dyDescent="0.25">
      <c r="A28" t="s">
        <v>0</v>
      </c>
      <c r="B28" t="s">
        <v>196</v>
      </c>
      <c r="C28" t="s">
        <v>213</v>
      </c>
      <c r="D28">
        <v>5</v>
      </c>
    </row>
    <row r="29" spans="1:4" x14ac:dyDescent="0.25">
      <c r="A29" t="s">
        <v>0</v>
      </c>
      <c r="B29" t="s">
        <v>196</v>
      </c>
      <c r="C29" t="s">
        <v>212</v>
      </c>
      <c r="D29">
        <v>6</v>
      </c>
    </row>
    <row r="30" spans="1:4" x14ac:dyDescent="0.25">
      <c r="A30" t="s">
        <v>0</v>
      </c>
      <c r="B30" t="s">
        <v>196</v>
      </c>
      <c r="C30" t="s">
        <v>211</v>
      </c>
      <c r="D30">
        <v>7</v>
      </c>
    </row>
    <row r="31" spans="1:4" x14ac:dyDescent="0.25">
      <c r="A31" t="s">
        <v>0</v>
      </c>
      <c r="B31" t="s">
        <v>196</v>
      </c>
      <c r="C31" t="s">
        <v>214</v>
      </c>
      <c r="D31">
        <v>8</v>
      </c>
    </row>
    <row r="32" spans="1:4" x14ac:dyDescent="0.25">
      <c r="A32" t="s">
        <v>0</v>
      </c>
      <c r="B32" t="s">
        <v>196</v>
      </c>
      <c r="C32" t="s">
        <v>216</v>
      </c>
      <c r="D32">
        <v>9</v>
      </c>
    </row>
    <row r="33" spans="1:4" x14ac:dyDescent="0.25">
      <c r="A33" t="s">
        <v>0</v>
      </c>
      <c r="B33" t="s">
        <v>196</v>
      </c>
      <c r="C33" t="s">
        <v>217</v>
      </c>
      <c r="D33">
        <v>10</v>
      </c>
    </row>
    <row r="34" spans="1:4" x14ac:dyDescent="0.25">
      <c r="A34" t="s">
        <v>0</v>
      </c>
      <c r="B34" t="s">
        <v>196</v>
      </c>
      <c r="C34" t="s">
        <v>218</v>
      </c>
      <c r="D34">
        <v>11</v>
      </c>
    </row>
    <row r="35" spans="1:4" x14ac:dyDescent="0.25">
      <c r="A35" t="s">
        <v>0</v>
      </c>
      <c r="B35" t="s">
        <v>196</v>
      </c>
      <c r="C35" t="s">
        <v>219</v>
      </c>
      <c r="D35">
        <v>12</v>
      </c>
    </row>
    <row r="36" spans="1:4" x14ac:dyDescent="0.25">
      <c r="A36" t="s">
        <v>0</v>
      </c>
      <c r="B36" t="s">
        <v>196</v>
      </c>
      <c r="C36" t="s">
        <v>220</v>
      </c>
      <c r="D36">
        <v>13</v>
      </c>
    </row>
    <row r="37" spans="1:4" x14ac:dyDescent="0.25">
      <c r="A37" t="s">
        <v>0</v>
      </c>
      <c r="B37" t="s">
        <v>196</v>
      </c>
      <c r="C37" t="s">
        <v>221</v>
      </c>
      <c r="D37">
        <v>14</v>
      </c>
    </row>
    <row r="38" spans="1:4" x14ac:dyDescent="0.25">
      <c r="A38" t="s">
        <v>0</v>
      </c>
      <c r="B38" t="s">
        <v>196</v>
      </c>
      <c r="C38" t="s">
        <v>222</v>
      </c>
      <c r="D38">
        <v>15</v>
      </c>
    </row>
    <row r="39" spans="1:4" x14ac:dyDescent="0.25">
      <c r="A39" t="s">
        <v>0</v>
      </c>
      <c r="B39" t="s">
        <v>196</v>
      </c>
      <c r="C39" t="s">
        <v>223</v>
      </c>
      <c r="D39">
        <v>16</v>
      </c>
    </row>
    <row r="40" spans="1:4" x14ac:dyDescent="0.25">
      <c r="A40" t="s">
        <v>0</v>
      </c>
      <c r="B40" t="s">
        <v>196</v>
      </c>
      <c r="C40" t="s">
        <v>224</v>
      </c>
      <c r="D40">
        <v>18</v>
      </c>
    </row>
    <row r="41" spans="1:4" x14ac:dyDescent="0.25">
      <c r="A41" t="s">
        <v>0</v>
      </c>
      <c r="B41" t="s">
        <v>196</v>
      </c>
      <c r="C41" t="s">
        <v>225</v>
      </c>
      <c r="D41">
        <v>19</v>
      </c>
    </row>
    <row r="42" spans="1:4" x14ac:dyDescent="0.25">
      <c r="A42" t="s">
        <v>0</v>
      </c>
      <c r="B42" t="s">
        <v>199</v>
      </c>
      <c r="C42" t="s">
        <v>208</v>
      </c>
      <c r="D42">
        <v>1</v>
      </c>
    </row>
    <row r="43" spans="1:4" x14ac:dyDescent="0.25">
      <c r="A43" t="s">
        <v>0</v>
      </c>
      <c r="B43" t="s">
        <v>199</v>
      </c>
      <c r="C43" t="s">
        <v>209</v>
      </c>
      <c r="D43">
        <v>2</v>
      </c>
    </row>
    <row r="44" spans="1:4" x14ac:dyDescent="0.25">
      <c r="A44" t="s">
        <v>0</v>
      </c>
      <c r="B44" t="s">
        <v>199</v>
      </c>
      <c r="C44" t="s">
        <v>211</v>
      </c>
      <c r="D44">
        <v>3</v>
      </c>
    </row>
    <row r="45" spans="1:4" x14ac:dyDescent="0.25">
      <c r="A45" t="s">
        <v>0</v>
      </c>
      <c r="B45" t="s">
        <v>199</v>
      </c>
      <c r="C45" t="s">
        <v>210</v>
      </c>
      <c r="D45">
        <v>4</v>
      </c>
    </row>
    <row r="46" spans="1:4" x14ac:dyDescent="0.25">
      <c r="A46" t="s">
        <v>0</v>
      </c>
      <c r="B46" t="s">
        <v>199</v>
      </c>
      <c r="C46" t="s">
        <v>212</v>
      </c>
      <c r="D46">
        <v>5</v>
      </c>
    </row>
    <row r="47" spans="1:4" x14ac:dyDescent="0.25">
      <c r="A47" t="s">
        <v>0</v>
      </c>
      <c r="B47" t="s">
        <v>199</v>
      </c>
      <c r="C47" t="s">
        <v>213</v>
      </c>
      <c r="D47">
        <v>6</v>
      </c>
    </row>
    <row r="48" spans="1:4" x14ac:dyDescent="0.25">
      <c r="A48" t="s">
        <v>0</v>
      </c>
      <c r="B48" t="s">
        <v>199</v>
      </c>
      <c r="C48" t="s">
        <v>226</v>
      </c>
      <c r="D48">
        <v>7</v>
      </c>
    </row>
    <row r="49" spans="1:4" x14ac:dyDescent="0.25">
      <c r="A49" t="s">
        <v>0</v>
      </c>
      <c r="B49" t="s">
        <v>199</v>
      </c>
      <c r="C49" t="s">
        <v>227</v>
      </c>
      <c r="D49">
        <v>8</v>
      </c>
    </row>
    <row r="50" spans="1:4" x14ac:dyDescent="0.25">
      <c r="A50" t="s">
        <v>0</v>
      </c>
      <c r="B50" t="s">
        <v>199</v>
      </c>
      <c r="C50" t="s">
        <v>228</v>
      </c>
      <c r="D50">
        <v>9</v>
      </c>
    </row>
    <row r="51" spans="1:4" x14ac:dyDescent="0.25">
      <c r="A51" t="s">
        <v>0</v>
      </c>
      <c r="B51" t="s">
        <v>220</v>
      </c>
      <c r="C51" t="s">
        <v>227</v>
      </c>
      <c r="D51">
        <v>1</v>
      </c>
    </row>
    <row r="52" spans="1:4" x14ac:dyDescent="0.25">
      <c r="A52" t="s">
        <v>0</v>
      </c>
      <c r="B52" t="s">
        <v>229</v>
      </c>
      <c r="C52" t="s">
        <v>196</v>
      </c>
      <c r="D52">
        <v>4</v>
      </c>
    </row>
    <row r="53" spans="1:4" x14ac:dyDescent="0.25">
      <c r="A53" t="s">
        <v>0</v>
      </c>
      <c r="B53" t="s">
        <v>230</v>
      </c>
      <c r="C53" t="s">
        <v>196</v>
      </c>
      <c r="D53">
        <v>4</v>
      </c>
    </row>
    <row r="54" spans="1:4" x14ac:dyDescent="0.25">
      <c r="A54" t="s">
        <v>0</v>
      </c>
      <c r="B54" t="s">
        <v>231</v>
      </c>
      <c r="C54" t="s">
        <v>196</v>
      </c>
      <c r="D54">
        <v>4</v>
      </c>
    </row>
    <row r="55" spans="1:4" x14ac:dyDescent="0.25">
      <c r="A55" t="s">
        <v>0</v>
      </c>
      <c r="B55" t="s">
        <v>232</v>
      </c>
      <c r="C55" t="s">
        <v>228</v>
      </c>
      <c r="D55">
        <v>2</v>
      </c>
    </row>
    <row r="56" spans="1:4" x14ac:dyDescent="0.25">
      <c r="A56" t="s">
        <v>0</v>
      </c>
      <c r="B56" t="s">
        <v>232</v>
      </c>
      <c r="C56" t="s">
        <v>227</v>
      </c>
      <c r="D56">
        <v>5</v>
      </c>
    </row>
    <row r="57" spans="1:4" x14ac:dyDescent="0.25">
      <c r="A57" t="s">
        <v>0</v>
      </c>
      <c r="B57" t="s">
        <v>232</v>
      </c>
      <c r="C57" t="s">
        <v>220</v>
      </c>
      <c r="D57">
        <v>7</v>
      </c>
    </row>
    <row r="58" spans="1:4" x14ac:dyDescent="0.25">
      <c r="A58" t="s">
        <v>0</v>
      </c>
      <c r="B58" t="s">
        <v>233</v>
      </c>
      <c r="C58" t="s">
        <v>196</v>
      </c>
      <c r="D58">
        <v>1</v>
      </c>
    </row>
    <row r="59" spans="1:4" x14ac:dyDescent="0.25">
      <c r="A59" t="s">
        <v>0</v>
      </c>
      <c r="B59" t="s">
        <v>234</v>
      </c>
      <c r="C59" t="s">
        <v>196</v>
      </c>
      <c r="D59">
        <v>4</v>
      </c>
    </row>
    <row r="60" spans="1:4" x14ac:dyDescent="0.25">
      <c r="A60" t="s">
        <v>0</v>
      </c>
      <c r="B60" t="s">
        <v>235</v>
      </c>
      <c r="C60" t="s">
        <v>196</v>
      </c>
      <c r="D60">
        <v>1</v>
      </c>
    </row>
    <row r="61" spans="1:4" x14ac:dyDescent="0.25">
      <c r="A61" t="s">
        <v>0</v>
      </c>
      <c r="B61" t="s">
        <v>236</v>
      </c>
      <c r="C61" t="s">
        <v>196</v>
      </c>
      <c r="D61">
        <v>1</v>
      </c>
    </row>
    <row r="62" spans="1:4" x14ac:dyDescent="0.25">
      <c r="A62" t="s">
        <v>0</v>
      </c>
      <c r="B62" t="s">
        <v>237</v>
      </c>
      <c r="C62" t="s">
        <v>196</v>
      </c>
      <c r="D62">
        <v>1</v>
      </c>
    </row>
    <row r="63" spans="1:4" x14ac:dyDescent="0.25">
      <c r="A63" t="s">
        <v>0</v>
      </c>
      <c r="B63" t="s">
        <v>238</v>
      </c>
      <c r="C63" t="s">
        <v>196</v>
      </c>
      <c r="D63">
        <v>2</v>
      </c>
    </row>
    <row r="64" spans="1:4" x14ac:dyDescent="0.25">
      <c r="A64" t="s">
        <v>0</v>
      </c>
      <c r="B64" t="s">
        <v>239</v>
      </c>
      <c r="C64" t="s">
        <v>196</v>
      </c>
      <c r="D64">
        <v>1</v>
      </c>
    </row>
    <row r="65" spans="1:4" x14ac:dyDescent="0.25">
      <c r="A65" t="s">
        <v>0</v>
      </c>
      <c r="B65" t="s">
        <v>228</v>
      </c>
      <c r="C65" t="s">
        <v>227</v>
      </c>
      <c r="D65">
        <v>1</v>
      </c>
    </row>
    <row r="66" spans="1:4" x14ac:dyDescent="0.25">
      <c r="A66" t="s">
        <v>0</v>
      </c>
      <c r="B66" t="s">
        <v>228</v>
      </c>
      <c r="C66" t="s">
        <v>215</v>
      </c>
      <c r="D66">
        <v>2</v>
      </c>
    </row>
    <row r="67" spans="1:4" x14ac:dyDescent="0.25">
      <c r="A67" t="s">
        <v>0</v>
      </c>
      <c r="B67" t="s">
        <v>228</v>
      </c>
      <c r="C67" t="s">
        <v>226</v>
      </c>
      <c r="D67">
        <v>3</v>
      </c>
    </row>
    <row r="68" spans="1:4" x14ac:dyDescent="0.25">
      <c r="A68" t="s">
        <v>0</v>
      </c>
      <c r="B68" t="s">
        <v>228</v>
      </c>
      <c r="C68" t="s">
        <v>240</v>
      </c>
      <c r="D68">
        <v>4</v>
      </c>
    </row>
    <row r="69" spans="1:4" x14ac:dyDescent="0.25">
      <c r="A69" t="s">
        <v>0</v>
      </c>
      <c r="B69" t="s">
        <v>228</v>
      </c>
      <c r="C69" t="s">
        <v>241</v>
      </c>
      <c r="D69">
        <v>5</v>
      </c>
    </row>
    <row r="70" spans="1:4" x14ac:dyDescent="0.25">
      <c r="A70" t="s">
        <v>0</v>
      </c>
      <c r="B70" t="s">
        <v>228</v>
      </c>
      <c r="C70" t="s">
        <v>242</v>
      </c>
      <c r="D70">
        <v>6</v>
      </c>
    </row>
    <row r="71" spans="1:4" x14ac:dyDescent="0.25">
      <c r="A71" t="s">
        <v>0</v>
      </c>
      <c r="B71" t="s">
        <v>228</v>
      </c>
      <c r="C71" t="s">
        <v>243</v>
      </c>
      <c r="D71">
        <v>7</v>
      </c>
    </row>
    <row r="72" spans="1:4" x14ac:dyDescent="0.25">
      <c r="A72" t="s">
        <v>0</v>
      </c>
      <c r="B72" t="s">
        <v>228</v>
      </c>
      <c r="C72" t="s">
        <v>220</v>
      </c>
      <c r="D72">
        <v>8</v>
      </c>
    </row>
    <row r="73" spans="1:4" x14ac:dyDescent="0.25">
      <c r="A73" t="s">
        <v>0</v>
      </c>
      <c r="B73" t="s">
        <v>228</v>
      </c>
      <c r="C73" t="s">
        <v>232</v>
      </c>
      <c r="D73">
        <v>11</v>
      </c>
    </row>
    <row r="74" spans="1:4" x14ac:dyDescent="0.25">
      <c r="A74" t="s">
        <v>0</v>
      </c>
      <c r="B74" t="s">
        <v>244</v>
      </c>
      <c r="C74" t="s">
        <v>228</v>
      </c>
      <c r="D74">
        <v>1</v>
      </c>
    </row>
    <row r="75" spans="1:4" x14ac:dyDescent="0.25">
      <c r="A75" t="s">
        <v>0</v>
      </c>
      <c r="B75" t="s">
        <v>244</v>
      </c>
      <c r="C75" t="s">
        <v>245</v>
      </c>
      <c r="D75">
        <v>3</v>
      </c>
    </row>
    <row r="76" spans="1:4" x14ac:dyDescent="0.25">
      <c r="A76" t="s">
        <v>0</v>
      </c>
      <c r="B76" t="s">
        <v>244</v>
      </c>
      <c r="C76" t="s">
        <v>246</v>
      </c>
      <c r="D76">
        <v>4</v>
      </c>
    </row>
    <row r="77" spans="1:4" x14ac:dyDescent="0.25">
      <c r="A77" t="s">
        <v>0</v>
      </c>
      <c r="B77" t="s">
        <v>244</v>
      </c>
      <c r="C77" t="s">
        <v>242</v>
      </c>
      <c r="D77">
        <v>5</v>
      </c>
    </row>
    <row r="78" spans="1:4" x14ac:dyDescent="0.25">
      <c r="A78" t="s">
        <v>0</v>
      </c>
      <c r="B78" t="s">
        <v>244</v>
      </c>
      <c r="C78" t="s">
        <v>199</v>
      </c>
      <c r="D78">
        <v>6</v>
      </c>
    </row>
    <row r="79" spans="1:4" x14ac:dyDescent="0.25">
      <c r="A79" t="s">
        <v>0</v>
      </c>
      <c r="B79" t="s">
        <v>244</v>
      </c>
      <c r="C79" t="s">
        <v>211</v>
      </c>
      <c r="D79">
        <v>9</v>
      </c>
    </row>
    <row r="80" spans="1:4" x14ac:dyDescent="0.25">
      <c r="A80" t="s">
        <v>0</v>
      </c>
      <c r="B80" t="s">
        <v>244</v>
      </c>
      <c r="C80" t="s">
        <v>247</v>
      </c>
      <c r="D80">
        <v>15</v>
      </c>
    </row>
    <row r="81" spans="1:4" x14ac:dyDescent="0.25">
      <c r="A81" t="s">
        <v>28</v>
      </c>
      <c r="B81" t="s">
        <v>248</v>
      </c>
      <c r="C81" t="s">
        <v>196</v>
      </c>
      <c r="D81">
        <v>1</v>
      </c>
    </row>
  </sheetData>
  <conditionalFormatting sqref="A2:D81">
    <cfRule type="expression" dxfId="1" priority="2">
      <formula>ISBLANK(A2)</formula>
    </cfRule>
  </conditionalFormatting>
  <conditionalFormatting sqref="A2:A81">
    <cfRule type="expression" dxfId="0" priority="4542">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-1392</v>
      </c>
    </row>
    <row r="4" spans="1:3" x14ac:dyDescent="0.25">
      <c r="A4" s="1" t="s">
        <v>75</v>
      </c>
      <c r="B4" s="16">
        <v>41866</v>
      </c>
      <c r="C4" s="7">
        <f ca="1">Tabla_DIAS_RESTANTES[[#This Row],[FIN PERÍODO]]-TODAY()</f>
        <v>-1378</v>
      </c>
    </row>
    <row r="5" spans="1:3" x14ac:dyDescent="0.25">
      <c r="A5" s="1" t="s">
        <v>77</v>
      </c>
      <c r="B5" s="16">
        <v>41866</v>
      </c>
      <c r="C5" s="7">
        <f ca="1">Tabla_DIAS_RESTANTES[[#This Row],[FIN PERÍODO]]-TODAY()</f>
        <v>-1378</v>
      </c>
    </row>
    <row r="6" spans="1:3" x14ac:dyDescent="0.25">
      <c r="A6" s="1" t="s">
        <v>72</v>
      </c>
      <c r="B6" s="16">
        <v>41873</v>
      </c>
      <c r="C6" s="7">
        <f ca="1">Tabla_DIAS_RESTANTES[[#This Row],[FIN PERÍODO]]-TODAY()</f>
        <v>-1371</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109</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58</v>
      </c>
      <c r="P1" t="s">
        <v>251</v>
      </c>
      <c r="R1" t="s">
        <v>0</v>
      </c>
      <c r="T1" t="s">
        <v>23</v>
      </c>
      <c r="U1" t="b">
        <v>1</v>
      </c>
    </row>
    <row r="2" spans="1:21" x14ac:dyDescent="0.25">
      <c r="P2" t="s">
        <v>252</v>
      </c>
      <c r="T2" t="s">
        <v>298</v>
      </c>
      <c r="U2" t="b">
        <v>1</v>
      </c>
    </row>
    <row r="3" spans="1:21" x14ac:dyDescent="0.25">
      <c r="P3" t="s">
        <v>249</v>
      </c>
      <c r="T3" t="s">
        <v>299</v>
      </c>
      <c r="U3" t="b">
        <v>1</v>
      </c>
    </row>
    <row r="4" spans="1:21" x14ac:dyDescent="0.25">
      <c r="T4" t="s">
        <v>300</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65</v>
      </c>
      <c r="B1" s="17">
        <v>43244.729513888888</v>
      </c>
      <c r="E1" t="s">
        <v>294</v>
      </c>
      <c r="F1" t="s">
        <v>295</v>
      </c>
    </row>
    <row r="2" spans="1:6" x14ac:dyDescent="0.25">
      <c r="A2" t="s">
        <v>66</v>
      </c>
      <c r="B2" s="17">
        <v>43244.734409722223</v>
      </c>
      <c r="E2" t="s">
        <v>296</v>
      </c>
      <c r="F2" s="24">
        <v>43244</v>
      </c>
    </row>
    <row r="3" spans="1:6" x14ac:dyDescent="0.25">
      <c r="E3" t="s">
        <v>297</v>
      </c>
      <c r="F3" s="24">
        <v>43243</v>
      </c>
    </row>
    <row r="4" spans="1:6" x14ac:dyDescent="0.25">
      <c r="A4" t="s">
        <v>67</v>
      </c>
      <c r="B4" s="18">
        <f>IF((FINREFRESCADO-INICIOREFRESCADO)&gt;0,FINREFRESCADO-INICIOREFRESCADO,"")</f>
        <v>4.8958333354676142E-3</v>
      </c>
    </row>
    <row r="6" spans="1:6" x14ac:dyDescent="0.25">
      <c r="A6" t="s">
        <v>122</v>
      </c>
      <c r="B6" t="s">
        <v>254</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105</v>
      </c>
      <c r="B5" t="s">
        <v>106</v>
      </c>
      <c r="C5" t="str">
        <f>IF(RIGHT(Tabla_Parametros[par_valor],1)="\",LEFT(Tabla_Parametros[par_valor],LEN(Tabla_Parametros[par_valor])-1),Tabla_Parametros[par_valor])</f>
        <v>0</v>
      </c>
    </row>
    <row r="6" spans="1:3" x14ac:dyDescent="0.25">
      <c r="A6" t="s">
        <v>107</v>
      </c>
      <c r="B6" t="s">
        <v>192</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8"/>
  <sheetViews>
    <sheetView showGridLines="0" workbookViewId="0">
      <selection activeCell="C19" sqref="C19"/>
    </sheetView>
  </sheetViews>
  <sheetFormatPr baseColWidth="10" defaultColWidth="11.42578125" defaultRowHeight="15" x14ac:dyDescent="0.25"/>
  <cols>
    <col min="1" max="1" width="25.28515625" bestFit="1" customWidth="1"/>
  </cols>
  <sheetData>
    <row r="1" spans="1:2" ht="38.25" customHeight="1" x14ac:dyDescent="0.25">
      <c r="A1" t="s">
        <v>252</v>
      </c>
      <c r="B1" t="s">
        <v>249</v>
      </c>
    </row>
    <row r="2" spans="1:2" x14ac:dyDescent="0.25">
      <c r="A2" t="s">
        <v>301</v>
      </c>
      <c r="B2" t="s">
        <v>308</v>
      </c>
    </row>
    <row r="3" spans="1:2" x14ac:dyDescent="0.25">
      <c r="A3" t="s">
        <v>302</v>
      </c>
      <c r="B3" t="s">
        <v>309</v>
      </c>
    </row>
    <row r="4" spans="1:2" x14ac:dyDescent="0.25">
      <c r="A4" t="s">
        <v>303</v>
      </c>
      <c r="B4" t="s">
        <v>310</v>
      </c>
    </row>
    <row r="5" spans="1:2" x14ac:dyDescent="0.25">
      <c r="A5" t="s">
        <v>304</v>
      </c>
      <c r="B5" t="s">
        <v>311</v>
      </c>
    </row>
    <row r="6" spans="1:2" x14ac:dyDescent="0.25">
      <c r="A6" t="s">
        <v>305</v>
      </c>
      <c r="B6" t="s">
        <v>312</v>
      </c>
    </row>
    <row r="7" spans="1:2" x14ac:dyDescent="0.25">
      <c r="A7" t="s">
        <v>306</v>
      </c>
    </row>
    <row r="8" spans="1:2" x14ac:dyDescent="0.25">
      <c r="A8" t="s">
        <v>307</v>
      </c>
    </row>
  </sheetData>
  <sheetProtection algorithmName="SHA-512" hashValue="xODcKDhkaPJpAZbtNS42ZcZRQL8gE2ixiRlSh+f3zdEh/xUK5FlI3oBrLQ3kE7W+5kejQLWuGa/e0bfUxAJT2w==" saltValue="SoBOtYVnlDux23BV1UTrZw==" spinCount="100000" sheet="1" objects="1" scenarios="1"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194</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252</v>
      </c>
      <c r="C2" t="s">
        <v>293</v>
      </c>
    </row>
    <row r="3" spans="1:3" x14ac:dyDescent="0.25">
      <c r="A3" t="s">
        <v>0</v>
      </c>
      <c r="B3" t="s">
        <v>249</v>
      </c>
      <c r="C3" t="s">
        <v>250</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9509607-E1B6-4F44-BA76-7832F05937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36</vt:i4>
      </vt:variant>
    </vt:vector>
  </HeadingPairs>
  <TitlesOfParts>
    <vt:vector size="37"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2018-05-25T00:33:08Z</dcterms:modified>
</cp:coreProperties>
</file>